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271107c381e32d/Ambiente de Trabalho/FCUP/1.º ano/2.º semestre/Laboratório de Física I/2.ª série/Lab. -1.22 (Ariel)/"/>
    </mc:Choice>
  </mc:AlternateContent>
  <xr:revisionPtr revIDLastSave="161" documentId="13_ncr:1_{4BD871F7-F7E4-46AD-AB3B-1CC7CD897828}" xr6:coauthVersionLast="47" xr6:coauthVersionMax="47" xr10:uidLastSave="{31E8346B-1765-412E-94C3-A015C19C36CC}"/>
  <bookViews>
    <workbookView xWindow="-108" yWindow="-108" windowWidth="23256" windowHeight="12456" activeTab="3" xr2:uid="{989CD2E9-B461-4FED-B6BE-EA4D254FBB5F}"/>
  </bookViews>
  <sheets>
    <sheet name="M1 - white" sheetId="1" r:id="rId1"/>
    <sheet name="M2 - white" sheetId="3" r:id="rId2"/>
    <sheet name="M1 - blue" sheetId="7" r:id="rId3"/>
    <sheet name="M2 - blue" sheetId="9" r:id="rId4"/>
    <sheet name="M1 - red" sheetId="4" r:id="rId5"/>
    <sheet name="M2 - re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9" l="1"/>
  <c r="B25" i="7"/>
  <c r="D26" i="4"/>
  <c r="C24" i="3"/>
  <c r="C23" i="1"/>
  <c r="B23" i="6"/>
  <c r="G2" i="7"/>
  <c r="G3" i="7"/>
  <c r="G4" i="7"/>
  <c r="G5" i="7"/>
  <c r="G6" i="7"/>
  <c r="G7" i="7"/>
  <c r="G8" i="7"/>
  <c r="G9" i="7"/>
  <c r="G10" i="7"/>
  <c r="G11" i="7"/>
  <c r="G12" i="7"/>
  <c r="F2" i="7"/>
  <c r="F3" i="7"/>
  <c r="F4" i="7"/>
  <c r="F5" i="7"/>
  <c r="F6" i="7"/>
  <c r="F7" i="7"/>
  <c r="F8" i="7"/>
  <c r="F9" i="7"/>
  <c r="F10" i="7"/>
  <c r="F11" i="7"/>
  <c r="F12" i="7"/>
  <c r="G2" i="6"/>
  <c r="G3" i="6"/>
  <c r="G4" i="6"/>
  <c r="G5" i="6"/>
  <c r="G6" i="6"/>
  <c r="G7" i="6"/>
  <c r="G8" i="6"/>
  <c r="G9" i="6"/>
  <c r="F2" i="6"/>
  <c r="F3" i="6"/>
  <c r="F4" i="6"/>
  <c r="F5" i="6"/>
  <c r="F6" i="6"/>
  <c r="F7" i="6"/>
  <c r="F8" i="6"/>
  <c r="F9" i="6"/>
  <c r="G2" i="4"/>
  <c r="G3" i="4"/>
  <c r="G4" i="4"/>
  <c r="G5" i="4"/>
  <c r="G6" i="4"/>
  <c r="G7" i="4"/>
  <c r="G8" i="4"/>
  <c r="G9" i="4"/>
  <c r="G10" i="4"/>
  <c r="G11" i="4"/>
  <c r="G12" i="4"/>
  <c r="F2" i="4"/>
  <c r="F3" i="4"/>
  <c r="F4" i="4"/>
  <c r="F5" i="4"/>
  <c r="F6" i="4"/>
  <c r="F7" i="4"/>
  <c r="F8" i="4"/>
  <c r="F9" i="4"/>
  <c r="F10" i="4"/>
  <c r="F11" i="4"/>
  <c r="F12" i="4"/>
  <c r="G2" i="3"/>
  <c r="G3" i="3"/>
  <c r="G4" i="3"/>
  <c r="G5" i="3"/>
  <c r="G6" i="3"/>
  <c r="G7" i="3"/>
  <c r="G8" i="3"/>
  <c r="F2" i="3"/>
  <c r="F3" i="3"/>
  <c r="F4" i="3"/>
  <c r="F5" i="3"/>
  <c r="F6" i="3"/>
  <c r="F7" i="3"/>
  <c r="F8" i="3"/>
  <c r="G2" i="1"/>
  <c r="G3" i="1"/>
  <c r="G4" i="1"/>
  <c r="G5" i="1"/>
  <c r="G6" i="1"/>
  <c r="G7" i="1"/>
  <c r="G8" i="1"/>
  <c r="G9" i="1"/>
  <c r="F2" i="1"/>
  <c r="F3" i="1"/>
  <c r="F4" i="1"/>
  <c r="F5" i="1"/>
  <c r="F6" i="1"/>
  <c r="F7" i="1"/>
  <c r="F8" i="1"/>
  <c r="F9" i="1"/>
  <c r="E8" i="9"/>
  <c r="D8" i="9"/>
  <c r="E7" i="9"/>
  <c r="D7" i="9"/>
  <c r="E6" i="9"/>
  <c r="D6" i="9"/>
  <c r="E5" i="9"/>
  <c r="D5" i="9"/>
  <c r="E4" i="9"/>
  <c r="D4" i="9"/>
  <c r="E3" i="9"/>
  <c r="D3" i="9"/>
  <c r="E2" i="9"/>
  <c r="D2" i="9"/>
  <c r="E12" i="7"/>
  <c r="D12" i="7"/>
  <c r="E11" i="7"/>
  <c r="D11" i="7"/>
  <c r="E10" i="7"/>
  <c r="D10" i="7"/>
  <c r="E9" i="7"/>
  <c r="D9" i="7"/>
  <c r="E8" i="7"/>
  <c r="D8" i="7"/>
  <c r="E7" i="7"/>
  <c r="D7" i="7"/>
  <c r="E6" i="7"/>
  <c r="D6" i="7"/>
  <c r="E5" i="7"/>
  <c r="D5" i="7"/>
  <c r="E4" i="7"/>
  <c r="D4" i="7"/>
  <c r="E3" i="7"/>
  <c r="D3" i="7"/>
  <c r="E2" i="7"/>
  <c r="D2" i="7"/>
  <c r="D9" i="6"/>
  <c r="E9" i="6"/>
  <c r="E8" i="6"/>
  <c r="D8" i="6"/>
  <c r="E7" i="6"/>
  <c r="D7" i="6"/>
  <c r="E6" i="6"/>
  <c r="D6" i="6"/>
  <c r="E5" i="6"/>
  <c r="D5" i="6"/>
  <c r="E4" i="6"/>
  <c r="D4" i="6"/>
  <c r="E3" i="6"/>
  <c r="D3" i="6"/>
  <c r="E2" i="6"/>
  <c r="D2" i="6"/>
  <c r="D10" i="4"/>
  <c r="D11" i="4"/>
  <c r="D12" i="4"/>
  <c r="E10" i="4"/>
  <c r="E11" i="4"/>
  <c r="E12" i="4"/>
  <c r="E9" i="4"/>
  <c r="D9" i="4"/>
  <c r="E8" i="4"/>
  <c r="D8" i="4"/>
  <c r="E7" i="4"/>
  <c r="D7" i="4"/>
  <c r="E6" i="4"/>
  <c r="D6" i="4"/>
  <c r="E5" i="4"/>
  <c r="D5" i="4"/>
  <c r="E4" i="4"/>
  <c r="D4" i="4"/>
  <c r="E3" i="4"/>
  <c r="D3" i="4"/>
  <c r="E2" i="4"/>
  <c r="D2" i="4"/>
  <c r="B13" i="9" l="1" a="1"/>
  <c r="B14" i="9" s="1"/>
  <c r="B17" i="7" a="1"/>
  <c r="C19" i="7" s="1"/>
  <c r="B14" i="6" a="1"/>
  <c r="C14" i="6" s="1"/>
  <c r="B17" i="4" a="1"/>
  <c r="B19" i="4" s="1"/>
  <c r="E8" i="3"/>
  <c r="D8" i="3"/>
  <c r="E7" i="3"/>
  <c r="D7" i="3"/>
  <c r="E6" i="3"/>
  <c r="D6" i="3"/>
  <c r="E5" i="3"/>
  <c r="D5" i="3"/>
  <c r="E4" i="3"/>
  <c r="D4" i="3"/>
  <c r="E3" i="3"/>
  <c r="D3" i="3"/>
  <c r="E2" i="3"/>
  <c r="D2" i="3"/>
  <c r="E2" i="1"/>
  <c r="E3" i="1"/>
  <c r="E4" i="1"/>
  <c r="E5" i="1"/>
  <c r="E6" i="1"/>
  <c r="E7" i="1"/>
  <c r="E8" i="1"/>
  <c r="E9" i="1"/>
  <c r="D2" i="1"/>
  <c r="D3" i="1"/>
  <c r="D4" i="1"/>
  <c r="D5" i="1"/>
  <c r="D6" i="1"/>
  <c r="D7" i="1"/>
  <c r="D8" i="1"/>
  <c r="D9" i="1"/>
  <c r="C14" i="9" l="1"/>
  <c r="C15" i="9"/>
  <c r="B15" i="9"/>
  <c r="C13" i="9"/>
  <c r="B13" i="9"/>
  <c r="B15" i="3" a="1"/>
  <c r="B15" i="3" s="1"/>
  <c r="B19" i="7"/>
  <c r="B18" i="7"/>
  <c r="C17" i="7"/>
  <c r="B17" i="7"/>
  <c r="B23" i="7" s="1"/>
  <c r="C18" i="7"/>
  <c r="B14" i="1" a="1"/>
  <c r="B15" i="1" s="1"/>
  <c r="B19" i="9"/>
  <c r="B15" i="6"/>
  <c r="B14" i="6"/>
  <c r="B20" i="6" s="1"/>
  <c r="C15" i="6"/>
  <c r="C16" i="6"/>
  <c r="B16" i="6"/>
  <c r="C18" i="4"/>
  <c r="B17" i="4"/>
  <c r="B23" i="4" s="1"/>
  <c r="B18" i="4"/>
  <c r="C17" i="4"/>
  <c r="C19" i="4"/>
  <c r="F3" i="9" l="1"/>
  <c r="G3" i="9" s="1"/>
  <c r="F4" i="9"/>
  <c r="G4" i="9" s="1"/>
  <c r="F5" i="9"/>
  <c r="G5" i="9" s="1"/>
  <c r="F8" i="9"/>
  <c r="G8" i="9" s="1"/>
  <c r="F6" i="9"/>
  <c r="G6" i="9" s="1"/>
  <c r="F7" i="9"/>
  <c r="G7" i="9" s="1"/>
  <c r="F2" i="9"/>
  <c r="G2" i="9" s="1"/>
  <c r="C16" i="3"/>
  <c r="C15" i="3"/>
  <c r="C17" i="3"/>
  <c r="B17" i="3"/>
  <c r="B16" i="3"/>
  <c r="C14" i="1"/>
  <c r="B14" i="1"/>
  <c r="B20" i="1" s="1"/>
  <c r="C16" i="1"/>
  <c r="B16" i="1"/>
  <c r="C15" i="1"/>
  <c r="B21" i="3"/>
</calcChain>
</file>

<file path=xl/sharedStrings.xml><?xml version="1.0" encoding="utf-8"?>
<sst xmlns="http://schemas.openxmlformats.org/spreadsheetml/2006/main" count="103" uniqueCount="23">
  <si>
    <t>Parâmetros de ajuste:</t>
  </si>
  <si>
    <t>m</t>
  </si>
  <si>
    <t>b</t>
  </si>
  <si>
    <r>
      <t>sen(θ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)</t>
    </r>
  </si>
  <si>
    <r>
      <t>sen(θ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</t>
    </r>
  </si>
  <si>
    <r>
      <t>s</t>
    </r>
    <r>
      <rPr>
        <vertAlign val="subscript"/>
        <sz val="12"/>
        <color theme="1"/>
        <rFont val="Calibri"/>
        <family val="2"/>
        <scheme val="minor"/>
      </rPr>
      <t>m</t>
    </r>
  </si>
  <si>
    <r>
      <t>s</t>
    </r>
    <r>
      <rPr>
        <vertAlign val="subscript"/>
        <sz val="12"/>
        <color theme="1"/>
        <rFont val="Calibri"/>
        <family val="2"/>
        <scheme val="minor"/>
      </rPr>
      <t>b</t>
    </r>
  </si>
  <si>
    <r>
      <t>r</t>
    </r>
    <r>
      <rPr>
        <vertAlign val="superscript"/>
        <sz val="12"/>
        <color theme="1"/>
        <rFont val="Calibri"/>
        <family val="2"/>
        <scheme val="minor"/>
      </rPr>
      <t>2</t>
    </r>
  </si>
  <si>
    <r>
      <t>s</t>
    </r>
    <r>
      <rPr>
        <vertAlign val="subscript"/>
        <sz val="12"/>
        <color theme="1"/>
        <rFont val="Calibri"/>
        <family val="2"/>
        <scheme val="minor"/>
      </rPr>
      <t>y</t>
    </r>
  </si>
  <si>
    <r>
      <t>n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= n</t>
    </r>
    <r>
      <rPr>
        <vertAlign val="subscript"/>
        <sz val="12"/>
        <color theme="1"/>
        <rFont val="Calibri"/>
        <family val="2"/>
        <scheme val="minor"/>
      </rPr>
      <t>ar</t>
    </r>
  </si>
  <si>
    <r>
      <t>n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= n</t>
    </r>
    <r>
      <rPr>
        <vertAlign val="subscript"/>
        <sz val="12"/>
        <color theme="1"/>
        <rFont val="Calibri"/>
        <family val="2"/>
        <scheme val="minor"/>
      </rPr>
      <t>ar</t>
    </r>
  </si>
  <si>
    <r>
      <t>θ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(°)</t>
    </r>
  </si>
  <si>
    <r>
      <t>θ</t>
    </r>
    <r>
      <rPr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(°)</t>
    </r>
  </si>
  <si>
    <r>
      <t>n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n</t>
    </r>
    <r>
      <rPr>
        <vertAlign val="subscript"/>
        <sz val="12"/>
        <color theme="1"/>
        <rFont val="Calibri"/>
        <family val="2"/>
        <scheme val="minor"/>
      </rPr>
      <t>acrílico</t>
    </r>
  </si>
  <si>
    <r>
      <t>n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= n</t>
    </r>
    <r>
      <rPr>
        <vertAlign val="subscript"/>
        <sz val="12"/>
        <color theme="1"/>
        <rFont val="Calibri"/>
        <family val="2"/>
        <scheme val="minor"/>
      </rPr>
      <t>acrílico</t>
    </r>
  </si>
  <si>
    <t>u(θi)</t>
  </si>
  <si>
    <r>
      <t>θ</t>
    </r>
    <r>
      <rPr>
        <vertAlign val="subscript"/>
        <sz val="12"/>
        <color theme="1"/>
        <rFont val="Calibri"/>
        <family val="2"/>
      </rPr>
      <t>i</t>
    </r>
    <r>
      <rPr>
        <sz val="12"/>
        <color theme="1"/>
        <rFont val="Calibri"/>
        <family val="2"/>
      </rPr>
      <t>(°) ± 0.5</t>
    </r>
  </si>
  <si>
    <t>u(θt)</t>
  </si>
  <si>
    <r>
      <t>sen(θ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</si>
  <si>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r>
      <t>sen(θ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</si>
  <si>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t>Ajuste sen(θt)</t>
  </si>
  <si>
    <t>Resíduos</t>
  </si>
  <si>
    <t>θi(°) ±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</si>
</sst>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6" fontId="5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165" fontId="5" fillId="0" borderId="2" xfId="0" applyNumberFormat="1" applyFont="1" applyBorder="1" applyAlignment="1">
      <alignment vertical="center"/>
    </xf>
    <xf numFmtId="165" fontId="5" fillId="0" borderId="1" xfId="0" applyNumberFormat="1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2" fontId="5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2" fontId="5" fillId="0" borderId="1" xfId="0" applyNumberFormat="1" applyFont="1" applyBorder="1" applyAlignment="1">
      <alignment vertical="center"/>
    </xf>
    <xf numFmtId="166" fontId="5" fillId="0" borderId="1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164" fontId="8" fillId="0" borderId="0" xfId="0" applyNumberFormat="1" applyFont="1" applyAlignment="1">
      <alignment vertical="center"/>
    </xf>
    <xf numFmtId="166" fontId="8" fillId="0" borderId="0" xfId="0" applyNumberFormat="1" applyFont="1" applyAlignment="1">
      <alignment vertical="center"/>
    </xf>
    <xf numFmtId="165" fontId="8" fillId="0" borderId="0" xfId="0" applyNumberFormat="1" applyFont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Normal" xfId="0" builtinId="0"/>
  </cellStyles>
  <dxfs count="54">
    <dxf>
      <font>
        <strike val="0"/>
        <outline val="0"/>
        <shadow val="0"/>
        <u val="none"/>
        <sz val="12"/>
        <color rgb="FF000000"/>
        <name val="Calibri"/>
        <family val="2"/>
      </font>
      <numFmt numFmtId="165" formatCode="0.00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rgb="FF000000"/>
        <name val="Calibri"/>
        <family val="2"/>
      </font>
      <numFmt numFmtId="165" formatCode="0.00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rgb="FF000000"/>
        <name val="Calibri"/>
        <family val="2"/>
      </font>
      <numFmt numFmtId="165" formatCode="0.00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1"/>
        <name val="Calibri"/>
        <family val="2"/>
      </font>
      <numFmt numFmtId="165" formatCode="0.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1"/>
        <name val="Calibri"/>
        <family val="2"/>
      </font>
      <numFmt numFmtId="166" formatCode="0.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1"/>
        <name val="Calibri"/>
        <family val="2"/>
      </font>
      <numFmt numFmtId="166" formatCode="0.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1"/>
        <name val="Calibri"/>
        <family val="2"/>
      </font>
      <numFmt numFmtId="166" formatCode="0.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rgb="FF000000"/>
        <name val="Calibri"/>
        <family val="2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1"/>
        <name val="Calibri"/>
        <family val="2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rgb="FF000000"/>
        <name val="Calibri"/>
        <family val="2"/>
      </font>
      <numFmt numFmtId="165" formatCode="0.00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rgb="FF000000"/>
        <name val="Calibri"/>
        <family val="2"/>
      </font>
      <numFmt numFmtId="165" formatCode="0.00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rgb="FF000000"/>
        <name val="Calibri"/>
        <family val="2"/>
      </font>
      <numFmt numFmtId="165" formatCode="0.00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1"/>
        <name val="Calibri"/>
        <family val="2"/>
      </font>
      <numFmt numFmtId="165" formatCode="0.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1"/>
        <name val="Calibri"/>
        <family val="2"/>
      </font>
      <numFmt numFmtId="165" formatCode="0.00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1"/>
        <name val="Calibri"/>
        <family val="2"/>
      </font>
      <numFmt numFmtId="166" formatCode="0.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1"/>
        <name val="Calibri"/>
        <family val="2"/>
      </font>
      <numFmt numFmtId="166" formatCode="0.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rgb="FF000000"/>
        <name val="Calibri"/>
        <family val="2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1"/>
        <name val="Calibri"/>
        <family val="2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rgb="FF000000"/>
        <name val="Calibri"/>
        <family val="2"/>
      </font>
      <numFmt numFmtId="165" formatCode="0.00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rgb="FF000000"/>
        <name val="Calibri"/>
        <family val="2"/>
      </font>
      <numFmt numFmtId="165" formatCode="0.00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rgb="FF000000"/>
        <name val="Calibri"/>
        <family val="2"/>
      </font>
      <numFmt numFmtId="165" formatCode="0.00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1"/>
        <name val="Calibri"/>
        <family val="2"/>
      </font>
      <numFmt numFmtId="165" formatCode="0.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1"/>
        <name val="Calibri"/>
        <family val="2"/>
      </font>
      <numFmt numFmtId="165" formatCode="0.00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1"/>
        <name val="Calibri"/>
        <family val="2"/>
      </font>
      <numFmt numFmtId="166" formatCode="0.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1"/>
        <name val="Calibri"/>
        <family val="2"/>
      </font>
      <numFmt numFmtId="166" formatCode="0.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rgb="FF000000"/>
        <name val="Calibri"/>
        <family val="2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1"/>
        <name val="Calibri"/>
        <family val="2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rgb="FF000000"/>
        <name val="Calibri"/>
        <family val="2"/>
      </font>
      <numFmt numFmtId="165" formatCode="0.00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rgb="FF000000"/>
        <name val="Calibri"/>
        <family val="2"/>
      </font>
      <numFmt numFmtId="165" formatCode="0.00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rgb="FF000000"/>
        <name val="Calibri"/>
        <family val="2"/>
      </font>
      <numFmt numFmtId="165" formatCode="0.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rgb="FF000000"/>
        <name val="Calibri"/>
        <family val="2"/>
      </font>
      <numFmt numFmtId="165" formatCode="0.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rgb="FF000000"/>
        <name val="Calibri"/>
        <family val="2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1"/>
        <name val="Calibri"/>
        <family val="2"/>
      </font>
      <numFmt numFmtId="166" formatCode="0.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1"/>
        <name val="Calibri"/>
        <family val="2"/>
      </font>
      <numFmt numFmtId="166" formatCode="0.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rgb="FF000000"/>
        <name val="Calibri"/>
        <family val="2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1"/>
        <name val="Calibri"/>
        <family val="2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rgb="FF000000"/>
        <name val="Calibri"/>
        <family val="2"/>
      </font>
      <numFmt numFmtId="165" formatCode="0.00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rgb="FF000000"/>
        <name val="Calibri"/>
        <family val="2"/>
      </font>
      <numFmt numFmtId="165" formatCode="0.00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rgb="FF000000"/>
        <name val="Calibri"/>
        <family val="2"/>
      </font>
      <numFmt numFmtId="165" formatCode="0.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rgb="FF000000"/>
        <name val="Calibri"/>
        <family val="2"/>
      </font>
      <numFmt numFmtId="165" formatCode="0.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rgb="FF000000"/>
        <name val="Calibri"/>
        <family val="2"/>
      </font>
      <numFmt numFmtId="166" formatCode="0.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1"/>
        <name val="Calibri"/>
        <family val="2"/>
      </font>
      <numFmt numFmtId="166" formatCode="0.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1"/>
        <name val="Calibri"/>
        <family val="2"/>
      </font>
      <numFmt numFmtId="166" formatCode="0.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rgb="FF000000"/>
        <name val="Calibri"/>
        <family val="2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1"/>
        <name val="Calibri"/>
        <family val="2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1"/>
        <name val="Calibri"/>
        <family val="2"/>
      </font>
      <numFmt numFmtId="165" formatCode="0.00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1"/>
        <name val="Calibri"/>
        <family val="2"/>
      </font>
      <numFmt numFmtId="165" formatCode="0.00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1"/>
        <name val="Calibri"/>
        <family val="2"/>
      </font>
      <numFmt numFmtId="165" formatCode="0.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1"/>
        <name val="Calibri"/>
        <family val="2"/>
      </font>
      <numFmt numFmtId="165" formatCode="0.0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1"/>
        <name val="Calibri"/>
        <family val="2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1"/>
        <name val="Calibri"/>
        <family val="2"/>
      </font>
      <numFmt numFmtId="166" formatCode="0.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1"/>
        <name val="Calibri"/>
        <family val="2"/>
      </font>
      <numFmt numFmtId="166" formatCode="0.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1"/>
        <name val="Calibri"/>
        <family val="2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sz val="12"/>
        <color theme="1"/>
        <name val="Calibri"/>
        <family val="2"/>
      </font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'M1 - white'!$D$2:$D$10</c:f>
              <c:numCache>
                <c:formatCode>0.000</c:formatCode>
                <c:ptCount val="9"/>
                <c:pt idx="0">
                  <c:v>0.17364817766693033</c:v>
                </c:pt>
                <c:pt idx="1">
                  <c:v>0.34202014332566871</c:v>
                </c:pt>
                <c:pt idx="2">
                  <c:v>0.49999999999999994</c:v>
                </c:pt>
                <c:pt idx="3">
                  <c:v>0.64278760968653925</c:v>
                </c:pt>
                <c:pt idx="4">
                  <c:v>0.76604444311897801</c:v>
                </c:pt>
                <c:pt idx="5">
                  <c:v>0.8660254037844386</c:v>
                </c:pt>
                <c:pt idx="6">
                  <c:v>0.93969262078590832</c:v>
                </c:pt>
                <c:pt idx="7">
                  <c:v>0.98480775301220802</c:v>
                </c:pt>
              </c:numCache>
            </c:numRef>
          </c:xVal>
          <c:yVal>
            <c:numRef>
              <c:f>'M1 - white'!$E$2:$E$10</c:f>
              <c:numCache>
                <c:formatCode>0.000</c:formatCode>
                <c:ptCount val="9"/>
                <c:pt idx="0">
                  <c:v>0.13052619222005157</c:v>
                </c:pt>
                <c:pt idx="1">
                  <c:v>0.24699901272274291</c:v>
                </c:pt>
                <c:pt idx="2">
                  <c:v>0.35020738125946738</c:v>
                </c:pt>
                <c:pt idx="3">
                  <c:v>0.44619781310980877</c:v>
                </c:pt>
                <c:pt idx="4">
                  <c:v>0.5299192642332049</c:v>
                </c:pt>
                <c:pt idx="5">
                  <c:v>0.59482278675134126</c:v>
                </c:pt>
                <c:pt idx="6">
                  <c:v>0.64278760968653925</c:v>
                </c:pt>
                <c:pt idx="7">
                  <c:v>0.67559020761566024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6B-41E9-BECB-20D9F3AD4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sen(</a:t>
                </a:r>
                <a:r>
                  <a:rPr lang="el-GR"/>
                  <a:t>θ</a:t>
                </a:r>
                <a:r>
                  <a:rPr lang="pt-PT"/>
                  <a:t>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095232"/>
        <c:crosses val="autoZero"/>
        <c:crossBetween val="midCat"/>
      </c:valAx>
      <c:valAx>
        <c:axId val="1139095232"/>
        <c:scaling>
          <c:orientation val="minMax"/>
          <c:max val="0.70000000000000007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sen(</a:t>
                </a:r>
                <a:r>
                  <a:rPr lang="el-GR"/>
                  <a:t>θ</a:t>
                </a:r>
                <a:r>
                  <a:rPr lang="pt-PT"/>
                  <a:t>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09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'M1 - white'!$D$2:$D$9</c:f>
              <c:numCache>
                <c:formatCode>0.000</c:formatCode>
                <c:ptCount val="8"/>
                <c:pt idx="0">
                  <c:v>0.17364817766693033</c:v>
                </c:pt>
                <c:pt idx="1">
                  <c:v>0.34202014332566871</c:v>
                </c:pt>
                <c:pt idx="2">
                  <c:v>0.49999999999999994</c:v>
                </c:pt>
                <c:pt idx="3">
                  <c:v>0.64278760968653925</c:v>
                </c:pt>
                <c:pt idx="4">
                  <c:v>0.76604444311897801</c:v>
                </c:pt>
                <c:pt idx="5">
                  <c:v>0.8660254037844386</c:v>
                </c:pt>
                <c:pt idx="6">
                  <c:v>0.93969262078590832</c:v>
                </c:pt>
                <c:pt idx="7">
                  <c:v>0.98480775301220802</c:v>
                </c:pt>
              </c:numCache>
            </c:numRef>
          </c:xVal>
          <c:yVal>
            <c:numRef>
              <c:f>'M1 - white'!$G$2:$G$9</c:f>
              <c:numCache>
                <c:formatCode>0.000</c:formatCode>
                <c:ptCount val="8"/>
                <c:pt idx="0">
                  <c:v>-1.7395304235829079E-3</c:v>
                </c:pt>
                <c:pt idx="1">
                  <c:v>2.1172205254950394E-3</c:v>
                </c:pt>
                <c:pt idx="2">
                  <c:v>-3.3968875110640395E-4</c:v>
                </c:pt>
                <c:pt idx="3">
                  <c:v>1.4684302334388999E-4</c:v>
                </c:pt>
                <c:pt idx="4">
                  <c:v>1.4276094847844867E-3</c:v>
                </c:pt>
                <c:pt idx="5">
                  <c:v>-5.4141875864499589E-4</c:v>
                </c:pt>
                <c:pt idx="6">
                  <c:v>-1.8491240688762733E-3</c:v>
                </c:pt>
                <c:pt idx="7">
                  <c:v>7.7808896858677645E-4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0F-4955-82A6-4713318B8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sen(</a:t>
                </a:r>
                <a:r>
                  <a:rPr lang="el-GR"/>
                  <a:t>θ</a:t>
                </a:r>
                <a:r>
                  <a:rPr lang="pt-PT"/>
                  <a:t>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7298319"/>
        <c:crossesAt val="-3.0000000000000009E-3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7293743"/>
        <c:crosses val="autoZero"/>
        <c:crossBetween val="midCat"/>
        <c:majorUnit val="1.0000000000000002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'M2 - white'!$D$2:$D$8</c:f>
              <c:numCache>
                <c:formatCode>0.000</c:formatCode>
                <c:ptCount val="7"/>
                <c:pt idx="0">
                  <c:v>0.17364817766693033</c:v>
                </c:pt>
                <c:pt idx="1">
                  <c:v>0.34202014332566871</c:v>
                </c:pt>
                <c:pt idx="2">
                  <c:v>0.49999999999999994</c:v>
                </c:pt>
                <c:pt idx="3">
                  <c:v>0.64278760968653925</c:v>
                </c:pt>
                <c:pt idx="4">
                  <c:v>0.25881904510252074</c:v>
                </c:pt>
                <c:pt idx="5">
                  <c:v>0.42261826174069944</c:v>
                </c:pt>
                <c:pt idx="6">
                  <c:v>0.57357643635104605</c:v>
                </c:pt>
              </c:numCache>
            </c:numRef>
          </c:xVal>
          <c:yVal>
            <c:numRef>
              <c:f>'M2 - white'!$E$2:$E$8</c:f>
              <c:numCache>
                <c:formatCode>0.000</c:formatCode>
                <c:ptCount val="7"/>
                <c:pt idx="0">
                  <c:v>0.25038000405444144</c:v>
                </c:pt>
                <c:pt idx="1">
                  <c:v>0.49999999999999994</c:v>
                </c:pt>
                <c:pt idx="2">
                  <c:v>0.73727733681012408</c:v>
                </c:pt>
                <c:pt idx="3">
                  <c:v>0.94551857559931674</c:v>
                </c:pt>
                <c:pt idx="4">
                  <c:v>0.38268343236508978</c:v>
                </c:pt>
                <c:pt idx="5">
                  <c:v>0.62251463663761952</c:v>
                </c:pt>
                <c:pt idx="6">
                  <c:v>0.84804809615642596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65-4FD1-AE10-60FDD565C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sen(</a:t>
                </a:r>
                <a:r>
                  <a:rPr lang="el-GR"/>
                  <a:t>θ</a:t>
                </a:r>
                <a:r>
                  <a:rPr lang="pt-PT"/>
                  <a:t>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095232"/>
        <c:crosses val="autoZero"/>
        <c:crossBetween val="midCat"/>
      </c:valAx>
      <c:valAx>
        <c:axId val="1139095232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sen(</a:t>
                </a:r>
                <a:r>
                  <a:rPr lang="el-GR"/>
                  <a:t>θ</a:t>
                </a:r>
                <a:r>
                  <a:rPr lang="pt-PT"/>
                  <a:t>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09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'M2 - white'!$D$2:$D$8</c:f>
              <c:numCache>
                <c:formatCode>0.000</c:formatCode>
                <c:ptCount val="7"/>
                <c:pt idx="0">
                  <c:v>0.17364817766693033</c:v>
                </c:pt>
                <c:pt idx="1">
                  <c:v>0.34202014332566871</c:v>
                </c:pt>
                <c:pt idx="2">
                  <c:v>0.49999999999999994</c:v>
                </c:pt>
                <c:pt idx="3">
                  <c:v>0.64278760968653925</c:v>
                </c:pt>
                <c:pt idx="4">
                  <c:v>0.25881904510252074</c:v>
                </c:pt>
                <c:pt idx="5">
                  <c:v>0.42261826174069944</c:v>
                </c:pt>
                <c:pt idx="6">
                  <c:v>0.57357643635104605</c:v>
                </c:pt>
              </c:numCache>
            </c:numRef>
          </c:xVal>
          <c:yVal>
            <c:numRef>
              <c:f>'M2 - white'!$G$2:$G$8</c:f>
              <c:numCache>
                <c:formatCode>0.000</c:formatCode>
                <c:ptCount val="7"/>
                <c:pt idx="0">
                  <c:v>-2.3733556928831612E-3</c:v>
                </c:pt>
                <c:pt idx="1">
                  <c:v>-2.3612027533004842E-3</c:v>
                </c:pt>
                <c:pt idx="2">
                  <c:v>7.1437066589730147E-4</c:v>
                </c:pt>
                <c:pt idx="3">
                  <c:v>-2.7239722519644127E-3</c:v>
                </c:pt>
                <c:pt idx="4">
                  <c:v>3.6660807211885138E-3</c:v>
                </c:pt>
                <c:pt idx="5">
                  <c:v>6.6844474609362159E-4</c:v>
                </c:pt>
                <c:pt idx="6">
                  <c:v>2.4096345649678996E-3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EC-4315-AE9F-27AF23E51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348240"/>
        <c:axId val="2086349904"/>
      </c:scatterChart>
      <c:valAx>
        <c:axId val="2086348240"/>
        <c:scaling>
          <c:orientation val="minMax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baseline="0">
                    <a:effectLst/>
                  </a:rPr>
                  <a:t>sen(</a:t>
                </a:r>
                <a:r>
                  <a:rPr lang="el-GR" sz="1000" b="0" i="0" u="none" strike="noStrike" baseline="0">
                    <a:effectLst/>
                  </a:rPr>
                  <a:t>θ</a:t>
                </a:r>
                <a:r>
                  <a:rPr lang="pt-PT" sz="1000" b="0" i="0" u="none" strike="noStrike" baseline="0">
                    <a:effectLst/>
                  </a:rPr>
                  <a:t>i)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86349904"/>
        <c:crossesAt val="-3.0000000000000009E-3"/>
        <c:crossBetween val="midCat"/>
      </c:valAx>
      <c:valAx>
        <c:axId val="2086349904"/>
        <c:scaling>
          <c:orientation val="minMax"/>
          <c:min val="-3.000000000000000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8634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'M1 - blue'!$D$2:$D$12</c:f>
              <c:numCache>
                <c:formatCode>0.000</c:formatCode>
                <c:ptCount val="11"/>
                <c:pt idx="0">
                  <c:v>0.17364817766693033</c:v>
                </c:pt>
                <c:pt idx="1">
                  <c:v>0.34202014332566871</c:v>
                </c:pt>
                <c:pt idx="2">
                  <c:v>0.49999999999999994</c:v>
                </c:pt>
                <c:pt idx="3">
                  <c:v>0.64278760968653925</c:v>
                </c:pt>
                <c:pt idx="4">
                  <c:v>0.76604444311897801</c:v>
                </c:pt>
                <c:pt idx="5">
                  <c:v>0.8660254037844386</c:v>
                </c:pt>
                <c:pt idx="6">
                  <c:v>0.90630778703664994</c:v>
                </c:pt>
                <c:pt idx="7">
                  <c:v>0.93969262078590832</c:v>
                </c:pt>
                <c:pt idx="8">
                  <c:v>0.96592582628906831</c:v>
                </c:pt>
                <c:pt idx="9">
                  <c:v>0.98480775301220802</c:v>
                </c:pt>
                <c:pt idx="10">
                  <c:v>0.99619469809174555</c:v>
                </c:pt>
              </c:numCache>
            </c:numRef>
          </c:xVal>
          <c:yVal>
            <c:numRef>
              <c:f>'M1 - blue'!$E$2:$E$12</c:f>
              <c:numCache>
                <c:formatCode>0.000</c:formatCode>
                <c:ptCount val="11"/>
                <c:pt idx="0">
                  <c:v>0.11320321376790672</c:v>
                </c:pt>
                <c:pt idx="1">
                  <c:v>0.224951054343865</c:v>
                </c:pt>
                <c:pt idx="2">
                  <c:v>0.3338068592337709</c:v>
                </c:pt>
                <c:pt idx="3">
                  <c:v>0.41469324265623903</c:v>
                </c:pt>
                <c:pt idx="4">
                  <c:v>0.50753836296070409</c:v>
                </c:pt>
                <c:pt idx="5">
                  <c:v>0.57357643635104605</c:v>
                </c:pt>
                <c:pt idx="6">
                  <c:v>0.60181502315204827</c:v>
                </c:pt>
                <c:pt idx="7">
                  <c:v>0.62932039104983739</c:v>
                </c:pt>
                <c:pt idx="8">
                  <c:v>0.64278760968653925</c:v>
                </c:pt>
                <c:pt idx="9">
                  <c:v>0.65605902899050716</c:v>
                </c:pt>
                <c:pt idx="10">
                  <c:v>0.6626200482157375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D2-44E3-9346-6586BA52A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sen(</a:t>
                </a:r>
                <a:r>
                  <a:rPr lang="el-GR"/>
                  <a:t>θ</a:t>
                </a:r>
                <a:r>
                  <a:rPr lang="pt-PT"/>
                  <a:t>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095232"/>
        <c:crosses val="autoZero"/>
        <c:crossBetween val="midCat"/>
      </c:valAx>
      <c:valAx>
        <c:axId val="1139095232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sen(</a:t>
                </a:r>
                <a:r>
                  <a:rPr lang="el-GR"/>
                  <a:t>θ</a:t>
                </a:r>
                <a:r>
                  <a:rPr lang="pt-PT"/>
                  <a:t>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09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'M1 - blue'!$D$2:$D$12</c:f>
              <c:numCache>
                <c:formatCode>0.000</c:formatCode>
                <c:ptCount val="11"/>
                <c:pt idx="0">
                  <c:v>0.17364817766693033</c:v>
                </c:pt>
                <c:pt idx="1">
                  <c:v>0.34202014332566871</c:v>
                </c:pt>
                <c:pt idx="2">
                  <c:v>0.49999999999999994</c:v>
                </c:pt>
                <c:pt idx="3">
                  <c:v>0.64278760968653925</c:v>
                </c:pt>
                <c:pt idx="4">
                  <c:v>0.76604444311897801</c:v>
                </c:pt>
                <c:pt idx="5">
                  <c:v>0.8660254037844386</c:v>
                </c:pt>
                <c:pt idx="6">
                  <c:v>0.90630778703664994</c:v>
                </c:pt>
                <c:pt idx="7">
                  <c:v>0.93969262078590832</c:v>
                </c:pt>
                <c:pt idx="8">
                  <c:v>0.96592582628906831</c:v>
                </c:pt>
                <c:pt idx="9">
                  <c:v>0.98480775301220802</c:v>
                </c:pt>
                <c:pt idx="10">
                  <c:v>0.99619469809174555</c:v>
                </c:pt>
              </c:numCache>
            </c:numRef>
          </c:xVal>
          <c:yVal>
            <c:numRef>
              <c:f>'M1 - blue'!$G$2:$G$12</c:f>
              <c:numCache>
                <c:formatCode>0.000</c:formatCode>
                <c:ptCount val="11"/>
                <c:pt idx="0">
                  <c:v>1.8483181818934741E-3</c:v>
                </c:pt>
                <c:pt idx="1">
                  <c:v>8.0494272929493293E-4</c:v>
                </c:pt>
                <c:pt idx="2">
                  <c:v>3.8311335703245519E-3</c:v>
                </c:pt>
                <c:pt idx="3">
                  <c:v>-1.0934915805896728E-2</c:v>
                </c:pt>
                <c:pt idx="4">
                  <c:v>-6.5869628181236539E-4</c:v>
                </c:pt>
                <c:pt idx="5">
                  <c:v>-1.5971773852103688E-3</c:v>
                </c:pt>
                <c:pt idx="6">
                  <c:v>-3.4348069800660408E-4</c:v>
                </c:pt>
                <c:pt idx="7">
                  <c:v>4.7976178230020317E-3</c:v>
                </c:pt>
                <c:pt idx="8">
                  <c:v>6.9139341381363462E-4</c:v>
                </c:pt>
                <c:pt idx="9">
                  <c:v>1.3139405154957151E-3</c:v>
                </c:pt>
                <c:pt idx="10">
                  <c:v>2.4692393710190608E-4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B-46D8-B2A3-03A37C3C2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841968"/>
        <c:axId val="140843216"/>
      </c:scatterChart>
      <c:valAx>
        <c:axId val="14084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baseline="0">
                    <a:effectLst/>
                  </a:rPr>
                  <a:t>sen(</a:t>
                </a:r>
                <a:r>
                  <a:rPr lang="el-GR" sz="1000" b="0" i="0" u="none" strike="noStrike" baseline="0">
                    <a:effectLst/>
                  </a:rPr>
                  <a:t>θ</a:t>
                </a:r>
                <a:r>
                  <a:rPr lang="pt-PT" sz="1000" b="0" i="0" u="none" strike="noStrike" baseline="0">
                    <a:effectLst/>
                  </a:rPr>
                  <a:t>i)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0843216"/>
        <c:crossesAt val="-1.2000000000000002E-2"/>
        <c:crossBetween val="midCat"/>
      </c:valAx>
      <c:valAx>
        <c:axId val="14084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0841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'M2 - blue'!$D$2:$D$8</c:f>
              <c:numCache>
                <c:formatCode>0.000</c:formatCode>
                <c:ptCount val="7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</c:numCache>
            </c:numRef>
          </c:xVal>
          <c:yVal>
            <c:numRef>
              <c:f>'M2 - blue'!$E$2:$E$8</c:f>
              <c:numCache>
                <c:formatCode>0.000</c:formatCode>
                <c:ptCount val="7"/>
                <c:pt idx="0">
                  <c:v>0.17364817766693033</c:v>
                </c:pt>
                <c:pt idx="1">
                  <c:v>0.28401534470392265</c:v>
                </c:pt>
                <c:pt idx="2">
                  <c:v>0.41469324265623903</c:v>
                </c:pt>
                <c:pt idx="3">
                  <c:v>0.53729960834682389</c:v>
                </c:pt>
                <c:pt idx="4">
                  <c:v>0.64944804833018366</c:v>
                </c:pt>
                <c:pt idx="5">
                  <c:v>0.76604444311897801</c:v>
                </c:pt>
                <c:pt idx="6">
                  <c:v>0.8660254037844386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CB-4C84-9327-C23B04A23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0.60000000000000009"/>
          <c:min val="5.000000000000001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sen(</a:t>
                </a:r>
                <a:r>
                  <a:rPr lang="el-GR"/>
                  <a:t>θ</a:t>
                </a:r>
                <a:r>
                  <a:rPr lang="pt-PT"/>
                  <a:t>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095232"/>
        <c:crosses val="autoZero"/>
        <c:crossBetween val="midCat"/>
      </c:valAx>
      <c:valAx>
        <c:axId val="1139095232"/>
        <c:scaling>
          <c:orientation val="minMax"/>
          <c:max val="0.9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sen(</a:t>
                </a:r>
                <a:r>
                  <a:rPr lang="el-GR"/>
                  <a:t>θ</a:t>
                </a:r>
                <a:r>
                  <a:rPr lang="pt-PT"/>
                  <a:t>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09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'M2 - blue'!$D$2:$D$8</c:f>
              <c:numCache>
                <c:formatCode>0.000</c:formatCode>
                <c:ptCount val="7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</c:numCache>
            </c:numRef>
          </c:xVal>
          <c:yVal>
            <c:numRef>
              <c:f>'M2 - blue'!$G$2:$G$8</c:f>
              <c:numCache>
                <c:formatCode>0.000</c:formatCode>
                <c:ptCount val="7"/>
                <c:pt idx="0">
                  <c:v>5.7402041304666085E-3</c:v>
                </c:pt>
                <c:pt idx="1">
                  <c:v>-8.3953104152459379E-3</c:v>
                </c:pt>
                <c:pt idx="2">
                  <c:v>-3.1774621874691711E-4</c:v>
                </c:pt>
                <c:pt idx="3">
                  <c:v>2.5236961108953126E-3</c:v>
                </c:pt>
                <c:pt idx="4">
                  <c:v>-1.3458934889979401E-3</c:v>
                </c:pt>
                <c:pt idx="5">
                  <c:v>3.8623327529631046E-3</c:v>
                </c:pt>
                <c:pt idx="6">
                  <c:v>-2.06728287133362E-3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3D-494C-AF19-F1D0EF23F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334896"/>
        <c:axId val="154324080"/>
      </c:scatterChart>
      <c:valAx>
        <c:axId val="15433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baseline="0">
                    <a:effectLst/>
                  </a:rPr>
                  <a:t>sen(</a:t>
                </a:r>
                <a:r>
                  <a:rPr lang="el-GR" sz="1000" b="0" i="0" u="none" strike="noStrike" baseline="0">
                    <a:effectLst/>
                  </a:rPr>
                  <a:t>θ</a:t>
                </a:r>
                <a:r>
                  <a:rPr lang="pt-PT" sz="1000" b="0" i="0" u="none" strike="noStrike" baseline="0">
                    <a:effectLst/>
                  </a:rPr>
                  <a:t>i)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4324080"/>
        <c:crossesAt val="-1.2000000000000002E-2"/>
        <c:crossBetween val="midCat"/>
      </c:valAx>
      <c:valAx>
        <c:axId val="15432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4334896"/>
        <c:crosses val="autoZero"/>
        <c:crossBetween val="midCat"/>
        <c:majorUnit val="3.0000000000000009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'M1 - red'!$D$2:$D$12</c:f>
              <c:numCache>
                <c:formatCode>0.000</c:formatCode>
                <c:ptCount val="11"/>
                <c:pt idx="0">
                  <c:v>0.17364817766693033</c:v>
                </c:pt>
                <c:pt idx="1">
                  <c:v>0.34202014332566871</c:v>
                </c:pt>
                <c:pt idx="2">
                  <c:v>0.49999999999999994</c:v>
                </c:pt>
                <c:pt idx="3">
                  <c:v>0.64278760968653925</c:v>
                </c:pt>
                <c:pt idx="4">
                  <c:v>0.76604444311897801</c:v>
                </c:pt>
                <c:pt idx="5">
                  <c:v>0.8660254037844386</c:v>
                </c:pt>
                <c:pt idx="6">
                  <c:v>0.90630778703664994</c:v>
                </c:pt>
                <c:pt idx="7">
                  <c:v>0.93969262078590832</c:v>
                </c:pt>
                <c:pt idx="8">
                  <c:v>0.96592582628906831</c:v>
                </c:pt>
                <c:pt idx="9">
                  <c:v>0.98480775301220802</c:v>
                </c:pt>
                <c:pt idx="10">
                  <c:v>0.99619469809174555</c:v>
                </c:pt>
              </c:numCache>
            </c:numRef>
          </c:xVal>
          <c:yVal>
            <c:numRef>
              <c:f>'M1 - red'!$E$2:$E$12</c:f>
              <c:numCache>
                <c:formatCode>0.000</c:formatCode>
                <c:ptCount val="11"/>
                <c:pt idx="0">
                  <c:v>0.13052619222005157</c:v>
                </c:pt>
                <c:pt idx="1">
                  <c:v>0.24192189559966773</c:v>
                </c:pt>
                <c:pt idx="2">
                  <c:v>0.35020738125946738</c:v>
                </c:pt>
                <c:pt idx="3">
                  <c:v>0.44619781310980877</c:v>
                </c:pt>
                <c:pt idx="4">
                  <c:v>0.5224985647159488</c:v>
                </c:pt>
                <c:pt idx="5">
                  <c:v>0.59482278675134126</c:v>
                </c:pt>
                <c:pt idx="6">
                  <c:v>0.60876142900872066</c:v>
                </c:pt>
                <c:pt idx="7">
                  <c:v>0.62932039104983739</c:v>
                </c:pt>
                <c:pt idx="8">
                  <c:v>0.64944804833018366</c:v>
                </c:pt>
                <c:pt idx="9">
                  <c:v>0.6626200482157375</c:v>
                </c:pt>
                <c:pt idx="10">
                  <c:v>0.66913060635885824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01-4611-966A-7A5B1F373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1.1000000000000001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sen(</a:t>
                </a:r>
                <a:r>
                  <a:rPr lang="el-GR"/>
                  <a:t>θ</a:t>
                </a:r>
                <a:r>
                  <a:rPr lang="pt-PT"/>
                  <a:t>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095232"/>
        <c:crosses val="autoZero"/>
        <c:crossBetween val="midCat"/>
      </c:valAx>
      <c:valAx>
        <c:axId val="1139095232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sen(</a:t>
                </a:r>
                <a:r>
                  <a:rPr lang="el-GR"/>
                  <a:t>θ</a:t>
                </a:r>
                <a:r>
                  <a:rPr lang="pt-PT"/>
                  <a:t>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09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'M1 - red'!$D$2:$D$12</c:f>
              <c:numCache>
                <c:formatCode>0.000</c:formatCode>
                <c:ptCount val="11"/>
                <c:pt idx="0">
                  <c:v>0.17364817766693033</c:v>
                </c:pt>
                <c:pt idx="1">
                  <c:v>0.34202014332566871</c:v>
                </c:pt>
                <c:pt idx="2">
                  <c:v>0.49999999999999994</c:v>
                </c:pt>
                <c:pt idx="3">
                  <c:v>0.64278760968653925</c:v>
                </c:pt>
                <c:pt idx="4">
                  <c:v>0.76604444311897801</c:v>
                </c:pt>
                <c:pt idx="5">
                  <c:v>0.8660254037844386</c:v>
                </c:pt>
                <c:pt idx="6">
                  <c:v>0.90630778703664994</c:v>
                </c:pt>
                <c:pt idx="7">
                  <c:v>0.93969262078590832</c:v>
                </c:pt>
                <c:pt idx="8">
                  <c:v>0.96592582628906831</c:v>
                </c:pt>
                <c:pt idx="9">
                  <c:v>0.98480775301220802</c:v>
                </c:pt>
                <c:pt idx="10">
                  <c:v>0.99619469809174555</c:v>
                </c:pt>
              </c:numCache>
            </c:numRef>
          </c:xVal>
          <c:yVal>
            <c:numRef>
              <c:f>'M1 - red'!$G$2:$G$12</c:f>
              <c:numCache>
                <c:formatCode>0.000</c:formatCode>
                <c:ptCount val="11"/>
                <c:pt idx="0">
                  <c:v>-3.6312479860485247E-3</c:v>
                </c:pt>
                <c:pt idx="1">
                  <c:v>-2.142683712493737E-3</c:v>
                </c:pt>
                <c:pt idx="2">
                  <c:v>3.0192563170703957E-3</c:v>
                </c:pt>
                <c:pt idx="3">
                  <c:v>5.8030927639447505E-3</c:v>
                </c:pt>
                <c:pt idx="4">
                  <c:v>1.6462344299076337E-3</c:v>
                </c:pt>
                <c:pt idx="5">
                  <c:v>8.7064957529300324E-3</c:v>
                </c:pt>
                <c:pt idx="6">
                  <c:v>-3.6497471405707582E-3</c:v>
                </c:pt>
                <c:pt idx="7">
                  <c:v>-4.8831990120491442E-3</c:v>
                </c:pt>
                <c:pt idx="8">
                  <c:v>-1.8796309775188647E-3</c:v>
                </c:pt>
                <c:pt idx="9">
                  <c:v>-1.0330710120333153E-3</c:v>
                </c:pt>
                <c:pt idx="10">
                  <c:v>-1.9554994231374412E-3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2B-42E8-96D2-D244DFA59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710880"/>
        <c:axId val="1651711712"/>
      </c:scatterChart>
      <c:valAx>
        <c:axId val="165171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baseline="0">
                    <a:effectLst/>
                  </a:rPr>
                  <a:t>sen(</a:t>
                </a:r>
                <a:r>
                  <a:rPr lang="el-GR" sz="1000" b="0" i="0" u="none" strike="noStrike" baseline="0">
                    <a:effectLst/>
                  </a:rPr>
                  <a:t>θ</a:t>
                </a:r>
                <a:r>
                  <a:rPr lang="pt-PT" sz="1000" b="0" i="0" u="none" strike="noStrike" baseline="0">
                    <a:effectLst/>
                  </a:rPr>
                  <a:t>i)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51711712"/>
        <c:crossesAt val="-6.0000000000000019E-3"/>
        <c:crossBetween val="midCat"/>
      </c:valAx>
      <c:valAx>
        <c:axId val="165171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51710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'M2 - red'!$D$2:$D$9</c:f>
              <c:numCache>
                <c:formatCode>0.000</c:formatCode>
                <c:ptCount val="8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</c:numCache>
            </c:numRef>
          </c:xVal>
          <c:yVal>
            <c:numRef>
              <c:f>'M2 - red'!$E$2:$E$9</c:f>
              <c:numCache>
                <c:formatCode>0.000</c:formatCode>
                <c:ptCount val="8"/>
                <c:pt idx="0">
                  <c:v>0.13917310096006544</c:v>
                </c:pt>
                <c:pt idx="1">
                  <c:v>0.25881904510252074</c:v>
                </c:pt>
                <c:pt idx="2">
                  <c:v>0.3987490689252462</c:v>
                </c:pt>
                <c:pt idx="3">
                  <c:v>0.5224985647159488</c:v>
                </c:pt>
                <c:pt idx="4">
                  <c:v>0.63607822027776395</c:v>
                </c:pt>
                <c:pt idx="5">
                  <c:v>0.75470958022277201</c:v>
                </c:pt>
                <c:pt idx="6">
                  <c:v>0.8660254037844386</c:v>
                </c:pt>
                <c:pt idx="7">
                  <c:v>0.95630475596303544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FA-454C-BDE6-EBAA32168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0.70000000000000007"/>
          <c:min val="5.000000000000001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sen(</a:t>
                </a:r>
                <a:r>
                  <a:rPr lang="el-GR"/>
                  <a:t>θ</a:t>
                </a:r>
                <a:r>
                  <a:rPr lang="pt-PT"/>
                  <a:t>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095232"/>
        <c:crosses val="autoZero"/>
        <c:crossBetween val="midCat"/>
      </c:valAx>
      <c:valAx>
        <c:axId val="1139095232"/>
        <c:scaling>
          <c:orientation val="minMax"/>
          <c:max val="1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sen(</a:t>
                </a:r>
                <a:r>
                  <a:rPr lang="el-GR"/>
                  <a:t>θ</a:t>
                </a:r>
                <a:r>
                  <a:rPr lang="pt-PT"/>
                  <a:t>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09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'M2 - red'!$D$2:$D$9</c:f>
              <c:numCache>
                <c:formatCode>0.000</c:formatCode>
                <c:ptCount val="8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</c:numCache>
            </c:numRef>
          </c:xVal>
          <c:yVal>
            <c:numRef>
              <c:f>'M2 - red'!$G$2:$G$9</c:f>
              <c:numCache>
                <c:formatCode>0.000</c:formatCode>
                <c:ptCount val="8"/>
                <c:pt idx="0">
                  <c:v>2.7711260530721704E-4</c:v>
                </c:pt>
                <c:pt idx="1">
                  <c:v>-8.5434170768939888E-3</c:v>
                </c:pt>
                <c:pt idx="2">
                  <c:v>4.883045801456154E-3</c:v>
                </c:pt>
                <c:pt idx="3">
                  <c:v>5.0546620117898344E-3</c:v>
                </c:pt>
                <c:pt idx="4">
                  <c:v>-1.0773783607871401E-3</c:v>
                </c:pt>
                <c:pt idx="5">
                  <c:v>2.6195475857648809E-3</c:v>
                </c:pt>
                <c:pt idx="6">
                  <c:v>4.6529195269480184E-3</c:v>
                </c:pt>
                <c:pt idx="7">
                  <c:v>-7.8664920935852534E-3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9E-41BA-BF65-B4AC27E67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62976"/>
        <c:axId val="51665888"/>
      </c:scatterChart>
      <c:valAx>
        <c:axId val="5166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baseline="0">
                    <a:effectLst/>
                  </a:rPr>
                  <a:t>sen(</a:t>
                </a:r>
                <a:r>
                  <a:rPr lang="el-GR" sz="1000" b="0" i="0" u="none" strike="noStrike" baseline="0">
                    <a:effectLst/>
                  </a:rPr>
                  <a:t>θ</a:t>
                </a:r>
                <a:r>
                  <a:rPr lang="pt-PT" sz="1000" b="0" i="0" u="none" strike="noStrike" baseline="0">
                    <a:effectLst/>
                  </a:rPr>
                  <a:t>i)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665888"/>
        <c:crossesAt val="-0.1"/>
        <c:crossBetween val="midCat"/>
      </c:valAx>
      <c:valAx>
        <c:axId val="516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662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121920</xdr:colOff>
      <xdr:row>0</xdr:row>
      <xdr:rowOff>45720</xdr:rowOff>
    </xdr:from>
    <xdr:to>
      <xdr:col>14</xdr:col>
      <xdr:colOff>354720</xdr:colOff>
      <xdr:row>13</xdr:row>
      <xdr:rowOff>154920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ECAACBB-06CE-479F-A503-E34DE62BB9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121920</xdr:colOff>
      <xdr:row>14</xdr:row>
      <xdr:rowOff>60960</xdr:rowOff>
    </xdr:from>
    <xdr:to>
      <xdr:col>14</xdr:col>
      <xdr:colOff>354720</xdr:colOff>
      <xdr:row>27</xdr:row>
      <xdr:rowOff>170160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45247C8-7F66-4085-83E5-400C87660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144780</xdr:colOff>
      <xdr:row>0</xdr:row>
      <xdr:rowOff>99059</xdr:rowOff>
    </xdr:from>
    <xdr:to>
      <xdr:col>14</xdr:col>
      <xdr:colOff>377580</xdr:colOff>
      <xdr:row>14</xdr:row>
      <xdr:rowOff>42004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530FC19-BFCB-4524-8946-3DFB523CE7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144780</xdr:colOff>
      <xdr:row>14</xdr:row>
      <xdr:rowOff>60960</xdr:rowOff>
    </xdr:from>
    <xdr:to>
      <xdr:col>14</xdr:col>
      <xdr:colOff>377580</xdr:colOff>
      <xdr:row>27</xdr:row>
      <xdr:rowOff>156306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1EB361A-B17A-463E-905A-E5BDF63AD8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128194</xdr:colOff>
      <xdr:row>0</xdr:row>
      <xdr:rowOff>61406</xdr:rowOff>
    </xdr:from>
    <xdr:to>
      <xdr:col>14</xdr:col>
      <xdr:colOff>344831</xdr:colOff>
      <xdr:row>13</xdr:row>
      <xdr:rowOff>186770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C601E19-549A-4476-86FA-A1161EF997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125505</xdr:colOff>
      <xdr:row>14</xdr:row>
      <xdr:rowOff>58271</xdr:rowOff>
    </xdr:from>
    <xdr:to>
      <xdr:col>14</xdr:col>
      <xdr:colOff>342142</xdr:colOff>
      <xdr:row>27</xdr:row>
      <xdr:rowOff>102816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724C69C-4E7F-48DC-9A4A-04A37D2EF4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</xdr:colOff>
      <xdr:row>0</xdr:row>
      <xdr:rowOff>53340</xdr:rowOff>
    </xdr:from>
    <xdr:to>
      <xdr:col>14</xdr:col>
      <xdr:colOff>293760</xdr:colOff>
      <xdr:row>13</xdr:row>
      <xdr:rowOff>147300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29463CE-6E32-4E10-97B7-89EE98E481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60960</xdr:colOff>
      <xdr:row>13</xdr:row>
      <xdr:rowOff>198120</xdr:rowOff>
    </xdr:from>
    <xdr:to>
      <xdr:col>14</xdr:col>
      <xdr:colOff>293760</xdr:colOff>
      <xdr:row>27</xdr:row>
      <xdr:rowOff>124440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74C0C45-77CF-410E-A349-E1498B0452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119231</xdr:colOff>
      <xdr:row>0</xdr:row>
      <xdr:rowOff>70373</xdr:rowOff>
    </xdr:from>
    <xdr:to>
      <xdr:col>14</xdr:col>
      <xdr:colOff>352031</xdr:colOff>
      <xdr:row>13</xdr:row>
      <xdr:rowOff>188538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E29401B-18C6-4AFD-AFDF-F49D81C757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121023</xdr:colOff>
      <xdr:row>14</xdr:row>
      <xdr:rowOff>94129</xdr:rowOff>
    </xdr:from>
    <xdr:to>
      <xdr:col>14</xdr:col>
      <xdr:colOff>353823</xdr:colOff>
      <xdr:row>27</xdr:row>
      <xdr:rowOff>158506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4399DAE-85FD-4B16-A658-62CFCC5BF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0</xdr:row>
      <xdr:rowOff>38100</xdr:rowOff>
    </xdr:from>
    <xdr:to>
      <xdr:col>14</xdr:col>
      <xdr:colOff>339480</xdr:colOff>
      <xdr:row>13</xdr:row>
      <xdr:rowOff>132060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B142C8-F79F-4A99-A700-AE27D07214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83820</xdr:colOff>
      <xdr:row>13</xdr:row>
      <xdr:rowOff>167640</xdr:rowOff>
    </xdr:from>
    <xdr:to>
      <xdr:col>14</xdr:col>
      <xdr:colOff>316620</xdr:colOff>
      <xdr:row>27</xdr:row>
      <xdr:rowOff>70011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B97B622-C915-4102-B52D-752C779800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913F9F-086C-4CCA-BDA8-9A58CAC3D6E0}" name="Tabela1" displayName="Tabela1" ref="A1:G9" totalsRowShown="0" headerRowDxfId="53" dataDxfId="52">
  <autoFilter ref="A1:G9" xr:uid="{8B913F9F-086C-4CCA-BDA8-9A58CAC3D6E0}"/>
  <tableColumns count="7">
    <tableColumn id="1" xr3:uid="{651CB1E7-ACBF-4372-9CD7-243FEFFD87AF}" name="θi(°) ± 0.5" dataDxfId="51"/>
    <tableColumn id="2" xr3:uid="{B11F2F8D-D5AC-4DA6-898B-CF15D5DF2A06}" name="θt(°)" dataDxfId="50"/>
    <tableColumn id="5" xr3:uid="{2D82D289-8AD8-4048-B07B-B7C58989C956}" name="u(θt)" dataDxfId="49"/>
    <tableColumn id="3" xr3:uid="{2C37417A-1309-480A-9DA7-7BA858DA7037}" name="sen(θi)" dataDxfId="48">
      <calculatedColumnFormula>SIN(Tabela1[[#This Row],[θi(°) ± 0.5]]*PI()/180)</calculatedColumnFormula>
    </tableColumn>
    <tableColumn id="4" xr3:uid="{3EB0B99A-8DF5-47E6-83FD-3DA787247711}" name="sen(θt)" dataDxfId="47">
      <calculatedColumnFormula>SIN(Tabela1[[#This Row],[θt(°)]]*PI()/180)</calculatedColumnFormula>
    </tableColumn>
    <tableColumn id="8" xr3:uid="{46159967-F5BE-45FC-A2D2-96E68F1CFE2B}" name="Ajuste sen(θt)" dataDxfId="46">
      <calculatedColumnFormula>$B$14*Tabela1[[#This Row],[sen(θi)]]+$C$14</calculatedColumnFormula>
    </tableColumn>
    <tableColumn id="9" xr3:uid="{9E55EDE9-017C-46B9-AC6D-FCC013C0A8E8}" name="Resíduos" dataDxfId="45">
      <calculatedColumnFormula>Tabela1[[#This Row],[sen(θt)]]-Tabela1[[#This Row],[Ajuste sen(θt)]]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A2137E-E92A-4634-87B4-3F89CC03B888}" name="Tabela13" displayName="Tabela13" ref="A1:G8" totalsRowShown="0" headerRowDxfId="44" dataDxfId="43">
  <autoFilter ref="A1:G8" xr:uid="{8B913F9F-086C-4CCA-BDA8-9A58CAC3D6E0}"/>
  <tableColumns count="7">
    <tableColumn id="1" xr3:uid="{15CF69B3-6B73-4643-A8C2-8152A464796C}" name="θi(°) ± 0.5" dataDxfId="42"/>
    <tableColumn id="2" xr3:uid="{954B3319-13AC-475D-A21A-D39BB25D67A0}" name="θt(°)" dataDxfId="41"/>
    <tableColumn id="5" xr3:uid="{D800C31B-6819-4B51-8688-4A4A5D50BCC7}" name="u(θt)" dataDxfId="40"/>
    <tableColumn id="3" xr3:uid="{EF48A7EE-BA0C-4AC6-A398-18D9E0772ADE}" name="sen(θi)" dataDxfId="39">
      <calculatedColumnFormula>SIN(Tabela13[[#This Row],[θi(°) ± 0.5]]*PI()/180)</calculatedColumnFormula>
    </tableColumn>
    <tableColumn id="4" xr3:uid="{719B68B3-BDDE-49C0-B534-615505942839}" name="sen(θt)" dataDxfId="38">
      <calculatedColumnFormula>SIN(Tabela13[[#This Row],[θt(°)]]*PI()/180)</calculatedColumnFormula>
    </tableColumn>
    <tableColumn id="6" xr3:uid="{30D157CE-64E3-4CC0-8840-AF9FDAA150E5}" name="Ajuste sen(θt)" dataDxfId="37">
      <calculatedColumnFormula>$B$15*Tabela13[[#This Row],[sen(θi)]]+$C$15</calculatedColumnFormula>
    </tableColumn>
    <tableColumn id="7" xr3:uid="{CE949DE6-BBE9-4A1D-A066-279AE3585012}" name="Resíduos" dataDxfId="36">
      <calculatedColumnFormula>Tabela13[[#This Row],[sen(θt)]]-Tabela13[[#This Row],[Ajuste sen(θt)]]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D7E64E-5EFD-4643-8493-52FA7A652D83}" name="Tabela146" displayName="Tabela146" ref="A1:G12" totalsRowShown="0" headerRowDxfId="26" dataDxfId="25">
  <autoFilter ref="A1:G12" xr:uid="{8B913F9F-086C-4CCA-BDA8-9A58CAC3D6E0}"/>
  <tableColumns count="7">
    <tableColumn id="1" xr3:uid="{811A3B72-14F6-44B7-8ED6-DE19AE4C4209}" name="θi(°) ± 0.5" dataDxfId="24"/>
    <tableColumn id="2" xr3:uid="{E703A9C7-9EF4-43B8-978D-5FFE0D793568}" name="θt(°)" dataDxfId="23"/>
    <tableColumn id="3" xr3:uid="{B50F581E-F452-4CAD-A5F8-68435A17C98A}" name="u(θt)" dataDxfId="22"/>
    <tableColumn id="4" xr3:uid="{AD6EE3A7-56B6-49BD-8795-1D2A1DEB233F}" name="sen(θi)" dataDxfId="21">
      <calculatedColumnFormula>SIN(Tabela146[[#This Row],[θi(°) ± 0.5]]*PI()/180)</calculatedColumnFormula>
    </tableColumn>
    <tableColumn id="5" xr3:uid="{AF2A950B-611C-4B1C-8EDC-59BEC654AD6F}" name="sen(θt)" dataDxfId="20">
      <calculatedColumnFormula>SIN(Tabela146[[#This Row],[θt(°)]]*PI()/180)</calculatedColumnFormula>
    </tableColumn>
    <tableColumn id="6" xr3:uid="{2732DF4D-BCB9-434C-B7EB-8625727BCE51}" name="Ajuste sen(θt)" dataDxfId="19">
      <calculatedColumnFormula>$B$17*Tabela146[[#This Row],[sen(θi)]]+$C$17</calculatedColumnFormula>
    </tableColumn>
    <tableColumn id="7" xr3:uid="{0D7146A3-D4A1-45E5-A885-37404D5B2EF2}" name="Resíduos" dataDxfId="18">
      <calculatedColumnFormula>Tabela146[[#This Row],[sen(θt)]]-Tabela146[[#This Row],[Ajuste sen(θt)]]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A617A0-2B7E-46DF-9817-E7CD8A9AEBBE}" name="Tabela1357" displayName="Tabela1357" ref="A1:G8" totalsRowShown="0" headerRowDxfId="17" dataDxfId="16">
  <autoFilter ref="A1:G8" xr:uid="{8B913F9F-086C-4CCA-BDA8-9A58CAC3D6E0}"/>
  <tableColumns count="7">
    <tableColumn id="1" xr3:uid="{7ED2ADFA-0A89-410E-BFDF-0D28A1926526}" name="θi(°) ± 0.5" dataDxfId="15"/>
    <tableColumn id="2" xr3:uid="{E3A1E9FF-FC14-4EFC-8B90-244D93520486}" name="θt(°)" dataDxfId="14"/>
    <tableColumn id="3" xr3:uid="{6FF7C64E-51C1-4D86-8614-373F07E46D7F}" name="u(θt)" dataDxfId="13"/>
    <tableColumn id="4" xr3:uid="{5AEA2443-5CF8-4258-85A7-E4B4CAC56D54}" name="sen(θi)" dataDxfId="12">
      <calculatedColumnFormula>SIN(Tabela1357[[#This Row],[θi(°) ± 0.5]]*PI()/180)</calculatedColumnFormula>
    </tableColumn>
    <tableColumn id="5" xr3:uid="{3557F5CB-5C05-4D2E-97FA-4418FB7609D9}" name="sen(θt)" dataDxfId="11">
      <calculatedColumnFormula>SIN(Tabela1357[[#This Row],[θt(°)]]*PI()/180)</calculatedColumnFormula>
    </tableColumn>
    <tableColumn id="6" xr3:uid="{F5549A29-3C3E-4B72-83D5-B3D03518984D}" name="Ajuste sen(θt)" dataDxfId="10">
      <calculatedColumnFormula>$B$13*Tabela1357[[#This Row],[sen(θi)]]+$C$13</calculatedColumnFormula>
    </tableColumn>
    <tableColumn id="7" xr3:uid="{E66D7693-7F38-4723-984C-B8F9BC567AB1}" name="Resíduos" dataDxfId="9">
      <calculatedColumnFormula>Tabela1357[[#This Row],[sen(θt)]]-Tabela1357[[#This Row],[Ajuste sen(θt)]]</calculatedColumnFormula>
    </tableColumn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7F669F-A29C-453C-BCE6-197B58788B2B}" name="Tabela14" displayName="Tabela14" ref="A1:G12" totalsRowShown="0" headerRowDxfId="8" dataDxfId="7">
  <autoFilter ref="A1:G12" xr:uid="{8B913F9F-086C-4CCA-BDA8-9A58CAC3D6E0}"/>
  <tableColumns count="7">
    <tableColumn id="1" xr3:uid="{37B6E8F0-69A3-4CA2-A47C-39E24C6CA070}" name="θi(°) ± 0.5" dataDxfId="6"/>
    <tableColumn id="2" xr3:uid="{6D8D7BDF-D9BE-411C-862A-F0FA5F0A3DE5}" name="θt(°)" dataDxfId="5"/>
    <tableColumn id="3" xr3:uid="{4D4F5F07-A716-4A62-83D8-F4EF412E2BDD}" name="u(θt)" dataDxfId="4"/>
    <tableColumn id="4" xr3:uid="{19259D68-50FA-4ECD-9F5E-79F6B73B6B35}" name="sen(θi)" dataDxfId="3">
      <calculatedColumnFormula>SIN(Tabela14[[#This Row],[θi(°) ± 0.5]]*PI()/180)</calculatedColumnFormula>
    </tableColumn>
    <tableColumn id="5" xr3:uid="{DEE0A413-9874-4F7F-B2E5-65A3D1A193C4}" name="sen(θt)" dataDxfId="2">
      <calculatedColumnFormula>SIN(Tabela14[[#This Row],[θt(°)]]*PI()/180)</calculatedColumnFormula>
    </tableColumn>
    <tableColumn id="6" xr3:uid="{7727AEE9-C3B2-46BB-87BC-29BDEBBBD71B}" name="Ajuste sen(θt)" dataDxfId="1">
      <calculatedColumnFormula>$B$17*Tabela14[[#This Row],[sen(θi)]]+$C$17</calculatedColumnFormula>
    </tableColumn>
    <tableColumn id="7" xr3:uid="{86E5F751-1E91-43C3-9A57-080B6E7E9EC7}" name="Resíduos" dataDxfId="0">
      <calculatedColumnFormula>Tabela14[[#This Row],[sen(θt)]]-Tabela14[[#This Row],[Ajuste sen(θt)]]</calculatedColumnFormula>
    </tableColumn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D2F163-D91A-4DF2-B753-5A97C94551A9}" name="Tabela135" displayName="Tabela135" ref="A1:G9" totalsRowShown="0" headerRowDxfId="35" dataDxfId="34">
  <autoFilter ref="A1:G9" xr:uid="{8B913F9F-086C-4CCA-BDA8-9A58CAC3D6E0}"/>
  <tableColumns count="7">
    <tableColumn id="1" xr3:uid="{3BF814A7-B8A6-4D0D-8759-438B8DA6A86C}" name="θi(°) ± 0.5" dataDxfId="33"/>
    <tableColumn id="2" xr3:uid="{3CC24BDA-DB55-46FE-8036-E030B3476B64}" name="θt(°)" dataDxfId="32"/>
    <tableColumn id="5" xr3:uid="{05BFDA36-491F-415B-AA43-AEF591B390E9}" name="u(θt)" dataDxfId="31"/>
    <tableColumn id="3" xr3:uid="{49861B21-B5AB-45C9-998D-08522AC456D6}" name="sen(θi)" dataDxfId="30">
      <calculatedColumnFormula>SIN(Tabela135[[#This Row],[θi(°) ± 0.5]]*PI()/180)</calculatedColumnFormula>
    </tableColumn>
    <tableColumn id="4" xr3:uid="{47B7D423-97F9-44FB-AE16-3F382862E4C2}" name="sen(θt)" dataDxfId="29">
      <calculatedColumnFormula>SIN(Tabela135[[#This Row],[θt(°)]]*PI()/180)</calculatedColumnFormula>
    </tableColumn>
    <tableColumn id="6" xr3:uid="{292757D3-F7B5-429B-BD83-D07B1167A26D}" name="Ajuste sen(θt)" dataDxfId="28">
      <calculatedColumnFormula>$B$14*Tabela135[[#This Row],[sen(θi)]]+$C$14</calculatedColumnFormula>
    </tableColumn>
    <tableColumn id="7" xr3:uid="{BCA28ADE-1D50-4C71-B2CC-A61554E317B6}" name="Resíduos" dataDxfId="27">
      <calculatedColumnFormula>Tabela135[[#This Row],[sen(θt)]]-Tabela135[[#This Row],[Ajuste sen(θt)]]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1523-F8DB-4F6A-B0F6-D3BD6CBEF837}">
  <dimension ref="A1:O25"/>
  <sheetViews>
    <sheetView topLeftCell="A4" zoomScaleNormal="100" workbookViewId="0">
      <selection activeCell="B20" sqref="B20"/>
    </sheetView>
  </sheetViews>
  <sheetFormatPr defaultRowHeight="14.4" x14ac:dyDescent="0.3"/>
  <cols>
    <col min="1" max="1" width="12" bestFit="1" customWidth="1"/>
    <col min="2" max="2" width="9.77734375" customWidth="1"/>
    <col min="3" max="3" width="7.77734375" bestFit="1" customWidth="1"/>
    <col min="4" max="4" width="9.77734375" customWidth="1"/>
    <col min="5" max="5" width="9.44140625" bestFit="1" customWidth="1"/>
    <col min="6" max="6" width="16.33203125" bestFit="1" customWidth="1"/>
    <col min="7" max="7" width="11.5546875" bestFit="1" customWidth="1"/>
  </cols>
  <sheetData>
    <row r="1" spans="1:7" ht="18" x14ac:dyDescent="0.3">
      <c r="A1" s="1" t="s">
        <v>16</v>
      </c>
      <c r="B1" s="2" t="s">
        <v>11</v>
      </c>
      <c r="C1" s="2" t="s">
        <v>17</v>
      </c>
      <c r="D1" s="2" t="s">
        <v>3</v>
      </c>
      <c r="E1" s="2" t="s">
        <v>4</v>
      </c>
      <c r="F1" s="2" t="s">
        <v>20</v>
      </c>
      <c r="G1" s="2" t="s">
        <v>21</v>
      </c>
    </row>
    <row r="2" spans="1:7" ht="15.6" x14ac:dyDescent="0.3">
      <c r="A2" s="3">
        <v>10</v>
      </c>
      <c r="B2" s="3">
        <v>7.5</v>
      </c>
      <c r="C2" s="2">
        <v>0.5</v>
      </c>
      <c r="D2" s="4">
        <f>SIN(Tabela1[[#This Row],[θi(°) ± 0.5]]*PI()/180)</f>
        <v>0.17364817766693033</v>
      </c>
      <c r="E2" s="4">
        <f>SIN(Tabela1[[#This Row],[θt(°)]]*PI()/180)</f>
        <v>0.13052619222005157</v>
      </c>
      <c r="F2" s="4">
        <f>$B$14*Tabela1[[#This Row],[sen(θi)]]+$C$14</f>
        <v>0.13226572264363448</v>
      </c>
      <c r="G2" s="4">
        <f>Tabela1[[#This Row],[sen(θt)]]-Tabela1[[#This Row],[Ajuste sen(θt)]]</f>
        <v>-1.7395304235829079E-3</v>
      </c>
    </row>
    <row r="3" spans="1:7" ht="15.6" x14ac:dyDescent="0.3">
      <c r="A3" s="3">
        <v>20</v>
      </c>
      <c r="B3" s="3">
        <v>14.3</v>
      </c>
      <c r="C3" s="2">
        <v>0.5</v>
      </c>
      <c r="D3" s="4">
        <f>SIN(Tabela1[[#This Row],[θi(°) ± 0.5]]*PI()/180)</f>
        <v>0.34202014332566871</v>
      </c>
      <c r="E3" s="4">
        <f>SIN(Tabela1[[#This Row],[θt(°)]]*PI()/180)</f>
        <v>0.24699901272274291</v>
      </c>
      <c r="F3" s="4">
        <f>$B$14*Tabela1[[#This Row],[sen(θi)]]+$C$14</f>
        <v>0.24488179219724787</v>
      </c>
      <c r="G3" s="4">
        <f>Tabela1[[#This Row],[sen(θt)]]-Tabela1[[#This Row],[Ajuste sen(θt)]]</f>
        <v>2.1172205254950394E-3</v>
      </c>
    </row>
    <row r="4" spans="1:7" ht="15.6" x14ac:dyDescent="0.3">
      <c r="A4" s="3">
        <v>30</v>
      </c>
      <c r="B4" s="3">
        <v>20.5</v>
      </c>
      <c r="C4" s="2">
        <v>0.5</v>
      </c>
      <c r="D4" s="4">
        <f>SIN(Tabela1[[#This Row],[θi(°) ± 0.5]]*PI()/180)</f>
        <v>0.49999999999999994</v>
      </c>
      <c r="E4" s="4">
        <f>SIN(Tabela1[[#This Row],[θt(°)]]*PI()/180)</f>
        <v>0.35020738125946738</v>
      </c>
      <c r="F4" s="4">
        <f>$B$14*Tabela1[[#This Row],[sen(θi)]]+$C$14</f>
        <v>0.35054707001057378</v>
      </c>
      <c r="G4" s="4">
        <f>Tabela1[[#This Row],[sen(θt)]]-Tabela1[[#This Row],[Ajuste sen(θt)]]</f>
        <v>-3.3968875110640395E-4</v>
      </c>
    </row>
    <row r="5" spans="1:7" ht="15.6" x14ac:dyDescent="0.3">
      <c r="A5" s="3">
        <v>40</v>
      </c>
      <c r="B5" s="3">
        <v>26.5</v>
      </c>
      <c r="C5" s="2">
        <v>0.5</v>
      </c>
      <c r="D5" s="4">
        <f>SIN(Tabela1[[#This Row],[θi(°) ± 0.5]]*PI()/180)</f>
        <v>0.64278760968653925</v>
      </c>
      <c r="E5" s="4">
        <f>SIN(Tabela1[[#This Row],[θt(°)]]*PI()/180)</f>
        <v>0.44619781310980877</v>
      </c>
      <c r="F5" s="4">
        <f>$B$14*Tabela1[[#This Row],[sen(θi)]]+$C$14</f>
        <v>0.44605097008646488</v>
      </c>
      <c r="G5" s="4">
        <f>Tabela1[[#This Row],[sen(θt)]]-Tabela1[[#This Row],[Ajuste sen(θt)]]</f>
        <v>1.4684302334388999E-4</v>
      </c>
    </row>
    <row r="6" spans="1:7" ht="15.6" x14ac:dyDescent="0.3">
      <c r="A6" s="3">
        <v>50</v>
      </c>
      <c r="B6" s="3">
        <v>32</v>
      </c>
      <c r="C6" s="2">
        <v>0.5</v>
      </c>
      <c r="D6" s="4">
        <f>SIN(Tabela1[[#This Row],[θi(°) ± 0.5]]*PI()/180)</f>
        <v>0.76604444311897801</v>
      </c>
      <c r="E6" s="4">
        <f>SIN(Tabela1[[#This Row],[θt(°)]]*PI()/180)</f>
        <v>0.5299192642332049</v>
      </c>
      <c r="F6" s="4">
        <f>$B$14*Tabela1[[#This Row],[sen(θi)]]+$C$14</f>
        <v>0.52849165474842041</v>
      </c>
      <c r="G6" s="4">
        <f>Tabela1[[#This Row],[sen(θt)]]-Tabela1[[#This Row],[Ajuste sen(θt)]]</f>
        <v>1.4276094847844867E-3</v>
      </c>
    </row>
    <row r="7" spans="1:7" ht="15.6" x14ac:dyDescent="0.3">
      <c r="A7" s="3">
        <v>60</v>
      </c>
      <c r="B7" s="3">
        <v>36.5</v>
      </c>
      <c r="C7" s="2">
        <v>0.5</v>
      </c>
      <c r="D7" s="4">
        <f>SIN(Tabela1[[#This Row],[θi(°) ± 0.5]]*PI()/180)</f>
        <v>0.8660254037844386</v>
      </c>
      <c r="E7" s="4">
        <f>SIN(Tabela1[[#This Row],[θt(°)]]*PI()/180)</f>
        <v>0.59482278675134126</v>
      </c>
      <c r="F7" s="4">
        <f>$B$14*Tabela1[[#This Row],[sen(θi)]]+$C$14</f>
        <v>0.59536420550998626</v>
      </c>
      <c r="G7" s="4">
        <f>Tabela1[[#This Row],[sen(θt)]]-Tabela1[[#This Row],[Ajuste sen(θt)]]</f>
        <v>-5.4141875864499589E-4</v>
      </c>
    </row>
    <row r="8" spans="1:7" ht="15.6" x14ac:dyDescent="0.3">
      <c r="A8" s="3">
        <v>70</v>
      </c>
      <c r="B8" s="3">
        <v>40</v>
      </c>
      <c r="C8" s="2">
        <v>0.5</v>
      </c>
      <c r="D8" s="4">
        <f>SIN(Tabela1[[#This Row],[θi(°) ± 0.5]]*PI()/180)</f>
        <v>0.93969262078590832</v>
      </c>
      <c r="E8" s="4">
        <f>SIN(Tabela1[[#This Row],[θt(°)]]*PI()/180)</f>
        <v>0.64278760968653925</v>
      </c>
      <c r="F8" s="4">
        <f>$B$14*Tabela1[[#This Row],[sen(θi)]]+$C$14</f>
        <v>0.64463673375541553</v>
      </c>
      <c r="G8" s="4">
        <f>Tabela1[[#This Row],[sen(θt)]]-Tabela1[[#This Row],[Ajuste sen(θt)]]</f>
        <v>-1.8491240688762733E-3</v>
      </c>
    </row>
    <row r="9" spans="1:7" ht="15.6" x14ac:dyDescent="0.3">
      <c r="A9" s="3">
        <v>80</v>
      </c>
      <c r="B9" s="3">
        <v>42.5</v>
      </c>
      <c r="C9" s="2">
        <v>1.5</v>
      </c>
      <c r="D9" s="4">
        <f>SIN(Tabela1[[#This Row],[θi(°) ± 0.5]]*PI()/180)</f>
        <v>0.98480775301220802</v>
      </c>
      <c r="E9" s="4">
        <f>SIN(Tabela1[[#This Row],[θt(°)]]*PI()/180)</f>
        <v>0.67559020761566024</v>
      </c>
      <c r="F9" s="4">
        <f>$B$14*Tabela1[[#This Row],[sen(θi)]]+$C$14</f>
        <v>0.67481211864707347</v>
      </c>
      <c r="G9" s="4">
        <f>Tabela1[[#This Row],[sen(θt)]]-Tabela1[[#This Row],[Ajuste sen(θt)]]</f>
        <v>7.7808896858677645E-4</v>
      </c>
    </row>
    <row r="10" spans="1:7" ht="15.6" x14ac:dyDescent="0.3">
      <c r="A10" s="3"/>
      <c r="B10" s="3"/>
      <c r="C10" s="4"/>
      <c r="D10" s="9"/>
    </row>
    <row r="11" spans="1:7" x14ac:dyDescent="0.3">
      <c r="A11" s="15" t="s">
        <v>15</v>
      </c>
      <c r="B11" s="15">
        <v>0.5</v>
      </c>
    </row>
    <row r="12" spans="1:7" ht="15" thickBot="1" x14ac:dyDescent="0.35"/>
    <row r="13" spans="1:7" ht="16.2" thickBot="1" x14ac:dyDescent="0.35">
      <c r="A13" s="22" t="s">
        <v>0</v>
      </c>
      <c r="B13" s="23"/>
      <c r="C13" s="23"/>
      <c r="D13" s="24"/>
    </row>
    <row r="14" spans="1:7" ht="15.6" x14ac:dyDescent="0.3">
      <c r="A14" s="5" t="s">
        <v>1</v>
      </c>
      <c r="B14" s="10">
        <f t="array" ref="B14:C16">LINEST(E2:E9,D2:D9,1,1)</f>
        <v>0.66885285274786899</v>
      </c>
      <c r="C14" s="10">
        <v>1.6120643636639342E-2</v>
      </c>
      <c r="D14" s="6" t="s">
        <v>2</v>
      </c>
    </row>
    <row r="15" spans="1:7" ht="18" x14ac:dyDescent="0.3">
      <c r="A15" s="7" t="s">
        <v>5</v>
      </c>
      <c r="B15" s="11">
        <v>1.9714079210400091E-3</v>
      </c>
      <c r="C15" s="11">
        <v>1.3939959094522642E-3</v>
      </c>
      <c r="D15" s="8" t="s">
        <v>6</v>
      </c>
    </row>
    <row r="16" spans="1:7" ht="18" x14ac:dyDescent="0.3">
      <c r="A16" s="7" t="s">
        <v>7</v>
      </c>
      <c r="B16" s="11">
        <v>0.99994787807578167</v>
      </c>
      <c r="C16" s="11">
        <v>1.5276029996738097E-3</v>
      </c>
      <c r="D16" s="8" t="s">
        <v>8</v>
      </c>
    </row>
    <row r="17" spans="1:15" ht="15.6" x14ac:dyDescent="0.3">
      <c r="C17" s="2"/>
      <c r="D17" s="2"/>
    </row>
    <row r="18" spans="1:15" ht="18" x14ac:dyDescent="0.3">
      <c r="A18" s="8" t="s">
        <v>9</v>
      </c>
      <c r="B18" s="11">
        <v>1</v>
      </c>
      <c r="C18" s="2"/>
      <c r="D18" s="2"/>
    </row>
    <row r="19" spans="1:15" ht="15.6" x14ac:dyDescent="0.3">
      <c r="C19" s="2"/>
      <c r="D19" s="2"/>
    </row>
    <row r="20" spans="1:15" ht="18" x14ac:dyDescent="0.3">
      <c r="A20" s="12" t="s">
        <v>13</v>
      </c>
      <c r="B20" s="13">
        <f>B18/B14</f>
        <v>1.4950971591010922</v>
      </c>
      <c r="D20" s="2"/>
    </row>
    <row r="23" spans="1:15" x14ac:dyDescent="0.3">
      <c r="C23">
        <f>ABS(B20-1.49)/1.49*100</f>
        <v>0.34209121483840321</v>
      </c>
    </row>
    <row r="25" spans="1:15" x14ac:dyDescent="0.3">
      <c r="O25">
        <v>7</v>
      </c>
    </row>
  </sheetData>
  <mergeCells count="1">
    <mergeCell ref="A13:D13"/>
  </mergeCells>
  <phoneticPr fontId="10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D4E6-449B-4345-952B-5D86A2C4850D}">
  <dimension ref="A1:G24"/>
  <sheetViews>
    <sheetView topLeftCell="A7" zoomScaleNormal="100" workbookViewId="0">
      <selection activeCell="C25" sqref="C25"/>
    </sheetView>
  </sheetViews>
  <sheetFormatPr defaultRowHeight="14.4" x14ac:dyDescent="0.3"/>
  <cols>
    <col min="1" max="1" width="13" bestFit="1" customWidth="1"/>
    <col min="2" max="2" width="9.77734375" customWidth="1"/>
    <col min="3" max="3" width="7.77734375" bestFit="1" customWidth="1"/>
    <col min="4" max="5" width="9.44140625" bestFit="1" customWidth="1"/>
    <col min="6" max="6" width="17.44140625" bestFit="1" customWidth="1"/>
    <col min="7" max="7" width="11.5546875" bestFit="1" customWidth="1"/>
  </cols>
  <sheetData>
    <row r="1" spans="1:7" ht="18" x14ac:dyDescent="0.3">
      <c r="A1" s="1" t="s">
        <v>22</v>
      </c>
      <c r="B1" s="2" t="s">
        <v>11</v>
      </c>
      <c r="C1" s="8" t="s">
        <v>17</v>
      </c>
      <c r="D1" s="2" t="s">
        <v>3</v>
      </c>
      <c r="E1" s="2" t="s">
        <v>4</v>
      </c>
      <c r="F1" s="2" t="s">
        <v>20</v>
      </c>
      <c r="G1" s="2" t="s">
        <v>21</v>
      </c>
    </row>
    <row r="2" spans="1:7" ht="15.6" x14ac:dyDescent="0.3">
      <c r="A2" s="3">
        <v>10</v>
      </c>
      <c r="B2" s="3">
        <v>14.5</v>
      </c>
      <c r="C2" s="20">
        <v>0.5</v>
      </c>
      <c r="D2" s="4">
        <f>SIN(Tabela13[[#This Row],[θi(°) ± 0.5]]*PI()/180)</f>
        <v>0.17364817766693033</v>
      </c>
      <c r="E2" s="4">
        <f>SIN(Tabela13[[#This Row],[θt(°)]]*PI()/180)</f>
        <v>0.25038000405444144</v>
      </c>
      <c r="F2" s="21">
        <f>$B$15*Tabela13[[#This Row],[sen(θi)]]+$C$15</f>
        <v>0.2527533597473246</v>
      </c>
      <c r="G2" s="21">
        <f>Tabela13[[#This Row],[sen(θt)]]-Tabela13[[#This Row],[Ajuste sen(θt)]]</f>
        <v>-2.3733556928831612E-3</v>
      </c>
    </row>
    <row r="3" spans="1:7" ht="15.6" x14ac:dyDescent="0.3">
      <c r="A3" s="3">
        <v>20</v>
      </c>
      <c r="B3" s="3">
        <v>30</v>
      </c>
      <c r="C3" s="20">
        <v>0.5</v>
      </c>
      <c r="D3" s="4">
        <f>SIN(Tabela13[[#This Row],[θi(°) ± 0.5]]*PI()/180)</f>
        <v>0.34202014332566871</v>
      </c>
      <c r="E3" s="4">
        <f>SIN(Tabela13[[#This Row],[θt(°)]]*PI()/180)</f>
        <v>0.49999999999999994</v>
      </c>
      <c r="F3" s="21">
        <f>$B$15*Tabela13[[#This Row],[sen(θi)]]+$C$15</f>
        <v>0.50236120275330043</v>
      </c>
      <c r="G3" s="21">
        <f>Tabela13[[#This Row],[sen(θt)]]-Tabela13[[#This Row],[Ajuste sen(θt)]]</f>
        <v>-2.3612027533004842E-3</v>
      </c>
    </row>
    <row r="4" spans="1:7" ht="15.6" x14ac:dyDescent="0.3">
      <c r="A4" s="3">
        <v>30</v>
      </c>
      <c r="B4" s="3">
        <v>47.5</v>
      </c>
      <c r="C4" s="20">
        <v>0.5</v>
      </c>
      <c r="D4" s="4">
        <f>SIN(Tabela13[[#This Row],[θi(°) ± 0.5]]*PI()/180)</f>
        <v>0.49999999999999994</v>
      </c>
      <c r="E4" s="4">
        <f>SIN(Tabela13[[#This Row],[θt(°)]]*PI()/180)</f>
        <v>0.73727733681012408</v>
      </c>
      <c r="F4" s="21">
        <f>$B$15*Tabela13[[#This Row],[sen(θi)]]+$C$15</f>
        <v>0.73656296614422678</v>
      </c>
      <c r="G4" s="21">
        <f>Tabela13[[#This Row],[sen(θt)]]-Tabela13[[#This Row],[Ajuste sen(θt)]]</f>
        <v>7.1437066589730147E-4</v>
      </c>
    </row>
    <row r="5" spans="1:7" ht="15.6" x14ac:dyDescent="0.3">
      <c r="A5" s="3">
        <v>40</v>
      </c>
      <c r="B5" s="3">
        <v>71</v>
      </c>
      <c r="C5" s="20">
        <v>1</v>
      </c>
      <c r="D5" s="4">
        <f>SIN(Tabela13[[#This Row],[θi(°) ± 0.5]]*PI()/180)</f>
        <v>0.64278760968653925</v>
      </c>
      <c r="E5" s="4">
        <f>SIN(Tabela13[[#This Row],[θt(°)]]*PI()/180)</f>
        <v>0.94551857559931674</v>
      </c>
      <c r="F5" s="21">
        <f>$B$15*Tabela13[[#This Row],[sen(θi)]]+$C$15</f>
        <v>0.94824254785128115</v>
      </c>
      <c r="G5" s="21">
        <f>Tabela13[[#This Row],[sen(θt)]]-Tabela13[[#This Row],[Ajuste sen(θt)]]</f>
        <v>-2.7239722519644127E-3</v>
      </c>
    </row>
    <row r="6" spans="1:7" ht="15.6" x14ac:dyDescent="0.3">
      <c r="A6" s="3">
        <v>15</v>
      </c>
      <c r="B6" s="3">
        <v>22.5</v>
      </c>
      <c r="C6" s="20">
        <v>0.5</v>
      </c>
      <c r="D6" s="4">
        <f>SIN(Tabela13[[#This Row],[θi(°) ± 0.5]]*PI()/180)</f>
        <v>0.25881904510252074</v>
      </c>
      <c r="E6" s="4">
        <f>SIN(Tabela13[[#This Row],[θt(°)]]*PI()/180)</f>
        <v>0.38268343236508978</v>
      </c>
      <c r="F6" s="21">
        <f>$B$15*Tabela13[[#This Row],[sen(θi)]]+$C$15</f>
        <v>0.37901735164390127</v>
      </c>
      <c r="G6" s="21">
        <f>Tabela13[[#This Row],[sen(θt)]]-Tabela13[[#This Row],[Ajuste sen(θt)]]</f>
        <v>3.6660807211885138E-3</v>
      </c>
    </row>
    <row r="7" spans="1:7" ht="15.6" x14ac:dyDescent="0.3">
      <c r="A7" s="3">
        <v>25</v>
      </c>
      <c r="B7" s="3">
        <v>38.5</v>
      </c>
      <c r="C7" s="20">
        <v>0.5</v>
      </c>
      <c r="D7" s="4">
        <f>SIN(Tabela13[[#This Row],[θi(°) ± 0.5]]*PI()/180)</f>
        <v>0.42261826174069944</v>
      </c>
      <c r="E7" s="4">
        <f>SIN(Tabela13[[#This Row],[θt(°)]]*PI()/180)</f>
        <v>0.62251463663761952</v>
      </c>
      <c r="F7" s="21">
        <f>$B$15*Tabela13[[#This Row],[sen(θi)]]+$C$15</f>
        <v>0.6218461918915259</v>
      </c>
      <c r="G7" s="21">
        <f>Tabela13[[#This Row],[sen(θt)]]-Tabela13[[#This Row],[Ajuste sen(θt)]]</f>
        <v>6.6844474609362159E-4</v>
      </c>
    </row>
    <row r="8" spans="1:7" ht="15.6" x14ac:dyDescent="0.3">
      <c r="A8" s="3">
        <v>35</v>
      </c>
      <c r="B8" s="3">
        <v>58</v>
      </c>
      <c r="C8" s="20">
        <v>1</v>
      </c>
      <c r="D8" s="4">
        <f>SIN(Tabela13[[#This Row],[θi(°) ± 0.5]]*PI()/180)</f>
        <v>0.57357643635104605</v>
      </c>
      <c r="E8" s="4">
        <f>SIN(Tabela13[[#This Row],[θt(°)]]*PI()/180)</f>
        <v>0.84804809615642596</v>
      </c>
      <c r="F8" s="21">
        <f>$B$15*Tabela13[[#This Row],[sen(θi)]]+$C$15</f>
        <v>0.84563846159145806</v>
      </c>
      <c r="G8" s="21">
        <f>Tabela13[[#This Row],[sen(θt)]]-Tabela13[[#This Row],[Ajuste sen(θt)]]</f>
        <v>2.4096345649678996E-3</v>
      </c>
    </row>
    <row r="9" spans="1:7" ht="15.6" x14ac:dyDescent="0.3">
      <c r="A9" s="3"/>
      <c r="B9" s="3"/>
      <c r="C9" s="4"/>
      <c r="D9" s="9"/>
    </row>
    <row r="10" spans="1:7" ht="15.6" x14ac:dyDescent="0.3">
      <c r="A10" s="8" t="s">
        <v>15</v>
      </c>
      <c r="B10" s="17">
        <v>0.5</v>
      </c>
      <c r="C10" s="2"/>
      <c r="D10" s="2"/>
    </row>
    <row r="12" spans="1:7" ht="15.6" x14ac:dyDescent="0.35">
      <c r="A12" s="14" t="s">
        <v>12</v>
      </c>
      <c r="B12" s="15">
        <v>43.5</v>
      </c>
    </row>
    <row r="13" spans="1:7" ht="15" thickBot="1" x14ac:dyDescent="0.35"/>
    <row r="14" spans="1:7" ht="16.2" thickBot="1" x14ac:dyDescent="0.35">
      <c r="A14" s="25" t="s">
        <v>0</v>
      </c>
      <c r="B14" s="26"/>
      <c r="C14" s="26"/>
      <c r="D14" s="27"/>
    </row>
    <row r="15" spans="1:7" ht="15.6" x14ac:dyDescent="0.3">
      <c r="A15" s="5" t="s">
        <v>1</v>
      </c>
      <c r="B15" s="10">
        <f t="array" ref="B15:C17">LINEST(E2:E8,D2:D8,1,1)</f>
        <v>1.4824786420317078</v>
      </c>
      <c r="C15" s="10">
        <v>-4.6763548716269865E-3</v>
      </c>
      <c r="D15" s="6" t="s">
        <v>2</v>
      </c>
    </row>
    <row r="16" spans="1:7" ht="18" x14ac:dyDescent="0.3">
      <c r="A16" s="7" t="s">
        <v>5</v>
      </c>
      <c r="B16" s="11">
        <v>6.7142335405895532E-3</v>
      </c>
      <c r="C16" s="11">
        <v>2.9864495898986863E-3</v>
      </c>
      <c r="D16" s="8" t="s">
        <v>6</v>
      </c>
    </row>
    <row r="17" spans="1:4" ht="18" x14ac:dyDescent="0.3">
      <c r="A17" s="7" t="s">
        <v>7</v>
      </c>
      <c r="B17" s="11">
        <v>0.99989744863142904</v>
      </c>
      <c r="C17" s="11">
        <v>2.7868172144738398E-3</v>
      </c>
      <c r="D17" s="8" t="s">
        <v>8</v>
      </c>
    </row>
    <row r="18" spans="1:4" ht="15.6" x14ac:dyDescent="0.3">
      <c r="C18" s="2"/>
      <c r="D18" s="2"/>
    </row>
    <row r="19" spans="1:4" ht="18" x14ac:dyDescent="0.3">
      <c r="A19" s="8" t="s">
        <v>10</v>
      </c>
      <c r="B19" s="11">
        <v>1</v>
      </c>
      <c r="C19" s="2"/>
      <c r="D19" s="2"/>
    </row>
    <row r="20" spans="1:4" ht="15.6" x14ac:dyDescent="0.3">
      <c r="D20" s="2"/>
    </row>
    <row r="21" spans="1:4" ht="18" x14ac:dyDescent="0.3">
      <c r="A21" s="12" t="s">
        <v>14</v>
      </c>
      <c r="B21" s="16">
        <f>B15*B19</f>
        <v>1.4824786420317078</v>
      </c>
      <c r="C21" s="2"/>
      <c r="D21" s="2"/>
    </row>
    <row r="24" spans="1:4" x14ac:dyDescent="0.3">
      <c r="C24">
        <f>ABS(B21-1.49)/1.49*100</f>
        <v>0.50478912538874032</v>
      </c>
    </row>
  </sheetData>
  <mergeCells count="1">
    <mergeCell ref="A14:D14"/>
  </mergeCells>
  <phoneticPr fontId="10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B65F-F23C-46A5-82E9-7269882EADE0}">
  <dimension ref="A1:G25"/>
  <sheetViews>
    <sheetView zoomScale="66" zoomScaleNormal="130" workbookViewId="0">
      <selection activeCell="B26" sqref="B26"/>
    </sheetView>
  </sheetViews>
  <sheetFormatPr defaultRowHeight="14.4" x14ac:dyDescent="0.3"/>
  <cols>
    <col min="1" max="1" width="13.109375" bestFit="1" customWidth="1"/>
    <col min="2" max="4" width="9.77734375" customWidth="1"/>
    <col min="6" max="6" width="16.88671875" bestFit="1" customWidth="1"/>
    <col min="7" max="7" width="12.109375" bestFit="1" customWidth="1"/>
  </cols>
  <sheetData>
    <row r="1" spans="1:7" ht="18" x14ac:dyDescent="0.3">
      <c r="A1" s="1" t="s">
        <v>22</v>
      </c>
      <c r="B1" s="2" t="s">
        <v>11</v>
      </c>
      <c r="C1" s="8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ht="15.6" x14ac:dyDescent="0.3">
      <c r="A2" s="3">
        <v>10</v>
      </c>
      <c r="B2" s="3">
        <v>6.5</v>
      </c>
      <c r="C2" s="4">
        <v>0.5</v>
      </c>
      <c r="D2" s="4">
        <f>SIN(Tabela146[[#This Row],[θi(°) ± 0.5]]*PI()/180)</f>
        <v>0.17364817766693033</v>
      </c>
      <c r="E2" s="21">
        <f>SIN(Tabela146[[#This Row],[θt(°)]]*PI()/180)</f>
        <v>0.11320321376790672</v>
      </c>
      <c r="F2" s="21">
        <f>$B$17*Tabela146[[#This Row],[sen(θi)]]+$C$17</f>
        <v>0.11135489558601325</v>
      </c>
      <c r="G2" s="21">
        <f>Tabela146[[#This Row],[sen(θt)]]-Tabela146[[#This Row],[Ajuste sen(θt)]]</f>
        <v>1.8483181818934741E-3</v>
      </c>
    </row>
    <row r="3" spans="1:7" ht="15.6" x14ac:dyDescent="0.3">
      <c r="A3" s="3">
        <v>20</v>
      </c>
      <c r="B3" s="3">
        <v>13</v>
      </c>
      <c r="C3" s="4">
        <v>0.5</v>
      </c>
      <c r="D3" s="4">
        <f>SIN(Tabela146[[#This Row],[θi(°) ± 0.5]]*PI()/180)</f>
        <v>0.34202014332566871</v>
      </c>
      <c r="E3" s="21">
        <f>SIN(Tabela146[[#This Row],[θt(°)]]*PI()/180)</f>
        <v>0.224951054343865</v>
      </c>
      <c r="F3" s="21">
        <f>$B$17*Tabela146[[#This Row],[sen(θi)]]+$C$17</f>
        <v>0.22414611161457007</v>
      </c>
      <c r="G3" s="21">
        <f>Tabela146[[#This Row],[sen(θt)]]-Tabela146[[#This Row],[Ajuste sen(θt)]]</f>
        <v>8.0494272929493293E-4</v>
      </c>
    </row>
    <row r="4" spans="1:7" ht="15.6" x14ac:dyDescent="0.3">
      <c r="A4" s="3">
        <v>30</v>
      </c>
      <c r="B4" s="3">
        <v>19.5</v>
      </c>
      <c r="C4" s="4">
        <v>0.5</v>
      </c>
      <c r="D4" s="4">
        <f>SIN(Tabela146[[#This Row],[θi(°) ± 0.5]]*PI()/180)</f>
        <v>0.49999999999999994</v>
      </c>
      <c r="E4" s="21">
        <f>SIN(Tabela146[[#This Row],[θt(°)]]*PI()/180)</f>
        <v>0.3338068592337709</v>
      </c>
      <c r="F4" s="21">
        <f>$B$17*Tabela146[[#This Row],[sen(θi)]]+$C$17</f>
        <v>0.32997572566344635</v>
      </c>
      <c r="G4" s="21">
        <f>Tabela146[[#This Row],[sen(θt)]]-Tabela146[[#This Row],[Ajuste sen(θt)]]</f>
        <v>3.8311335703245519E-3</v>
      </c>
    </row>
    <row r="5" spans="1:7" ht="15.6" x14ac:dyDescent="0.3">
      <c r="A5" s="3">
        <v>40</v>
      </c>
      <c r="B5" s="3">
        <v>24.5</v>
      </c>
      <c r="C5" s="4">
        <v>0.5</v>
      </c>
      <c r="D5" s="4">
        <f>SIN(Tabela146[[#This Row],[θi(°) ± 0.5]]*PI()/180)</f>
        <v>0.64278760968653925</v>
      </c>
      <c r="E5" s="21">
        <f>SIN(Tabela146[[#This Row],[θt(°)]]*PI()/180)</f>
        <v>0.41469324265623903</v>
      </c>
      <c r="F5" s="21">
        <f>$B$17*Tabela146[[#This Row],[sen(θi)]]+$C$17</f>
        <v>0.42562815846213575</v>
      </c>
      <c r="G5" s="21">
        <f>Tabela146[[#This Row],[sen(θt)]]-Tabela146[[#This Row],[Ajuste sen(θt)]]</f>
        <v>-1.0934915805896728E-2</v>
      </c>
    </row>
    <row r="6" spans="1:7" ht="15.6" x14ac:dyDescent="0.3">
      <c r="A6" s="3">
        <v>50</v>
      </c>
      <c r="B6" s="3">
        <v>30.5</v>
      </c>
      <c r="C6" s="4">
        <v>0.5</v>
      </c>
      <c r="D6" s="4">
        <f>SIN(Tabela146[[#This Row],[θi(°) ± 0.5]]*PI()/180)</f>
        <v>0.76604444311897801</v>
      </c>
      <c r="E6" s="21">
        <f>SIN(Tabela146[[#This Row],[θt(°)]]*PI()/180)</f>
        <v>0.50753836296070409</v>
      </c>
      <c r="F6" s="21">
        <f>$B$17*Tabela146[[#This Row],[sen(θi)]]+$C$17</f>
        <v>0.50819705924251646</v>
      </c>
      <c r="G6" s="21">
        <f>Tabela146[[#This Row],[sen(θt)]]-Tabela146[[#This Row],[Ajuste sen(θt)]]</f>
        <v>-6.5869628181236539E-4</v>
      </c>
    </row>
    <row r="7" spans="1:7" ht="15.6" x14ac:dyDescent="0.3">
      <c r="A7" s="3">
        <v>60</v>
      </c>
      <c r="B7" s="3">
        <v>35</v>
      </c>
      <c r="C7" s="4">
        <v>1</v>
      </c>
      <c r="D7" s="4">
        <f>SIN(Tabela146[[#This Row],[θi(°) ± 0.5]]*PI()/180)</f>
        <v>0.8660254037844386</v>
      </c>
      <c r="E7" s="21">
        <f>SIN(Tabela146[[#This Row],[θt(°)]]*PI()/180)</f>
        <v>0.57357643635104605</v>
      </c>
      <c r="F7" s="21">
        <f>$B$17*Tabela146[[#This Row],[sen(θi)]]+$C$17</f>
        <v>0.57517361373625642</v>
      </c>
      <c r="G7" s="21">
        <f>Tabela146[[#This Row],[sen(θt)]]-Tabela146[[#This Row],[Ajuste sen(θt)]]</f>
        <v>-1.5971773852103688E-3</v>
      </c>
    </row>
    <row r="8" spans="1:7" ht="15.6" x14ac:dyDescent="0.3">
      <c r="A8" s="3">
        <v>65</v>
      </c>
      <c r="B8" s="3">
        <v>37</v>
      </c>
      <c r="C8" s="4">
        <v>1</v>
      </c>
      <c r="D8" s="4">
        <f>SIN(Tabela146[[#This Row],[θi(°) ± 0.5]]*PI()/180)</f>
        <v>0.90630778703664994</v>
      </c>
      <c r="E8" s="21">
        <f>SIN(Tabela146[[#This Row],[θt(°)]]*PI()/180)</f>
        <v>0.60181502315204827</v>
      </c>
      <c r="F8" s="21">
        <f>$B$17*Tabela146[[#This Row],[sen(θi)]]+$C$17</f>
        <v>0.60215850385005487</v>
      </c>
      <c r="G8" s="21">
        <f>Tabela146[[#This Row],[sen(θt)]]-Tabela146[[#This Row],[Ajuste sen(θt)]]</f>
        <v>-3.4348069800660408E-4</v>
      </c>
    </row>
    <row r="9" spans="1:7" ht="15.6" x14ac:dyDescent="0.3">
      <c r="A9" s="3">
        <v>70</v>
      </c>
      <c r="B9" s="3">
        <v>39</v>
      </c>
      <c r="C9" s="4">
        <v>1</v>
      </c>
      <c r="D9" s="4">
        <f>SIN(Tabela146[[#This Row],[θi(°) ± 0.5]]*PI()/180)</f>
        <v>0.93969262078590832</v>
      </c>
      <c r="E9" s="21">
        <f>SIN(Tabela146[[#This Row],[θt(°)]]*PI()/180)</f>
        <v>0.62932039104983739</v>
      </c>
      <c r="F9" s="21">
        <f>$B$17*Tabela146[[#This Row],[sen(θi)]]+$C$17</f>
        <v>0.62452277322683536</v>
      </c>
      <c r="G9" s="21">
        <f>Tabela146[[#This Row],[sen(θt)]]-Tabela146[[#This Row],[Ajuste sen(θt)]]</f>
        <v>4.7976178230020317E-3</v>
      </c>
    </row>
    <row r="10" spans="1:7" ht="15.6" x14ac:dyDescent="0.3">
      <c r="A10" s="3">
        <v>75</v>
      </c>
      <c r="B10" s="3">
        <v>40</v>
      </c>
      <c r="C10" s="4">
        <v>1</v>
      </c>
      <c r="D10" s="4">
        <f>SIN(Tabela146[[#This Row],[θi(°) ± 0.5]]*PI()/180)</f>
        <v>0.96592582628906831</v>
      </c>
      <c r="E10" s="21">
        <f>SIN(Tabela146[[#This Row],[θt(°)]]*PI()/180)</f>
        <v>0.64278760968653925</v>
      </c>
      <c r="F10" s="21">
        <f>$B$17*Tabela146[[#This Row],[sen(θi)]]+$C$17</f>
        <v>0.64209621627272562</v>
      </c>
      <c r="G10" s="21">
        <f>Tabela146[[#This Row],[sen(θt)]]-Tabela146[[#This Row],[Ajuste sen(θt)]]</f>
        <v>6.9139341381363462E-4</v>
      </c>
    </row>
    <row r="11" spans="1:7" ht="15.6" x14ac:dyDescent="0.3">
      <c r="A11" s="3">
        <v>80</v>
      </c>
      <c r="B11" s="3">
        <v>41</v>
      </c>
      <c r="C11" s="4">
        <v>1</v>
      </c>
      <c r="D11" s="4">
        <f>SIN(Tabela146[[#This Row],[θi(°) ± 0.5]]*PI()/180)</f>
        <v>0.98480775301220802</v>
      </c>
      <c r="E11" s="21">
        <f>SIN(Tabela146[[#This Row],[θt(°)]]*PI()/180)</f>
        <v>0.65605902899050716</v>
      </c>
      <c r="F11" s="21">
        <f>$B$17*Tabela146[[#This Row],[sen(θi)]]+$C$17</f>
        <v>0.65474508847501145</v>
      </c>
      <c r="G11" s="21">
        <f>Tabela146[[#This Row],[sen(θt)]]-Tabela146[[#This Row],[Ajuste sen(θt)]]</f>
        <v>1.3139405154957151E-3</v>
      </c>
    </row>
    <row r="12" spans="1:7" ht="15.6" x14ac:dyDescent="0.3">
      <c r="A12" s="3">
        <v>85</v>
      </c>
      <c r="B12" s="3">
        <v>41.5</v>
      </c>
      <c r="C12" s="4">
        <v>1.5</v>
      </c>
      <c r="D12" s="4">
        <f>SIN(Tabela146[[#This Row],[θi(°) ± 0.5]]*PI()/180)</f>
        <v>0.99619469809174555</v>
      </c>
      <c r="E12" s="21">
        <f>SIN(Tabela146[[#This Row],[θt(°)]]*PI()/180)</f>
        <v>0.6626200482157375</v>
      </c>
      <c r="F12" s="21">
        <f>$B$17*Tabela146[[#This Row],[sen(θi)]]+$C$17</f>
        <v>0.66237312427863559</v>
      </c>
      <c r="G12" s="21">
        <f>Tabela146[[#This Row],[sen(θt)]]-Tabela146[[#This Row],[Ajuste sen(θt)]]</f>
        <v>2.4692393710190608E-4</v>
      </c>
    </row>
    <row r="14" spans="1:7" ht="15.6" x14ac:dyDescent="0.3">
      <c r="A14" s="8" t="s">
        <v>15</v>
      </c>
      <c r="B14" s="15">
        <v>0.5</v>
      </c>
    </row>
    <row r="15" spans="1:7" ht="15" thickBot="1" x14ac:dyDescent="0.35"/>
    <row r="16" spans="1:7" ht="16.2" thickBot="1" x14ac:dyDescent="0.35">
      <c r="A16" s="22" t="s">
        <v>0</v>
      </c>
      <c r="B16" s="23"/>
      <c r="C16" s="23"/>
      <c r="D16" s="24"/>
    </row>
    <row r="17" spans="1:4" ht="15.6" x14ac:dyDescent="0.3">
      <c r="A17" s="5" t="s">
        <v>1</v>
      </c>
      <c r="B17" s="10">
        <f t="array" ref="B17:C19">LINEST(E2:E12,D2:D12,1,1)</f>
        <v>0.66989308812350401</v>
      </c>
      <c r="C17" s="10">
        <v>-4.9708183983055987E-3</v>
      </c>
      <c r="D17" s="6" t="s">
        <v>2</v>
      </c>
    </row>
    <row r="18" spans="1:4" ht="18" x14ac:dyDescent="0.3">
      <c r="A18" s="7" t="s">
        <v>5</v>
      </c>
      <c r="B18" s="11">
        <v>4.7919799050907645E-3</v>
      </c>
      <c r="C18" s="11">
        <v>3.7529078256425623E-3</v>
      </c>
      <c r="D18" s="8" t="s">
        <v>6</v>
      </c>
    </row>
    <row r="19" spans="1:4" ht="18" x14ac:dyDescent="0.3">
      <c r="A19" s="7" t="s">
        <v>7</v>
      </c>
      <c r="B19" s="11">
        <v>0.99953967821252521</v>
      </c>
      <c r="C19" s="11">
        <v>4.3037398353487789E-3</v>
      </c>
      <c r="D19" s="8" t="s">
        <v>8</v>
      </c>
    </row>
    <row r="20" spans="1:4" ht="15.6" x14ac:dyDescent="0.3">
      <c r="C20" s="2"/>
      <c r="D20" s="2"/>
    </row>
    <row r="21" spans="1:4" ht="18" x14ac:dyDescent="0.3">
      <c r="A21" s="8" t="s">
        <v>9</v>
      </c>
      <c r="B21" s="11">
        <v>1</v>
      </c>
      <c r="C21" s="2"/>
      <c r="D21" s="2"/>
    </row>
    <row r="22" spans="1:4" ht="15.6" x14ac:dyDescent="0.3">
      <c r="C22" s="2"/>
      <c r="D22" s="2"/>
    </row>
    <row r="23" spans="1:4" ht="18" x14ac:dyDescent="0.3">
      <c r="A23" s="12" t="s">
        <v>13</v>
      </c>
      <c r="B23" s="13">
        <f>B21/B17</f>
        <v>1.4927755155694877</v>
      </c>
      <c r="D23" s="2"/>
    </row>
    <row r="25" spans="1:4" x14ac:dyDescent="0.3">
      <c r="B25">
        <f>ABS(B23-1.49)/1.49*100</f>
        <v>0.18627621271729805</v>
      </c>
    </row>
  </sheetData>
  <mergeCells count="1">
    <mergeCell ref="A16:D16"/>
  </mergeCells>
  <phoneticPr fontId="10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33E0-57DD-46F3-AC80-15B1038F6BEE}">
  <dimension ref="A1:G22"/>
  <sheetViews>
    <sheetView tabSelected="1" zoomScale="85" zoomScaleNormal="85" workbookViewId="0">
      <selection activeCell="B23" sqref="B23"/>
    </sheetView>
  </sheetViews>
  <sheetFormatPr defaultRowHeight="14.4" x14ac:dyDescent="0.3"/>
  <cols>
    <col min="1" max="1" width="12.6640625" bestFit="1" customWidth="1"/>
    <col min="2" max="4" width="9.77734375" customWidth="1"/>
    <col min="5" max="5" width="9.33203125" bestFit="1" customWidth="1"/>
    <col min="6" max="6" width="16.33203125" bestFit="1" customWidth="1"/>
    <col min="7" max="7" width="11.5546875" bestFit="1" customWidth="1"/>
  </cols>
  <sheetData>
    <row r="1" spans="1:7" ht="18" x14ac:dyDescent="0.3">
      <c r="A1" s="1" t="s">
        <v>22</v>
      </c>
      <c r="B1" s="2" t="s">
        <v>11</v>
      </c>
      <c r="C1" s="8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ht="15.6" x14ac:dyDescent="0.3">
      <c r="A2" s="3">
        <v>5</v>
      </c>
      <c r="B2" s="3">
        <v>10</v>
      </c>
      <c r="C2" s="4">
        <v>0.5</v>
      </c>
      <c r="D2" s="4">
        <f>SIN(Tabela1357[[#This Row],[θi(°) ± 0.5]]*PI()/180)</f>
        <v>8.7155742747658166E-2</v>
      </c>
      <c r="E2" s="21">
        <f>SIN(Tabela1357[[#This Row],[θt(°)]]*PI()/180)</f>
        <v>0.17364817766693033</v>
      </c>
      <c r="F2" s="21">
        <f>$B$13*Tabela1357[[#This Row],[sen(θi)]]+$C$13</f>
        <v>0.16790797353646372</v>
      </c>
      <c r="G2" s="21">
        <f>Tabela1357[[#This Row],[sen(θt)]]-Tabela1357[[#This Row],[Ajuste sen(θt)]]</f>
        <v>5.7402041304666085E-3</v>
      </c>
    </row>
    <row r="3" spans="1:7" ht="15.6" x14ac:dyDescent="0.3">
      <c r="A3" s="3">
        <v>10</v>
      </c>
      <c r="B3" s="3">
        <v>16.5</v>
      </c>
      <c r="C3" s="4">
        <v>0.5</v>
      </c>
      <c r="D3" s="4">
        <f>SIN(Tabela1357[[#This Row],[θi(°) ± 0.5]]*PI()/180)</f>
        <v>0.17364817766693033</v>
      </c>
      <c r="E3" s="21">
        <f>SIN(Tabela1357[[#This Row],[θt(°)]]*PI()/180)</f>
        <v>0.28401534470392265</v>
      </c>
      <c r="F3" s="21">
        <f>$B$13*Tabela1357[[#This Row],[sen(θi)]]+$C$13</f>
        <v>0.29241065511916858</v>
      </c>
      <c r="G3" s="21">
        <f>Tabela1357[[#This Row],[sen(θt)]]-Tabela1357[[#This Row],[Ajuste sen(θt)]]</f>
        <v>-8.3953104152459379E-3</v>
      </c>
    </row>
    <row r="4" spans="1:7" ht="15.6" x14ac:dyDescent="0.3">
      <c r="A4" s="3">
        <v>15</v>
      </c>
      <c r="B4" s="3">
        <v>24.5</v>
      </c>
      <c r="C4" s="4">
        <v>0.5</v>
      </c>
      <c r="D4" s="4">
        <f>SIN(Tabela1357[[#This Row],[θi(°) ± 0.5]]*PI()/180)</f>
        <v>0.25881904510252074</v>
      </c>
      <c r="E4" s="21">
        <f>SIN(Tabela1357[[#This Row],[θt(°)]]*PI()/180)</f>
        <v>0.41469324265623903</v>
      </c>
      <c r="F4" s="21">
        <f>$B$13*Tabela1357[[#This Row],[sen(θi)]]+$C$13</f>
        <v>0.41501098887498594</v>
      </c>
      <c r="G4" s="21">
        <f>Tabela1357[[#This Row],[sen(θt)]]-Tabela1357[[#This Row],[Ajuste sen(θt)]]</f>
        <v>-3.1774621874691711E-4</v>
      </c>
    </row>
    <row r="5" spans="1:7" ht="15.6" x14ac:dyDescent="0.3">
      <c r="A5" s="3">
        <v>20</v>
      </c>
      <c r="B5" s="3">
        <v>32.5</v>
      </c>
      <c r="C5" s="4">
        <v>0.5</v>
      </c>
      <c r="D5" s="4">
        <f>SIN(Tabela1357[[#This Row],[θi(°) ± 0.5]]*PI()/180)</f>
        <v>0.34202014332566871</v>
      </c>
      <c r="E5" s="21">
        <f>SIN(Tabela1357[[#This Row],[θt(°)]]*PI()/180)</f>
        <v>0.53729960834682389</v>
      </c>
      <c r="F5" s="21">
        <f>$B$13*Tabela1357[[#This Row],[sen(θi)]]+$C$13</f>
        <v>0.53477591223592857</v>
      </c>
      <c r="G5" s="21">
        <f>Tabela1357[[#This Row],[sen(θt)]]-Tabela1357[[#This Row],[Ajuste sen(θt)]]</f>
        <v>2.5236961108953126E-3</v>
      </c>
    </row>
    <row r="6" spans="1:7" ht="15.6" x14ac:dyDescent="0.3">
      <c r="A6" s="3">
        <v>25</v>
      </c>
      <c r="B6" s="3">
        <v>40.5</v>
      </c>
      <c r="C6" s="4">
        <v>0.5</v>
      </c>
      <c r="D6" s="4">
        <f>SIN(Tabela1357[[#This Row],[θi(°) ± 0.5]]*PI()/180)</f>
        <v>0.42261826174069944</v>
      </c>
      <c r="E6" s="21">
        <f>SIN(Tabela1357[[#This Row],[θt(°)]]*PI()/180)</f>
        <v>0.64944804833018366</v>
      </c>
      <c r="F6" s="21">
        <f>$B$13*Tabela1357[[#This Row],[sen(θi)]]+$C$13</f>
        <v>0.6507939418191816</v>
      </c>
      <c r="G6" s="21">
        <f>Tabela1357[[#This Row],[sen(θt)]]-Tabela1357[[#This Row],[Ajuste sen(θt)]]</f>
        <v>-1.3458934889979401E-3</v>
      </c>
    </row>
    <row r="7" spans="1:7" ht="15.6" x14ac:dyDescent="0.3">
      <c r="A7" s="3">
        <v>30</v>
      </c>
      <c r="B7" s="3">
        <v>50</v>
      </c>
      <c r="C7" s="4">
        <v>1</v>
      </c>
      <c r="D7" s="4">
        <f>SIN(Tabela1357[[#This Row],[θi(°) ± 0.5]]*PI()/180)</f>
        <v>0.49999999999999994</v>
      </c>
      <c r="E7" s="21">
        <f>SIN(Tabela1357[[#This Row],[θt(°)]]*PI()/180)</f>
        <v>0.76604444311897801</v>
      </c>
      <c r="F7" s="21">
        <f>$B$13*Tabela1357[[#This Row],[sen(θi)]]+$C$13</f>
        <v>0.76218211036601491</v>
      </c>
      <c r="G7" s="21">
        <f>Tabela1357[[#This Row],[sen(θt)]]-Tabela1357[[#This Row],[Ajuste sen(θt)]]</f>
        <v>3.8623327529631046E-3</v>
      </c>
    </row>
    <row r="8" spans="1:7" ht="15.6" x14ac:dyDescent="0.3">
      <c r="A8" s="3">
        <v>35</v>
      </c>
      <c r="B8" s="3">
        <v>60</v>
      </c>
      <c r="C8" s="4">
        <v>1</v>
      </c>
      <c r="D8" s="4">
        <f>SIN(Tabela1357[[#This Row],[θi(°) ± 0.5]]*PI()/180)</f>
        <v>0.57357643635104605</v>
      </c>
      <c r="E8" s="21">
        <f>SIN(Tabela1357[[#This Row],[θt(°)]]*PI()/180)</f>
        <v>0.8660254037844386</v>
      </c>
      <c r="F8" s="21">
        <f>$B$13*Tabela1357[[#This Row],[sen(θi)]]+$C$13</f>
        <v>0.86809268665577222</v>
      </c>
      <c r="G8" s="21">
        <f>Tabela1357[[#This Row],[sen(θt)]]-Tabela1357[[#This Row],[Ajuste sen(θt)]]</f>
        <v>-2.06728287133362E-3</v>
      </c>
    </row>
    <row r="9" spans="1:7" ht="15.6" x14ac:dyDescent="0.3">
      <c r="A9" s="3"/>
      <c r="B9" s="3"/>
      <c r="C9" s="4"/>
      <c r="D9" s="4"/>
      <c r="E9" s="19"/>
    </row>
    <row r="10" spans="1:7" ht="15.6" x14ac:dyDescent="0.3">
      <c r="A10" s="8" t="s">
        <v>15</v>
      </c>
      <c r="B10" s="15">
        <v>0.5</v>
      </c>
    </row>
    <row r="11" spans="1:7" ht="15" thickBot="1" x14ac:dyDescent="0.35"/>
    <row r="12" spans="1:7" ht="16.2" thickBot="1" x14ac:dyDescent="0.35">
      <c r="A12" s="25" t="s">
        <v>0</v>
      </c>
      <c r="B12" s="26"/>
      <c r="C12" s="26"/>
      <c r="D12" s="27"/>
    </row>
    <row r="13" spans="1:7" ht="15.6" x14ac:dyDescent="0.3">
      <c r="A13" s="5" t="s">
        <v>1</v>
      </c>
      <c r="B13" s="10">
        <f t="array" ref="B13:C15">LINEST(E2:E8,D2:D8,1,1)</f>
        <v>1.4394632513110495</v>
      </c>
      <c r="C13" s="10">
        <v>4.2450484710490288E-2</v>
      </c>
      <c r="D13" s="6" t="s">
        <v>2</v>
      </c>
    </row>
    <row r="14" spans="1:7" ht="18" x14ac:dyDescent="0.3">
      <c r="A14" s="7" t="s">
        <v>5</v>
      </c>
      <c r="B14" s="11">
        <v>1.1892550209965522E-2</v>
      </c>
      <c r="C14" s="11">
        <v>4.4482203532969508E-3</v>
      </c>
      <c r="D14" s="8" t="s">
        <v>6</v>
      </c>
    </row>
    <row r="15" spans="1:7" ht="18" x14ac:dyDescent="0.3">
      <c r="A15" s="7" t="s">
        <v>7</v>
      </c>
      <c r="B15" s="11">
        <v>0.99965883015820478</v>
      </c>
      <c r="C15" s="11">
        <v>5.1167154932805613E-3</v>
      </c>
      <c r="D15" s="8" t="s">
        <v>8</v>
      </c>
    </row>
    <row r="16" spans="1:7" ht="15.6" x14ac:dyDescent="0.3">
      <c r="C16" s="2"/>
      <c r="D16" s="2"/>
    </row>
    <row r="17" spans="1:4" ht="18" x14ac:dyDescent="0.3">
      <c r="A17" s="8" t="s">
        <v>10</v>
      </c>
      <c r="B17" s="11">
        <v>1</v>
      </c>
      <c r="C17" s="2"/>
      <c r="D17" s="2"/>
    </row>
    <row r="18" spans="1:4" ht="15.6" x14ac:dyDescent="0.3">
      <c r="D18" s="2"/>
    </row>
    <row r="19" spans="1:4" ht="18" x14ac:dyDescent="0.3">
      <c r="A19" s="12" t="s">
        <v>14</v>
      </c>
      <c r="B19" s="16">
        <f>B13*B17</f>
        <v>1.4394632513110495</v>
      </c>
      <c r="C19" s="2"/>
      <c r="D19" s="2"/>
    </row>
    <row r="22" spans="1:4" x14ac:dyDescent="0.3">
      <c r="B22">
        <f>ABS(B19-1.49)/1.49*100</f>
        <v>3.3917280999295656</v>
      </c>
    </row>
  </sheetData>
  <mergeCells count="1">
    <mergeCell ref="A12:D12"/>
  </mergeCells>
  <phoneticPr fontId="10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D2D3-DE8F-44BD-9863-0CCEBC89FFE3}">
  <dimension ref="A1:G26"/>
  <sheetViews>
    <sheetView zoomScale="85" zoomScaleNormal="85" workbookViewId="0">
      <selection activeCell="D27" sqref="D27"/>
    </sheetView>
  </sheetViews>
  <sheetFormatPr defaultRowHeight="14.4" x14ac:dyDescent="0.3"/>
  <cols>
    <col min="1" max="1" width="12.6640625" bestFit="1" customWidth="1"/>
    <col min="2" max="2" width="7.5546875" bestFit="1" customWidth="1"/>
    <col min="3" max="3" width="8.21875" bestFit="1" customWidth="1"/>
    <col min="4" max="4" width="9.88671875" bestFit="1" customWidth="1"/>
    <col min="5" max="5" width="10" bestFit="1" customWidth="1"/>
    <col min="6" max="6" width="16.88671875" bestFit="1" customWidth="1"/>
    <col min="7" max="7" width="12.109375" bestFit="1" customWidth="1"/>
  </cols>
  <sheetData>
    <row r="1" spans="1:7" ht="18" x14ac:dyDescent="0.3">
      <c r="A1" s="1" t="s">
        <v>22</v>
      </c>
      <c r="B1" s="2" t="s">
        <v>11</v>
      </c>
      <c r="C1" s="8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ht="15.6" x14ac:dyDescent="0.3">
      <c r="A2" s="3">
        <v>10</v>
      </c>
      <c r="B2" s="3">
        <v>7.5</v>
      </c>
      <c r="C2" s="3">
        <v>0.5</v>
      </c>
      <c r="D2" s="4">
        <f>SIN(Tabela14[[#This Row],[θi(°) ± 0.5]]*PI()/180)</f>
        <v>0.17364817766693033</v>
      </c>
      <c r="E2" s="21">
        <f>SIN(Tabela14[[#This Row],[θt(°)]]*PI()/180)</f>
        <v>0.13052619222005157</v>
      </c>
      <c r="F2" s="21">
        <f>$B$17*Tabela14[[#This Row],[sen(θi)]]+$C$17</f>
        <v>0.1341574402061001</v>
      </c>
      <c r="G2" s="21">
        <f>Tabela14[[#This Row],[sen(θt)]]-Tabela14[[#This Row],[Ajuste sen(θt)]]</f>
        <v>-3.6312479860485247E-3</v>
      </c>
    </row>
    <row r="3" spans="1:7" ht="15.6" x14ac:dyDescent="0.3">
      <c r="A3" s="3">
        <v>20</v>
      </c>
      <c r="B3" s="3">
        <v>14</v>
      </c>
      <c r="C3" s="3">
        <v>0.5</v>
      </c>
      <c r="D3" s="4">
        <f>SIN(Tabela14[[#This Row],[θi(°) ± 0.5]]*PI()/180)</f>
        <v>0.34202014332566871</v>
      </c>
      <c r="E3" s="21">
        <f>SIN(Tabela14[[#This Row],[θt(°)]]*PI()/180)</f>
        <v>0.24192189559966773</v>
      </c>
      <c r="F3" s="21">
        <f>$B$17*Tabela14[[#This Row],[sen(θi)]]+$C$17</f>
        <v>0.24406457931216147</v>
      </c>
      <c r="G3" s="21">
        <f>Tabela14[[#This Row],[sen(θt)]]-Tabela14[[#This Row],[Ajuste sen(θt)]]</f>
        <v>-2.142683712493737E-3</v>
      </c>
    </row>
    <row r="4" spans="1:7" ht="15.6" x14ac:dyDescent="0.3">
      <c r="A4" s="3">
        <v>30</v>
      </c>
      <c r="B4" s="3">
        <v>20.5</v>
      </c>
      <c r="C4" s="3">
        <v>0.5</v>
      </c>
      <c r="D4" s="4">
        <f>SIN(Tabela14[[#This Row],[θi(°) ± 0.5]]*PI()/180)</f>
        <v>0.49999999999999994</v>
      </c>
      <c r="E4" s="21">
        <f>SIN(Tabela14[[#This Row],[θt(°)]]*PI()/180)</f>
        <v>0.35020738125946738</v>
      </c>
      <c r="F4" s="21">
        <f>$B$17*Tabela14[[#This Row],[sen(θi)]]+$C$17</f>
        <v>0.34718812494239698</v>
      </c>
      <c r="G4" s="21">
        <f>Tabela14[[#This Row],[sen(θt)]]-Tabela14[[#This Row],[Ajuste sen(θt)]]</f>
        <v>3.0192563170703957E-3</v>
      </c>
    </row>
    <row r="5" spans="1:7" ht="15.6" x14ac:dyDescent="0.3">
      <c r="A5" s="3">
        <v>40</v>
      </c>
      <c r="B5" s="3">
        <v>26.5</v>
      </c>
      <c r="C5" s="3">
        <v>0.5</v>
      </c>
      <c r="D5" s="4">
        <f>SIN(Tabela14[[#This Row],[θi(°) ± 0.5]]*PI()/180)</f>
        <v>0.64278760968653925</v>
      </c>
      <c r="E5" s="21">
        <f>SIN(Tabela14[[#This Row],[θt(°)]]*PI()/180)</f>
        <v>0.44619781310980877</v>
      </c>
      <c r="F5" s="21">
        <f>$B$17*Tabela14[[#This Row],[sen(θi)]]+$C$17</f>
        <v>0.44039472034586402</v>
      </c>
      <c r="G5" s="21">
        <f>Tabela14[[#This Row],[sen(θt)]]-Tabela14[[#This Row],[Ajuste sen(θt)]]</f>
        <v>5.8030927639447505E-3</v>
      </c>
    </row>
    <row r="6" spans="1:7" ht="15.6" x14ac:dyDescent="0.3">
      <c r="A6" s="3">
        <v>50</v>
      </c>
      <c r="B6" s="3">
        <v>31.5</v>
      </c>
      <c r="C6" s="3">
        <v>0.5</v>
      </c>
      <c r="D6" s="4">
        <f>SIN(Tabela14[[#This Row],[θi(°) ± 0.5]]*PI()/180)</f>
        <v>0.76604444311897801</v>
      </c>
      <c r="E6" s="21">
        <f>SIN(Tabela14[[#This Row],[θt(°)]]*PI()/180)</f>
        <v>0.5224985647159488</v>
      </c>
      <c r="F6" s="21">
        <f>$B$17*Tabela14[[#This Row],[sen(θi)]]+$C$17</f>
        <v>0.52085233028604117</v>
      </c>
      <c r="G6" s="21">
        <f>Tabela14[[#This Row],[sen(θt)]]-Tabela14[[#This Row],[Ajuste sen(θt)]]</f>
        <v>1.6462344299076337E-3</v>
      </c>
    </row>
    <row r="7" spans="1:7" ht="15.6" x14ac:dyDescent="0.3">
      <c r="A7" s="3">
        <v>60</v>
      </c>
      <c r="B7" s="3">
        <v>36.5</v>
      </c>
      <c r="C7" s="3">
        <v>0.5</v>
      </c>
      <c r="D7" s="4">
        <f>SIN(Tabela14[[#This Row],[θi(°) ± 0.5]]*PI()/180)</f>
        <v>0.8660254037844386</v>
      </c>
      <c r="E7" s="21">
        <f>SIN(Tabela14[[#This Row],[θt(°)]]*PI()/180)</f>
        <v>0.59482278675134126</v>
      </c>
      <c r="F7" s="21">
        <f>$B$17*Tabela14[[#This Row],[sen(θi)]]+$C$17</f>
        <v>0.58611629099841123</v>
      </c>
      <c r="G7" s="21">
        <f>Tabela14[[#This Row],[sen(θt)]]-Tabela14[[#This Row],[Ajuste sen(θt)]]</f>
        <v>8.7064957529300324E-3</v>
      </c>
    </row>
    <row r="8" spans="1:7" ht="15.6" x14ac:dyDescent="0.3">
      <c r="A8" s="3">
        <v>65</v>
      </c>
      <c r="B8" s="3">
        <v>37.5</v>
      </c>
      <c r="C8" s="3">
        <v>1.5</v>
      </c>
      <c r="D8" s="4">
        <f>SIN(Tabela14[[#This Row],[θi(°) ± 0.5]]*PI()/180)</f>
        <v>0.90630778703664994</v>
      </c>
      <c r="E8" s="21">
        <f>SIN(Tabela14[[#This Row],[θt(°)]]*PI()/180)</f>
        <v>0.60876142900872066</v>
      </c>
      <c r="F8" s="21">
        <f>$B$17*Tabela14[[#This Row],[sen(θi)]]+$C$17</f>
        <v>0.61241117614929141</v>
      </c>
      <c r="G8" s="21">
        <f>Tabela14[[#This Row],[sen(θt)]]-Tabela14[[#This Row],[Ajuste sen(θt)]]</f>
        <v>-3.6497471405707582E-3</v>
      </c>
    </row>
    <row r="9" spans="1:7" ht="15.6" x14ac:dyDescent="0.3">
      <c r="A9" s="3">
        <v>70</v>
      </c>
      <c r="B9" s="3">
        <v>39</v>
      </c>
      <c r="C9" s="3">
        <v>2</v>
      </c>
      <c r="D9" s="4">
        <f>SIN(Tabela14[[#This Row],[θi(°) ± 0.5]]*PI()/180)</f>
        <v>0.93969262078590832</v>
      </c>
      <c r="E9" s="21">
        <f>SIN(Tabela14[[#This Row],[θt(°)]]*PI()/180)</f>
        <v>0.62932039104983739</v>
      </c>
      <c r="F9" s="21">
        <f>$B$17*Tabela14[[#This Row],[sen(θi)]]+$C$17</f>
        <v>0.63420359006188654</v>
      </c>
      <c r="G9" s="21">
        <f>Tabela14[[#This Row],[sen(θt)]]-Tabela14[[#This Row],[Ajuste sen(θt)]]</f>
        <v>-4.8831990120491442E-3</v>
      </c>
    </row>
    <row r="10" spans="1:7" ht="15.6" x14ac:dyDescent="0.3">
      <c r="A10" s="3">
        <v>75</v>
      </c>
      <c r="B10" s="3">
        <v>40.5</v>
      </c>
      <c r="C10" s="3">
        <v>1.5</v>
      </c>
      <c r="D10" s="4">
        <f>SIN(Tabela14[[#This Row],[θi(°) ± 0.5]]*PI()/180)</f>
        <v>0.96592582628906831</v>
      </c>
      <c r="E10" s="21">
        <f>SIN(Tabela14[[#This Row],[θt(°)]]*PI()/180)</f>
        <v>0.64944804833018366</v>
      </c>
      <c r="F10" s="21">
        <f>$B$17*Tabela14[[#This Row],[sen(θi)]]+$C$17</f>
        <v>0.65132767930770252</v>
      </c>
      <c r="G10" s="21">
        <f>Tabela14[[#This Row],[sen(θt)]]-Tabela14[[#This Row],[Ajuste sen(θt)]]</f>
        <v>-1.8796309775188647E-3</v>
      </c>
    </row>
    <row r="11" spans="1:7" ht="15.6" x14ac:dyDescent="0.3">
      <c r="A11" s="3">
        <v>80</v>
      </c>
      <c r="B11" s="3">
        <v>41.5</v>
      </c>
      <c r="C11" s="3">
        <v>1.5</v>
      </c>
      <c r="D11" s="4">
        <f>SIN(Tabela14[[#This Row],[θi(°) ± 0.5]]*PI()/180)</f>
        <v>0.98480775301220802</v>
      </c>
      <c r="E11" s="21">
        <f>SIN(Tabela14[[#This Row],[θt(°)]]*PI()/180)</f>
        <v>0.6626200482157375</v>
      </c>
      <c r="F11" s="21">
        <f>$B$17*Tabela14[[#This Row],[sen(θi)]]+$C$17</f>
        <v>0.66365311922777082</v>
      </c>
      <c r="G11" s="21">
        <f>Tabela14[[#This Row],[sen(θt)]]-Tabela14[[#This Row],[Ajuste sen(θt)]]</f>
        <v>-1.0330710120333153E-3</v>
      </c>
    </row>
    <row r="12" spans="1:7" ht="15.6" x14ac:dyDescent="0.3">
      <c r="A12" s="3">
        <v>85</v>
      </c>
      <c r="B12" s="3">
        <v>42</v>
      </c>
      <c r="C12" s="3">
        <v>2</v>
      </c>
      <c r="D12" s="4">
        <f>SIN(Tabela14[[#This Row],[θi(°) ± 0.5]]*PI()/180)</f>
        <v>0.99619469809174555</v>
      </c>
      <c r="E12" s="21">
        <f>SIN(Tabela14[[#This Row],[θt(°)]]*PI()/180)</f>
        <v>0.66913060635885824</v>
      </c>
      <c r="F12" s="21">
        <f>$B$17*Tabela14[[#This Row],[sen(θi)]]+$C$17</f>
        <v>0.67108610578199568</v>
      </c>
      <c r="G12" s="21">
        <f>Tabela14[[#This Row],[sen(θt)]]-Tabela14[[#This Row],[Ajuste sen(θt)]]</f>
        <v>-1.9554994231374412E-3</v>
      </c>
    </row>
    <row r="14" spans="1:7" ht="15.6" x14ac:dyDescent="0.3">
      <c r="A14" s="8" t="s">
        <v>15</v>
      </c>
      <c r="B14" s="15">
        <v>0.5</v>
      </c>
    </row>
    <row r="15" spans="1:7" ht="15" thickBot="1" x14ac:dyDescent="0.35"/>
    <row r="16" spans="1:7" ht="16.2" thickBot="1" x14ac:dyDescent="0.35">
      <c r="A16" s="22" t="s">
        <v>0</v>
      </c>
      <c r="B16" s="23"/>
      <c r="C16" s="23"/>
      <c r="D16" s="24"/>
    </row>
    <row r="17" spans="1:4" ht="15.6" x14ac:dyDescent="0.3">
      <c r="A17" s="5" t="s">
        <v>1</v>
      </c>
      <c r="B17" s="10">
        <f t="array" ref="B17:C19">LINEST(E2:E12,D2:D12,1,1)</f>
        <v>0.65276388902428462</v>
      </c>
      <c r="C17" s="10">
        <v>2.0806180430254728E-2</v>
      </c>
      <c r="D17" s="6" t="s">
        <v>2</v>
      </c>
    </row>
    <row r="18" spans="1:4" ht="18" x14ac:dyDescent="0.3">
      <c r="A18" s="7" t="s">
        <v>5</v>
      </c>
      <c r="B18" s="11">
        <v>5.0436955084482461E-3</v>
      </c>
      <c r="C18" s="11">
        <v>3.9500425124289291E-3</v>
      </c>
      <c r="D18" s="8" t="s">
        <v>6</v>
      </c>
    </row>
    <row r="19" spans="1:4" ht="18" x14ac:dyDescent="0.3">
      <c r="A19" s="7" t="s">
        <v>7</v>
      </c>
      <c r="B19" s="11">
        <v>0.99946297476063206</v>
      </c>
      <c r="C19" s="11">
        <v>4.5298089113475293E-3</v>
      </c>
      <c r="D19" s="8" t="s">
        <v>8</v>
      </c>
    </row>
    <row r="20" spans="1:4" ht="15.6" x14ac:dyDescent="0.3">
      <c r="C20" s="2"/>
      <c r="D20" s="2"/>
    </row>
    <row r="21" spans="1:4" ht="18" x14ac:dyDescent="0.3">
      <c r="A21" s="8" t="s">
        <v>9</v>
      </c>
      <c r="B21" s="11">
        <v>1</v>
      </c>
      <c r="C21" s="2"/>
      <c r="D21" s="2"/>
    </row>
    <row r="22" spans="1:4" ht="15.6" x14ac:dyDescent="0.3">
      <c r="C22" s="2"/>
      <c r="D22" s="2"/>
    </row>
    <row r="23" spans="1:4" ht="18" x14ac:dyDescent="0.3">
      <c r="A23" s="12" t="s">
        <v>13</v>
      </c>
      <c r="B23" s="13">
        <f>B21/B17</f>
        <v>1.5319474879266755</v>
      </c>
      <c r="D23" s="2"/>
    </row>
    <row r="26" spans="1:4" x14ac:dyDescent="0.3">
      <c r="D26">
        <f>ABS(B23-1.49)/1.49*100</f>
        <v>2.8152676460856019</v>
      </c>
    </row>
  </sheetData>
  <mergeCells count="1">
    <mergeCell ref="A16:D16"/>
  </mergeCells>
  <phoneticPr fontId="10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2ACE3-B04C-4023-B6A6-2608E401385B}">
  <dimension ref="A1:G23"/>
  <sheetViews>
    <sheetView zoomScale="70" zoomScaleNormal="70" workbookViewId="0">
      <selection activeCell="B23" sqref="B23"/>
    </sheetView>
  </sheetViews>
  <sheetFormatPr defaultRowHeight="14.4" x14ac:dyDescent="0.3"/>
  <cols>
    <col min="1" max="1" width="13" bestFit="1" customWidth="1"/>
    <col min="2" max="4" width="9.77734375" customWidth="1"/>
    <col min="6" max="6" width="16.33203125" bestFit="1" customWidth="1"/>
    <col min="7" max="7" width="12.77734375" bestFit="1" customWidth="1"/>
  </cols>
  <sheetData>
    <row r="1" spans="1:7" ht="18" x14ac:dyDescent="0.3">
      <c r="A1" s="1" t="s">
        <v>22</v>
      </c>
      <c r="B1" s="2" t="s">
        <v>11</v>
      </c>
      <c r="C1" s="8" t="s">
        <v>17</v>
      </c>
      <c r="D1" s="2" t="s">
        <v>3</v>
      </c>
      <c r="E1" s="2" t="s">
        <v>4</v>
      </c>
      <c r="F1" s="2" t="s">
        <v>20</v>
      </c>
      <c r="G1" s="2" t="s">
        <v>21</v>
      </c>
    </row>
    <row r="2" spans="1:7" ht="15.6" x14ac:dyDescent="0.3">
      <c r="A2" s="3">
        <v>5</v>
      </c>
      <c r="B2" s="3">
        <v>8</v>
      </c>
      <c r="C2" s="18">
        <v>0.5</v>
      </c>
      <c r="D2" s="4">
        <f>SIN(Tabela135[[#This Row],[θi(°) ± 0.5]]*PI()/180)</f>
        <v>8.7155742747658166E-2</v>
      </c>
      <c r="E2" s="4">
        <f>SIN(Tabela135[[#This Row],[θt(°)]]*PI()/180)</f>
        <v>0.13917310096006544</v>
      </c>
      <c r="F2" s="21">
        <f>$B$14*Tabela135[[#This Row],[sen(θi)]]+$C$14</f>
        <v>0.13889598835475822</v>
      </c>
      <c r="G2" s="21">
        <f>Tabela135[[#This Row],[sen(θt)]]-Tabela135[[#This Row],[Ajuste sen(θt)]]</f>
        <v>2.7711260530721704E-4</v>
      </c>
    </row>
    <row r="3" spans="1:7" ht="15.6" x14ac:dyDescent="0.3">
      <c r="A3" s="3">
        <v>10</v>
      </c>
      <c r="B3" s="3">
        <v>15</v>
      </c>
      <c r="C3" s="18">
        <v>0.5</v>
      </c>
      <c r="D3" s="4">
        <f>SIN(Tabela135[[#This Row],[θi(°) ± 0.5]]*PI()/180)</f>
        <v>0.17364817766693033</v>
      </c>
      <c r="E3" s="4">
        <f>SIN(Tabela135[[#This Row],[θt(°)]]*PI()/180)</f>
        <v>0.25881904510252074</v>
      </c>
      <c r="F3" s="21">
        <f>$B$14*Tabela135[[#This Row],[sen(θi)]]+$C$14</f>
        <v>0.26736246217941473</v>
      </c>
      <c r="G3" s="21">
        <f>Tabela135[[#This Row],[sen(θt)]]-Tabela135[[#This Row],[Ajuste sen(θt)]]</f>
        <v>-8.5434170768939888E-3</v>
      </c>
    </row>
    <row r="4" spans="1:7" ht="15.6" x14ac:dyDescent="0.3">
      <c r="A4" s="3">
        <v>15</v>
      </c>
      <c r="B4" s="3">
        <v>23.5</v>
      </c>
      <c r="C4" s="18">
        <v>0.5</v>
      </c>
      <c r="D4" s="4">
        <f>SIN(Tabela135[[#This Row],[θi(°) ± 0.5]]*PI()/180)</f>
        <v>0.25881904510252074</v>
      </c>
      <c r="E4" s="4">
        <f>SIN(Tabela135[[#This Row],[θt(°)]]*PI()/180)</f>
        <v>0.3987490689252462</v>
      </c>
      <c r="F4" s="21">
        <f>$B$14*Tabela135[[#This Row],[sen(θi)]]+$C$14</f>
        <v>0.39386602312379004</v>
      </c>
      <c r="G4" s="21">
        <f>Tabela135[[#This Row],[sen(θt)]]-Tabela135[[#This Row],[Ajuste sen(θt)]]</f>
        <v>4.883045801456154E-3</v>
      </c>
    </row>
    <row r="5" spans="1:7" ht="15.6" x14ac:dyDescent="0.3">
      <c r="A5" s="3">
        <v>20</v>
      </c>
      <c r="B5" s="3">
        <v>31.5</v>
      </c>
      <c r="C5" s="18">
        <v>0.5</v>
      </c>
      <c r="D5" s="4">
        <f>SIN(Tabela135[[#This Row],[θi(°) ± 0.5]]*PI()/180)</f>
        <v>0.34202014332566871</v>
      </c>
      <c r="E5" s="4">
        <f>SIN(Tabela135[[#This Row],[θt(°)]]*PI()/180)</f>
        <v>0.5224985647159488</v>
      </c>
      <c r="F5" s="21">
        <f>$B$14*Tabela135[[#This Row],[sen(θi)]]+$C$14</f>
        <v>0.51744390270415896</v>
      </c>
      <c r="G5" s="21">
        <f>Tabela135[[#This Row],[sen(θt)]]-Tabela135[[#This Row],[Ajuste sen(θt)]]</f>
        <v>5.0546620117898344E-3</v>
      </c>
    </row>
    <row r="6" spans="1:7" ht="15.6" x14ac:dyDescent="0.3">
      <c r="A6" s="3">
        <v>25</v>
      </c>
      <c r="B6" s="3">
        <v>39.5</v>
      </c>
      <c r="C6" s="18">
        <v>0.5</v>
      </c>
      <c r="D6" s="4">
        <f>SIN(Tabela135[[#This Row],[θi(°) ± 0.5]]*PI()/180)</f>
        <v>0.42261826174069944</v>
      </c>
      <c r="E6" s="4">
        <f>SIN(Tabela135[[#This Row],[θt(°)]]*PI()/180)</f>
        <v>0.63607822027776395</v>
      </c>
      <c r="F6" s="21">
        <f>$B$14*Tabela135[[#This Row],[sen(θi)]]+$C$14</f>
        <v>0.63715559863855109</v>
      </c>
      <c r="G6" s="21">
        <f>Tabela135[[#This Row],[sen(θt)]]-Tabela135[[#This Row],[Ajuste sen(θt)]]</f>
        <v>-1.0773783607871401E-3</v>
      </c>
    </row>
    <row r="7" spans="1:7" ht="15.6" x14ac:dyDescent="0.3">
      <c r="A7" s="3">
        <v>30</v>
      </c>
      <c r="B7" s="3">
        <v>49</v>
      </c>
      <c r="C7" s="18">
        <v>0.5</v>
      </c>
      <c r="D7" s="4">
        <f>SIN(Tabela135[[#This Row],[θi(°) ± 0.5]]*PI()/180)</f>
        <v>0.49999999999999994</v>
      </c>
      <c r="E7" s="4">
        <f>SIN(Tabela135[[#This Row],[θt(°)]]*PI()/180)</f>
        <v>0.75470958022277201</v>
      </c>
      <c r="F7" s="21">
        <f>$B$14*Tabela135[[#This Row],[sen(θi)]]+$C$14</f>
        <v>0.75209003263700713</v>
      </c>
      <c r="G7" s="21">
        <f>Tabela135[[#This Row],[sen(θt)]]-Tabela135[[#This Row],[Ajuste sen(θt)]]</f>
        <v>2.6195475857648809E-3</v>
      </c>
    </row>
    <row r="8" spans="1:7" ht="15.6" x14ac:dyDescent="0.3">
      <c r="A8" s="3">
        <v>35</v>
      </c>
      <c r="B8" s="3">
        <v>60</v>
      </c>
      <c r="C8" s="20">
        <v>1</v>
      </c>
      <c r="D8" s="4">
        <f>SIN(Tabela135[[#This Row],[θi(°) ± 0.5]]*PI()/180)</f>
        <v>0.57357643635104605</v>
      </c>
      <c r="E8" s="4">
        <f>SIN(Tabela135[[#This Row],[θt(°)]]*PI()/180)</f>
        <v>0.8660254037844386</v>
      </c>
      <c r="F8" s="21">
        <f>$B$14*Tabela135[[#This Row],[sen(θi)]]+$C$14</f>
        <v>0.86137248425749058</v>
      </c>
      <c r="G8" s="21">
        <f>Tabela135[[#This Row],[sen(θt)]]-Tabela135[[#This Row],[Ajuste sen(θt)]]</f>
        <v>4.6529195269480184E-3</v>
      </c>
    </row>
    <row r="9" spans="1:7" ht="15.6" x14ac:dyDescent="0.3">
      <c r="A9" s="3">
        <v>40</v>
      </c>
      <c r="B9" s="3">
        <v>73</v>
      </c>
      <c r="C9" s="20">
        <v>1</v>
      </c>
      <c r="D9" s="4">
        <f>SIN(Tabela135[[#This Row],[θi(°) ± 0.5]]*PI()/180)</f>
        <v>0.64278760968653925</v>
      </c>
      <c r="E9" s="4">
        <f>SIN(Tabela135[[#This Row],[θt(°)]]*PI()/180)</f>
        <v>0.95630475596303544</v>
      </c>
      <c r="F9" s="21">
        <f>$B$14*Tabela135[[#This Row],[sen(θi)]]+$C$14</f>
        <v>0.96417124805662069</v>
      </c>
      <c r="G9" s="21">
        <f>Tabela135[[#This Row],[sen(θt)]]-Tabela135[[#This Row],[Ajuste sen(θt)]]</f>
        <v>-7.8664920935852534E-3</v>
      </c>
    </row>
    <row r="10" spans="1:7" ht="15.6" x14ac:dyDescent="0.3">
      <c r="A10" s="2"/>
      <c r="B10" s="3"/>
      <c r="C10" s="2"/>
      <c r="D10" s="2"/>
    </row>
    <row r="11" spans="1:7" ht="15.6" x14ac:dyDescent="0.3">
      <c r="A11" s="8" t="s">
        <v>15</v>
      </c>
      <c r="B11" s="15">
        <v>0.5</v>
      </c>
    </row>
    <row r="12" spans="1:7" ht="15" thickBot="1" x14ac:dyDescent="0.35"/>
    <row r="13" spans="1:7" ht="16.2" thickBot="1" x14ac:dyDescent="0.35">
      <c r="A13" s="25" t="s">
        <v>0</v>
      </c>
      <c r="B13" s="26"/>
      <c r="C13" s="26"/>
      <c r="D13" s="27"/>
    </row>
    <row r="14" spans="1:7" ht="15.6" x14ac:dyDescent="0.3">
      <c r="A14" s="5" t="s">
        <v>1</v>
      </c>
      <c r="B14" s="10">
        <f t="array" ref="B14:C16">LINEST(E2:E9,D2:D9,1,1)</f>
        <v>1.4852914471024066</v>
      </c>
      <c r="C14" s="10">
        <v>9.4443090858039591E-3</v>
      </c>
      <c r="D14" s="6" t="s">
        <v>2</v>
      </c>
    </row>
    <row r="15" spans="1:7" ht="18" x14ac:dyDescent="0.3">
      <c r="A15" s="7" t="s">
        <v>5</v>
      </c>
      <c r="B15" s="11">
        <v>1.1557822004962843E-2</v>
      </c>
      <c r="C15" s="11">
        <v>4.8219929520028609E-3</v>
      </c>
      <c r="D15" s="8" t="s">
        <v>6</v>
      </c>
    </row>
    <row r="16" spans="1:7" ht="18" x14ac:dyDescent="0.3">
      <c r="A16" s="7" t="s">
        <v>7</v>
      </c>
      <c r="B16" s="11">
        <v>0.99963681982137287</v>
      </c>
      <c r="C16" s="11">
        <v>5.9723619387894679E-3</v>
      </c>
      <c r="D16" s="8" t="s">
        <v>8</v>
      </c>
    </row>
    <row r="17" spans="1:4" ht="15.6" x14ac:dyDescent="0.3">
      <c r="C17" s="2"/>
      <c r="D17" s="2"/>
    </row>
    <row r="18" spans="1:4" ht="18" x14ac:dyDescent="0.3">
      <c r="A18" s="8" t="s">
        <v>10</v>
      </c>
      <c r="B18" s="11">
        <v>1</v>
      </c>
      <c r="C18" s="2"/>
      <c r="D18" s="2"/>
    </row>
    <row r="19" spans="1:4" ht="15.6" x14ac:dyDescent="0.3">
      <c r="D19" s="2"/>
    </row>
    <row r="20" spans="1:4" ht="18" x14ac:dyDescent="0.3">
      <c r="A20" s="12" t="s">
        <v>14</v>
      </c>
      <c r="B20" s="16">
        <f>B14*B18</f>
        <v>1.4852914471024066</v>
      </c>
      <c r="C20" s="2"/>
      <c r="D20" s="2"/>
    </row>
    <row r="23" spans="1:4" x14ac:dyDescent="0.3">
      <c r="B23">
        <f>ABS(B20-1.49)/1.49*100</f>
        <v>0.31601026158345108</v>
      </c>
    </row>
  </sheetData>
  <mergeCells count="1">
    <mergeCell ref="A13:D13"/>
  </mergeCells>
  <phoneticPr fontId="10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M1 - white</vt:lpstr>
      <vt:lpstr>M2 - white</vt:lpstr>
      <vt:lpstr>M1 - blue</vt:lpstr>
      <vt:lpstr>M2 - blue</vt:lpstr>
      <vt:lpstr>M1 - red</vt:lpstr>
      <vt:lpstr>M2 - 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Gomes</dc:creator>
  <cp:lastModifiedBy>Salomé Gomes</cp:lastModifiedBy>
  <dcterms:created xsi:type="dcterms:W3CDTF">2022-03-23T23:21:36Z</dcterms:created>
  <dcterms:modified xsi:type="dcterms:W3CDTF">2022-03-31T21:06:50Z</dcterms:modified>
</cp:coreProperties>
</file>