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271107c381e32d/Ambiente de Trabalho/"/>
    </mc:Choice>
  </mc:AlternateContent>
  <xr:revisionPtr revIDLastSave="1912" documentId="8_{90A036A6-4B5A-4723-B91A-78424ECADE59}" xr6:coauthVersionLast="47" xr6:coauthVersionMax="47" xr10:uidLastSave="{C7142F92-5998-4FBC-8501-CA7D98643B9B}"/>
  <bookViews>
    <workbookView xWindow="4380" yWindow="384" windowWidth="13536" windowHeight="10896" activeTab="1" xr2:uid="{25760A1E-31F5-43DA-B3E4-42D3F88F85FC}"/>
  </bookViews>
  <sheets>
    <sheet name="Díodo retificador" sheetId="10" r:id="rId1"/>
    <sheet name="Díodo Zener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4" i="11" l="1"/>
  <c r="AB5" i="11"/>
  <c r="AB6" i="11"/>
  <c r="AB7" i="11"/>
  <c r="AB8" i="11"/>
  <c r="AB9" i="11"/>
  <c r="AB10" i="11"/>
  <c r="AB11" i="11"/>
  <c r="AB12" i="11"/>
  <c r="AB13" i="11"/>
  <c r="AB14" i="11"/>
  <c r="AB15" i="11"/>
  <c r="AB16" i="11"/>
  <c r="AB17" i="11"/>
  <c r="AB18" i="11"/>
  <c r="AB19" i="11"/>
  <c r="AB20" i="11"/>
  <c r="AB21" i="11"/>
  <c r="AB22" i="11"/>
  <c r="AB23" i="11"/>
  <c r="AB24" i="11"/>
  <c r="AB25" i="11"/>
  <c r="AB26" i="11"/>
  <c r="AB27" i="11"/>
  <c r="AB28" i="11"/>
  <c r="AB29" i="11"/>
  <c r="AB32" i="11"/>
  <c r="AB33" i="11"/>
  <c r="AB34" i="11"/>
  <c r="AB35" i="11"/>
  <c r="AB36" i="11"/>
  <c r="AB37" i="11"/>
  <c r="AB38" i="11"/>
  <c r="AB39" i="11"/>
  <c r="AB40" i="11"/>
  <c r="AB41" i="11"/>
  <c r="AB42" i="11"/>
  <c r="AB43" i="11"/>
  <c r="AB44" i="11"/>
  <c r="AB45" i="11"/>
  <c r="AA4" i="11"/>
  <c r="AA5" i="11"/>
  <c r="AA6" i="11"/>
  <c r="AA7" i="11"/>
  <c r="AA8" i="11"/>
  <c r="AA9" i="11"/>
  <c r="AA10" i="11"/>
  <c r="AA11" i="11"/>
  <c r="AA12" i="11"/>
  <c r="AA13" i="11"/>
  <c r="AA14" i="11"/>
  <c r="AA15" i="11"/>
  <c r="AA16" i="11"/>
  <c r="AA17" i="11"/>
  <c r="AA18" i="11"/>
  <c r="AA19" i="11"/>
  <c r="AA20" i="11"/>
  <c r="AA21" i="11"/>
  <c r="AA22" i="11"/>
  <c r="AA23" i="11"/>
  <c r="AA24" i="11"/>
  <c r="AA25" i="11"/>
  <c r="AA26" i="11"/>
  <c r="AA27" i="11"/>
  <c r="AA28" i="11"/>
  <c r="AA29" i="11"/>
  <c r="AA30" i="11"/>
  <c r="AA31" i="11"/>
  <c r="AA32" i="11"/>
  <c r="AA33" i="11"/>
  <c r="AA34" i="11"/>
  <c r="AA35" i="11"/>
  <c r="AA36" i="11"/>
  <c r="AA37" i="11"/>
  <c r="AA38" i="11"/>
  <c r="AA39" i="11"/>
  <c r="AA40" i="11"/>
  <c r="AA41" i="11"/>
  <c r="AA42" i="11"/>
  <c r="AA43" i="11"/>
  <c r="AA44" i="11"/>
  <c r="AA45" i="11"/>
  <c r="AE29" i="10"/>
  <c r="AE28" i="10"/>
  <c r="AE27" i="10"/>
  <c r="AE26" i="10"/>
  <c r="AE25" i="10"/>
  <c r="AE24" i="10"/>
  <c r="AE23" i="10"/>
  <c r="AE22" i="10"/>
  <c r="AE21" i="10"/>
  <c r="AE20" i="10"/>
  <c r="AE19" i="10"/>
  <c r="AE18" i="10"/>
  <c r="AE17" i="10"/>
  <c r="AE16" i="10"/>
  <c r="AE15" i="10"/>
  <c r="AE14" i="10"/>
  <c r="AE13" i="10"/>
  <c r="AE12" i="10"/>
  <c r="AE11" i="10"/>
  <c r="AE10" i="10"/>
  <c r="AE9" i="10"/>
  <c r="AE8" i="10"/>
  <c r="AE7" i="10"/>
  <c r="AE6" i="10"/>
  <c r="AE5" i="10"/>
  <c r="AE4" i="10"/>
  <c r="AD4" i="10"/>
  <c r="AD5" i="10"/>
  <c r="AD6" i="10"/>
  <c r="AD7" i="10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7" i="10"/>
  <c r="AD28" i="10"/>
  <c r="AD29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L17" i="10"/>
  <c r="L25" i="10"/>
  <c r="L33" i="10"/>
  <c r="AB4" i="10"/>
  <c r="AB5" i="10"/>
  <c r="AB6" i="10"/>
  <c r="AB7" i="10"/>
  <c r="AB8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B45" i="10"/>
  <c r="B48" i="11"/>
  <c r="Y4" i="11"/>
  <c r="Y5" i="11"/>
  <c r="Y6" i="11"/>
  <c r="Y7" i="11"/>
  <c r="Y8" i="11"/>
  <c r="Y9" i="11"/>
  <c r="Y10" i="11"/>
  <c r="Y11" i="11"/>
  <c r="Y12" i="11"/>
  <c r="Y13" i="11"/>
  <c r="Y14" i="11"/>
  <c r="Y15" i="11"/>
  <c r="Y16" i="11"/>
  <c r="Y17" i="11"/>
  <c r="Y18" i="11"/>
  <c r="Y19" i="11"/>
  <c r="Y20" i="11"/>
  <c r="Y21" i="11"/>
  <c r="Y22" i="11"/>
  <c r="Y23" i="11"/>
  <c r="Y24" i="11"/>
  <c r="Y25" i="11"/>
  <c r="Y26" i="11"/>
  <c r="Y27" i="11"/>
  <c r="Y28" i="11"/>
  <c r="Y29" i="11"/>
  <c r="Y30" i="11"/>
  <c r="Y31" i="11"/>
  <c r="Y32" i="11"/>
  <c r="Y33" i="11"/>
  <c r="Y34" i="11"/>
  <c r="Y35" i="11"/>
  <c r="Y36" i="11"/>
  <c r="Y37" i="11"/>
  <c r="Y38" i="11"/>
  <c r="Y39" i="11"/>
  <c r="Y40" i="11"/>
  <c r="Y41" i="11"/>
  <c r="Y42" i="11"/>
  <c r="Y43" i="11"/>
  <c r="Y44" i="11"/>
  <c r="Y45" i="11"/>
  <c r="B14" i="11"/>
  <c r="D14" i="11" s="1"/>
  <c r="B4" i="10"/>
  <c r="D4" i="10" s="1"/>
  <c r="B5" i="10"/>
  <c r="D5" i="10" s="1"/>
  <c r="B6" i="10"/>
  <c r="D6" i="10" s="1"/>
  <c r="B7" i="10"/>
  <c r="D7" i="10" s="1"/>
  <c r="B8" i="10"/>
  <c r="D8" i="10" s="1"/>
  <c r="B9" i="10"/>
  <c r="D9" i="10" s="1"/>
  <c r="B10" i="10"/>
  <c r="D10" i="10" s="1"/>
  <c r="B11" i="10"/>
  <c r="D11" i="10" s="1"/>
  <c r="B12" i="10"/>
  <c r="E12" i="10" s="1"/>
  <c r="B13" i="10"/>
  <c r="D13" i="10" s="1"/>
  <c r="B14" i="10"/>
  <c r="D14" i="10" s="1"/>
  <c r="B15" i="10"/>
  <c r="D15" i="10" s="1"/>
  <c r="B16" i="10"/>
  <c r="D16" i="10" s="1"/>
  <c r="B17" i="10"/>
  <c r="D17" i="10" s="1"/>
  <c r="B18" i="10"/>
  <c r="D18" i="10" s="1"/>
  <c r="B19" i="10"/>
  <c r="D19" i="10" s="1"/>
  <c r="B20" i="10"/>
  <c r="D20" i="10" s="1"/>
  <c r="B21" i="10"/>
  <c r="D21" i="10" s="1"/>
  <c r="B22" i="10"/>
  <c r="D22" i="10" s="1"/>
  <c r="B23" i="10"/>
  <c r="D23" i="10" s="1"/>
  <c r="B24" i="10"/>
  <c r="D24" i="10" s="1"/>
  <c r="B25" i="10"/>
  <c r="D25" i="10" s="1"/>
  <c r="B26" i="10"/>
  <c r="D26" i="10" s="1"/>
  <c r="B27" i="10"/>
  <c r="D27" i="10" s="1"/>
  <c r="B28" i="10"/>
  <c r="D28" i="10" s="1"/>
  <c r="B29" i="10"/>
  <c r="D29" i="10" s="1"/>
  <c r="B30" i="10"/>
  <c r="D30" i="10" s="1"/>
  <c r="B31" i="10"/>
  <c r="D31" i="10" s="1"/>
  <c r="B32" i="10"/>
  <c r="D32" i="10" s="1"/>
  <c r="B33" i="10"/>
  <c r="D33" i="10" s="1"/>
  <c r="B34" i="10"/>
  <c r="D34" i="10" s="1"/>
  <c r="B35" i="10"/>
  <c r="D35" i="10" s="1"/>
  <c r="B36" i="10"/>
  <c r="D36" i="10" s="1"/>
  <c r="B37" i="10"/>
  <c r="D37" i="10" s="1"/>
  <c r="B38" i="10"/>
  <c r="D38" i="10" s="1"/>
  <c r="B39" i="10"/>
  <c r="D39" i="10" s="1"/>
  <c r="B40" i="10"/>
  <c r="D40" i="10" s="1"/>
  <c r="B41" i="10"/>
  <c r="D41" i="10" s="1"/>
  <c r="B42" i="10"/>
  <c r="D42" i="10" s="1"/>
  <c r="B4" i="11"/>
  <c r="D4" i="11" s="1"/>
  <c r="B5" i="11"/>
  <c r="D5" i="11" s="1"/>
  <c r="B6" i="11"/>
  <c r="D6" i="11" s="1"/>
  <c r="B7" i="11"/>
  <c r="D7" i="11" s="1"/>
  <c r="B8" i="11"/>
  <c r="D8" i="11" s="1"/>
  <c r="B9" i="11"/>
  <c r="D9" i="11" s="1"/>
  <c r="B10" i="11"/>
  <c r="D10" i="11" s="1"/>
  <c r="B11" i="11"/>
  <c r="D11" i="11" s="1"/>
  <c r="B12" i="11"/>
  <c r="D12" i="11" s="1"/>
  <c r="B13" i="11"/>
  <c r="D13" i="11" s="1"/>
  <c r="B15" i="11"/>
  <c r="D15" i="11" s="1"/>
  <c r="B16" i="11"/>
  <c r="E16" i="11" s="1"/>
  <c r="B17" i="11"/>
  <c r="D17" i="11" s="1"/>
  <c r="B18" i="11"/>
  <c r="E18" i="11" s="1"/>
  <c r="B19" i="11"/>
  <c r="E19" i="11" s="1"/>
  <c r="B20" i="11"/>
  <c r="E20" i="11" s="1"/>
  <c r="B21" i="11"/>
  <c r="D21" i="11" s="1"/>
  <c r="B22" i="11"/>
  <c r="D22" i="11" s="1"/>
  <c r="B23" i="11"/>
  <c r="E23" i="11" s="1"/>
  <c r="B24" i="11"/>
  <c r="E24" i="11" s="1"/>
  <c r="B25" i="11"/>
  <c r="D25" i="11" s="1"/>
  <c r="B26" i="11"/>
  <c r="E26" i="11" s="1"/>
  <c r="B27" i="11"/>
  <c r="E27" i="11" s="1"/>
  <c r="B28" i="11"/>
  <c r="D28" i="11" s="1"/>
  <c r="B29" i="11"/>
  <c r="D29" i="11" s="1"/>
  <c r="B30" i="11"/>
  <c r="D30" i="11" s="1"/>
  <c r="B31" i="11"/>
  <c r="E31" i="11" s="1"/>
  <c r="B32" i="11"/>
  <c r="E32" i="11" s="1"/>
  <c r="B33" i="11"/>
  <c r="D33" i="11" s="1"/>
  <c r="B34" i="11"/>
  <c r="E34" i="11" s="1"/>
  <c r="B35" i="11"/>
  <c r="E35" i="11" s="1"/>
  <c r="B36" i="11"/>
  <c r="D36" i="11" s="1"/>
  <c r="B37" i="11"/>
  <c r="D37" i="11" s="1"/>
  <c r="B38" i="11"/>
  <c r="D38" i="11" s="1"/>
  <c r="B39" i="11"/>
  <c r="D39" i="11" s="1"/>
  <c r="B40" i="11"/>
  <c r="E40" i="11" s="1"/>
  <c r="B41" i="11"/>
  <c r="D41" i="11" s="1"/>
  <c r="B42" i="11"/>
  <c r="E42" i="11" s="1"/>
  <c r="B43" i="11"/>
  <c r="E43" i="11" s="1"/>
  <c r="B44" i="11"/>
  <c r="D44" i="11" s="1"/>
  <c r="B45" i="11"/>
  <c r="D45" i="11" s="1"/>
  <c r="M35" i="11" l="1"/>
  <c r="M32" i="11"/>
  <c r="M27" i="11"/>
  <c r="M24" i="11"/>
  <c r="M19" i="11"/>
  <c r="M16" i="11"/>
  <c r="M43" i="11"/>
  <c r="M11" i="11"/>
  <c r="M40" i="11"/>
  <c r="M8" i="11"/>
  <c r="M42" i="11"/>
  <c r="M34" i="11"/>
  <c r="M26" i="11"/>
  <c r="M18" i="11"/>
  <c r="M10" i="11"/>
  <c r="M41" i="11"/>
  <c r="M33" i="11"/>
  <c r="M25" i="11"/>
  <c r="M17" i="11"/>
  <c r="M9" i="11"/>
  <c r="M39" i="11"/>
  <c r="M23" i="11"/>
  <c r="M7" i="11"/>
  <c r="M38" i="11"/>
  <c r="M30" i="11"/>
  <c r="M22" i="11"/>
  <c r="M14" i="11"/>
  <c r="M6" i="11"/>
  <c r="M31" i="11"/>
  <c r="M15" i="11"/>
  <c r="M45" i="11"/>
  <c r="M37" i="11"/>
  <c r="M29" i="11"/>
  <c r="M21" i="11"/>
  <c r="M13" i="11"/>
  <c r="M5" i="11"/>
  <c r="M44" i="11"/>
  <c r="M36" i="11"/>
  <c r="M28" i="11"/>
  <c r="M20" i="11"/>
  <c r="M12" i="11"/>
  <c r="M4" i="11"/>
  <c r="AI30" i="11"/>
  <c r="L35" i="11"/>
  <c r="L34" i="11"/>
  <c r="AI31" i="11"/>
  <c r="L41" i="10"/>
  <c r="L10" i="10"/>
  <c r="L9" i="10"/>
  <c r="L40" i="10"/>
  <c r="L24" i="10"/>
  <c r="L8" i="10"/>
  <c r="L39" i="10"/>
  <c r="L23" i="10"/>
  <c r="L7" i="10"/>
  <c r="L38" i="10"/>
  <c r="L22" i="10"/>
  <c r="L6" i="10"/>
  <c r="L28" i="10"/>
  <c r="L12" i="10"/>
  <c r="L4" i="10"/>
  <c r="L35" i="10"/>
  <c r="L27" i="10"/>
  <c r="L19" i="10"/>
  <c r="L11" i="10"/>
  <c r="L32" i="10"/>
  <c r="L16" i="10"/>
  <c r="L31" i="10"/>
  <c r="L15" i="10"/>
  <c r="L30" i="10"/>
  <c r="L14" i="10"/>
  <c r="L37" i="10"/>
  <c r="L29" i="10"/>
  <c r="L21" i="10"/>
  <c r="L13" i="10"/>
  <c r="L5" i="10"/>
  <c r="L36" i="10"/>
  <c r="L20" i="10"/>
  <c r="L42" i="10"/>
  <c r="L34" i="10"/>
  <c r="L26" i="10"/>
  <c r="L18" i="10"/>
  <c r="AJ23" i="10"/>
  <c r="AJ22" i="10"/>
  <c r="L27" i="11"/>
  <c r="L26" i="11"/>
  <c r="L19" i="11"/>
  <c r="L18" i="11"/>
  <c r="L43" i="11"/>
  <c r="L11" i="11"/>
  <c r="L42" i="11"/>
  <c r="L10" i="11"/>
  <c r="L41" i="11"/>
  <c r="L33" i="11"/>
  <c r="L25" i="11"/>
  <c r="L17" i="11"/>
  <c r="L9" i="11"/>
  <c r="L40" i="11"/>
  <c r="L32" i="11"/>
  <c r="L24" i="11"/>
  <c r="L16" i="11"/>
  <c r="L8" i="11"/>
  <c r="L39" i="11"/>
  <c r="L31" i="11"/>
  <c r="L23" i="11"/>
  <c r="L15" i="11"/>
  <c r="L7" i="11"/>
  <c r="L38" i="11"/>
  <c r="L30" i="11"/>
  <c r="L22" i="11"/>
  <c r="L14" i="11"/>
  <c r="L6" i="11"/>
  <c r="L45" i="11"/>
  <c r="L37" i="11"/>
  <c r="L29" i="11"/>
  <c r="L21" i="11"/>
  <c r="L13" i="11"/>
  <c r="L5" i="11"/>
  <c r="L44" i="11"/>
  <c r="L36" i="11"/>
  <c r="L28" i="11"/>
  <c r="L20" i="11"/>
  <c r="L12" i="11"/>
  <c r="L4" i="11"/>
  <c r="E13" i="11"/>
  <c r="E5" i="11"/>
  <c r="E11" i="11"/>
  <c r="E45" i="11"/>
  <c r="E29" i="11"/>
  <c r="E21" i="11"/>
  <c r="E36" i="11"/>
  <c r="E4" i="11"/>
  <c r="E33" i="11"/>
  <c r="E39" i="11"/>
  <c r="E15" i="11"/>
  <c r="E7" i="11"/>
  <c r="E37" i="11"/>
  <c r="E44" i="11"/>
  <c r="E28" i="11"/>
  <c r="E12" i="11"/>
  <c r="E10" i="11"/>
  <c r="E41" i="11"/>
  <c r="E25" i="11"/>
  <c r="E17" i="11"/>
  <c r="E9" i="11"/>
  <c r="E8" i="11"/>
  <c r="E38" i="11"/>
  <c r="E30" i="11"/>
  <c r="E22" i="11"/>
  <c r="E14" i="11"/>
  <c r="E6" i="11"/>
  <c r="E18" i="10"/>
  <c r="E5" i="10"/>
  <c r="E4" i="10"/>
  <c r="D12" i="10"/>
  <c r="W35" i="10" s="1" a="1"/>
  <c r="W35" i="10" s="1"/>
  <c r="E17" i="10"/>
  <c r="E13" i="10"/>
  <c r="E10" i="10"/>
  <c r="E8" i="10"/>
  <c r="E35" i="10"/>
  <c r="E40" i="10"/>
  <c r="E32" i="10"/>
  <c r="E24" i="10"/>
  <c r="E15" i="10"/>
  <c r="E6" i="10"/>
  <c r="E39" i="10"/>
  <c r="E31" i="10"/>
  <c r="E23" i="10"/>
  <c r="E14" i="10"/>
  <c r="E30" i="10"/>
  <c r="E37" i="10"/>
  <c r="E29" i="10"/>
  <c r="E21" i="10"/>
  <c r="E38" i="10"/>
  <c r="E22" i="10"/>
  <c r="E36" i="10"/>
  <c r="E28" i="10"/>
  <c r="E19" i="10"/>
  <c r="E11" i="10"/>
  <c r="E42" i="10"/>
  <c r="E34" i="10"/>
  <c r="E26" i="10"/>
  <c r="E27" i="10"/>
  <c r="E41" i="10"/>
  <c r="E33" i="10"/>
  <c r="E25" i="10"/>
  <c r="E16" i="10"/>
  <c r="E7" i="10"/>
  <c r="E9" i="10"/>
  <c r="E20" i="10"/>
  <c r="D43" i="11"/>
  <c r="D35" i="11"/>
  <c r="D27" i="11"/>
  <c r="D19" i="11"/>
  <c r="D42" i="11"/>
  <c r="D34" i="11"/>
  <c r="D26" i="11"/>
  <c r="D18" i="11"/>
  <c r="D20" i="11"/>
  <c r="D40" i="11"/>
  <c r="D32" i="11"/>
  <c r="D24" i="11"/>
  <c r="D16" i="11"/>
  <c r="D31" i="11"/>
  <c r="D23" i="11"/>
  <c r="I49" i="11" l="1" a="1"/>
  <c r="E52" i="11" s="1"/>
  <c r="I46" i="10" a="1"/>
  <c r="E49" i="10" s="1"/>
  <c r="F7" i="10"/>
  <c r="G7" i="10" s="1"/>
  <c r="F15" i="10"/>
  <c r="G15" i="10" s="1"/>
  <c r="F23" i="10"/>
  <c r="G23" i="10" s="1"/>
  <c r="F31" i="10"/>
  <c r="G31" i="10" s="1"/>
  <c r="F39" i="10"/>
  <c r="G39" i="10" s="1"/>
  <c r="F9" i="10"/>
  <c r="G9" i="10" s="1"/>
  <c r="F17" i="10"/>
  <c r="G17" i="10" s="1"/>
  <c r="F33" i="10"/>
  <c r="G33" i="10" s="1"/>
  <c r="F8" i="10"/>
  <c r="G8" i="10" s="1"/>
  <c r="F16" i="10"/>
  <c r="G16" i="10" s="1"/>
  <c r="F24" i="10"/>
  <c r="G24" i="10" s="1"/>
  <c r="F32" i="10"/>
  <c r="G32" i="10" s="1"/>
  <c r="F40" i="10"/>
  <c r="G40" i="10" s="1"/>
  <c r="F25" i="10"/>
  <c r="G25" i="10" s="1"/>
  <c r="F41" i="10"/>
  <c r="G41" i="10" s="1"/>
  <c r="F10" i="10"/>
  <c r="G10" i="10" s="1"/>
  <c r="F18" i="10"/>
  <c r="G18" i="10" s="1"/>
  <c r="F26" i="10"/>
  <c r="G26" i="10" s="1"/>
  <c r="F34" i="10"/>
  <c r="G34" i="10" s="1"/>
  <c r="F42" i="10"/>
  <c r="G42" i="10" s="1"/>
  <c r="F12" i="10"/>
  <c r="G12" i="10" s="1"/>
  <c r="F28" i="10"/>
  <c r="G28" i="10" s="1"/>
  <c r="F11" i="10"/>
  <c r="G11" i="10" s="1"/>
  <c r="F19" i="10"/>
  <c r="G19" i="10" s="1"/>
  <c r="F27" i="10"/>
  <c r="G27" i="10" s="1"/>
  <c r="F35" i="10"/>
  <c r="G35" i="10" s="1"/>
  <c r="F4" i="10"/>
  <c r="G4" i="10" s="1"/>
  <c r="F20" i="10"/>
  <c r="G20" i="10" s="1"/>
  <c r="F36" i="10"/>
  <c r="G36" i="10" s="1"/>
  <c r="F5" i="10"/>
  <c r="G5" i="10" s="1"/>
  <c r="F13" i="10"/>
  <c r="G13" i="10" s="1"/>
  <c r="F21" i="10"/>
  <c r="G21" i="10" s="1"/>
  <c r="F29" i="10"/>
  <c r="G29" i="10" s="1"/>
  <c r="F37" i="10"/>
  <c r="G37" i="10" s="1"/>
  <c r="F6" i="10"/>
  <c r="G6" i="10" s="1"/>
  <c r="F14" i="10"/>
  <c r="G14" i="10" s="1"/>
  <c r="F22" i="10"/>
  <c r="G22" i="10" s="1"/>
  <c r="F30" i="10"/>
  <c r="G30" i="10" s="1"/>
  <c r="F38" i="10"/>
  <c r="G38" i="10" s="1"/>
  <c r="U36" i="11" a="1"/>
  <c r="U36" i="11" s="1"/>
  <c r="E51" i="11" l="1"/>
  <c r="I49" i="11"/>
  <c r="H7" i="11" s="1"/>
  <c r="I7" i="11" s="1"/>
  <c r="E48" i="10"/>
  <c r="I46" i="10"/>
  <c r="H9" i="10"/>
  <c r="I9" i="10" s="1"/>
  <c r="H4" i="10"/>
  <c r="I4" i="10" s="1"/>
  <c r="H10" i="10"/>
  <c r="I10" i="10" s="1"/>
  <c r="E46" i="10"/>
  <c r="E45" i="10"/>
  <c r="H20" i="11"/>
  <c r="I20" i="11" s="1"/>
  <c r="H19" i="11"/>
  <c r="I19" i="11" s="1"/>
  <c r="H4" i="11"/>
  <c r="I4" i="11" s="1"/>
  <c r="H9" i="11"/>
  <c r="I9" i="11" s="1"/>
  <c r="F30" i="11"/>
  <c r="G30" i="11" s="1"/>
  <c r="F34" i="11"/>
  <c r="G34" i="11" s="1"/>
  <c r="F38" i="11"/>
  <c r="G38" i="11" s="1"/>
  <c r="F42" i="11"/>
  <c r="G42" i="11" s="1"/>
  <c r="F31" i="11"/>
  <c r="G31" i="11" s="1"/>
  <c r="F35" i="11"/>
  <c r="G35" i="11" s="1"/>
  <c r="F39" i="11"/>
  <c r="G39" i="11" s="1"/>
  <c r="F43" i="11"/>
  <c r="G43" i="11" s="1"/>
  <c r="F32" i="11"/>
  <c r="G32" i="11" s="1"/>
  <c r="F36" i="11"/>
  <c r="G36" i="11" s="1"/>
  <c r="F40" i="11"/>
  <c r="G40" i="11" s="1"/>
  <c r="F44" i="11"/>
  <c r="G44" i="11" s="1"/>
  <c r="F33" i="11"/>
  <c r="G33" i="11" s="1"/>
  <c r="F37" i="11"/>
  <c r="G37" i="11" s="1"/>
  <c r="F41" i="11"/>
  <c r="G41" i="11" s="1"/>
  <c r="F45" i="11"/>
  <c r="G45" i="11" s="1"/>
  <c r="F12" i="11"/>
  <c r="G12" i="11" s="1"/>
  <c r="F13" i="11"/>
  <c r="G13" i="11" s="1"/>
  <c r="F14" i="11"/>
  <c r="G14" i="11" s="1"/>
  <c r="F21" i="11"/>
  <c r="G21" i="11" s="1"/>
  <c r="F24" i="11"/>
  <c r="G24" i="11" s="1"/>
  <c r="F4" i="11"/>
  <c r="G4" i="11" s="1"/>
  <c r="F29" i="11"/>
  <c r="G29" i="11" s="1"/>
  <c r="F16" i="11"/>
  <c r="G16" i="11" s="1"/>
  <c r="F17" i="11"/>
  <c r="G17" i="11" s="1"/>
  <c r="F18" i="11"/>
  <c r="G18" i="11" s="1"/>
  <c r="F20" i="11"/>
  <c r="G20" i="11" s="1"/>
  <c r="F22" i="11"/>
  <c r="G22" i="11" s="1"/>
  <c r="F25" i="11"/>
  <c r="G25" i="11" s="1"/>
  <c r="F26" i="11"/>
  <c r="G26" i="11" s="1"/>
  <c r="F28" i="11"/>
  <c r="G28" i="11" s="1"/>
  <c r="F7" i="11"/>
  <c r="G7" i="11" s="1"/>
  <c r="F11" i="11"/>
  <c r="G11" i="11" s="1"/>
  <c r="F23" i="11"/>
  <c r="G23" i="11" s="1"/>
  <c r="F15" i="11"/>
  <c r="G15" i="11" s="1"/>
  <c r="F5" i="11"/>
  <c r="G5" i="11" s="1"/>
  <c r="F6" i="11"/>
  <c r="G6" i="11" s="1"/>
  <c r="F19" i="11"/>
  <c r="G19" i="11" s="1"/>
  <c r="F8" i="11"/>
  <c r="G8" i="11" s="1"/>
  <c r="F9" i="11"/>
  <c r="G9" i="11" s="1"/>
  <c r="F10" i="11"/>
  <c r="G10" i="11" s="1"/>
  <c r="F27" i="11"/>
  <c r="G27" i="11" s="1"/>
  <c r="H16" i="11" l="1"/>
  <c r="I16" i="11" s="1"/>
  <c r="H14" i="11"/>
  <c r="I14" i="11" s="1"/>
  <c r="H15" i="11"/>
  <c r="I15" i="11" s="1"/>
  <c r="H6" i="11"/>
  <c r="I6" i="11" s="1"/>
  <c r="H12" i="11"/>
  <c r="I12" i="11" s="1"/>
  <c r="H5" i="11"/>
  <c r="I5" i="11" s="1"/>
  <c r="J13" i="10"/>
  <c r="K13" i="10" s="1"/>
  <c r="H13" i="10"/>
  <c r="I13" i="10" s="1"/>
  <c r="H6" i="10"/>
  <c r="I6" i="10" s="1"/>
  <c r="H5" i="10"/>
  <c r="I5" i="10" s="1"/>
  <c r="H15" i="10"/>
  <c r="I15" i="10" s="1"/>
  <c r="H8" i="10"/>
  <c r="I8" i="10" s="1"/>
  <c r="H7" i="10"/>
  <c r="I7" i="10" s="1"/>
  <c r="H12" i="10"/>
  <c r="I12" i="10" s="1"/>
  <c r="H14" i="10"/>
  <c r="I14" i="10" s="1"/>
  <c r="H11" i="10"/>
  <c r="I11" i="10" s="1"/>
  <c r="J39" i="10"/>
  <c r="J41" i="10"/>
  <c r="J31" i="10"/>
  <c r="J9" i="10"/>
  <c r="K9" i="10" s="1"/>
  <c r="J23" i="10"/>
  <c r="J19" i="10"/>
  <c r="J26" i="10"/>
  <c r="J15" i="10"/>
  <c r="K15" i="10" s="1"/>
  <c r="J36" i="10"/>
  <c r="J40" i="10"/>
  <c r="J30" i="10"/>
  <c r="J28" i="10"/>
  <c r="J18" i="10"/>
  <c r="J34" i="10"/>
  <c r="J6" i="10"/>
  <c r="K6" i="10" s="1"/>
  <c r="J10" i="10"/>
  <c r="K10" i="10" s="1"/>
  <c r="J37" i="10"/>
  <c r="J5" i="10"/>
  <c r="K5" i="10" s="1"/>
  <c r="J27" i="10"/>
  <c r="J32" i="10"/>
  <c r="J22" i="10"/>
  <c r="J20" i="10"/>
  <c r="J42" i="10"/>
  <c r="J24" i="10"/>
  <c r="J14" i="10"/>
  <c r="K14" i="10" s="1"/>
  <c r="J33" i="10"/>
  <c r="J16" i="10"/>
  <c r="J7" i="10"/>
  <c r="K7" i="10" s="1"/>
  <c r="J29" i="10"/>
  <c r="J12" i="10"/>
  <c r="K12" i="10" s="1"/>
  <c r="J25" i="10"/>
  <c r="J8" i="10"/>
  <c r="K8" i="10" s="1"/>
  <c r="J35" i="10"/>
  <c r="J21" i="10"/>
  <c r="J4" i="10"/>
  <c r="K4" i="10" s="1"/>
  <c r="J17" i="10"/>
  <c r="J11" i="10"/>
  <c r="K11" i="10" s="1"/>
  <c r="J38" i="10"/>
  <c r="H11" i="11"/>
  <c r="I11" i="11" s="1"/>
  <c r="E48" i="11"/>
  <c r="H17" i="11"/>
  <c r="I17" i="11" s="1"/>
  <c r="H18" i="11"/>
  <c r="I18" i="11" s="1"/>
  <c r="H13" i="11"/>
  <c r="I13" i="11" s="1"/>
  <c r="H8" i="11"/>
  <c r="I8" i="11" s="1"/>
  <c r="E49" i="11"/>
  <c r="H10" i="11"/>
  <c r="I10" i="11" s="1"/>
  <c r="J24" i="11" l="1"/>
  <c r="J42" i="11"/>
  <c r="J44" i="11"/>
  <c r="J23" i="11"/>
  <c r="J32" i="11"/>
  <c r="J4" i="11"/>
  <c r="K4" i="11" s="1"/>
  <c r="J21" i="11"/>
  <c r="J31" i="11"/>
  <c r="J33" i="11"/>
  <c r="J34" i="11"/>
  <c r="J40" i="11"/>
  <c r="J27" i="11"/>
  <c r="J29" i="11"/>
  <c r="J39" i="11"/>
  <c r="J43" i="11"/>
  <c r="J36" i="11"/>
  <c r="J25" i="11"/>
  <c r="J35" i="11"/>
  <c r="J37" i="11"/>
  <c r="J45" i="11"/>
  <c r="J41" i="11"/>
  <c r="J20" i="11"/>
  <c r="K20" i="11" s="1"/>
  <c r="J22" i="11"/>
  <c r="J26" i="11"/>
  <c r="J28" i="11"/>
  <c r="J30" i="11"/>
  <c r="J38" i="11"/>
  <c r="J10" i="11"/>
  <c r="K10" i="11" s="1"/>
  <c r="J11" i="11"/>
  <c r="K11" i="11" s="1"/>
  <c r="J16" i="11"/>
  <c r="K16" i="11" s="1"/>
  <c r="J17" i="11"/>
  <c r="K17" i="11" s="1"/>
  <c r="J18" i="11"/>
  <c r="K18" i="11" s="1"/>
  <c r="J19" i="11"/>
  <c r="K19" i="11" s="1"/>
  <c r="J6" i="11"/>
  <c r="K6" i="11" s="1"/>
  <c r="J5" i="11"/>
  <c r="K5" i="11" s="1"/>
  <c r="J7" i="11"/>
  <c r="K7" i="11" s="1"/>
  <c r="J14" i="11"/>
  <c r="K14" i="11" s="1"/>
  <c r="J13" i="11"/>
  <c r="K13" i="11" s="1"/>
  <c r="J9" i="11"/>
  <c r="K9" i="11" s="1"/>
  <c r="J12" i="11"/>
  <c r="K12" i="11" s="1"/>
  <c r="J15" i="11"/>
  <c r="K15" i="11" s="1"/>
  <c r="J8" i="11"/>
  <c r="K8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<sst xmlns="http://schemas.openxmlformats.org/spreadsheetml/2006/main" count="240" uniqueCount="47">
  <si>
    <t>Sentido direto - Montagem A</t>
  </si>
  <si>
    <t>Sentido inverso - Montagem B</t>
  </si>
  <si>
    <t>-</t>
  </si>
  <si>
    <t>m</t>
  </si>
  <si>
    <t>sm</t>
  </si>
  <si>
    <t>r2</t>
  </si>
  <si>
    <t>b</t>
  </si>
  <si>
    <t>sb</t>
  </si>
  <si>
    <t>sy</t>
  </si>
  <si>
    <t>Matriz de ajuste 1</t>
  </si>
  <si>
    <t>Matriz de ajuste 2</t>
  </si>
  <si>
    <t>T</t>
  </si>
  <si>
    <r>
      <t>K</t>
    </r>
    <r>
      <rPr>
        <vertAlign val="subscript"/>
        <sz val="11"/>
        <color theme="1"/>
        <rFont val="Calibri"/>
        <family val="2"/>
        <scheme val="minor"/>
      </rPr>
      <t>B</t>
    </r>
  </si>
  <si>
    <r>
      <t>ln(I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)</t>
    </r>
  </si>
  <si>
    <r>
      <t>I</t>
    </r>
    <r>
      <rPr>
        <b/>
        <vertAlign val="subscript"/>
        <sz val="11"/>
        <color theme="9" tint="-0.249977111117893"/>
        <rFont val="Calibri"/>
        <family val="2"/>
        <scheme val="minor"/>
      </rPr>
      <t>D</t>
    </r>
    <r>
      <rPr>
        <b/>
        <sz val="11"/>
        <color theme="9" tint="-0.249977111117893"/>
        <rFont val="Calibri"/>
        <family val="2"/>
        <scheme val="minor"/>
      </rPr>
      <t xml:space="preserve"> /A</t>
    </r>
  </si>
  <si>
    <r>
      <t>V</t>
    </r>
    <r>
      <rPr>
        <b/>
        <vertAlign val="subscript"/>
        <sz val="11"/>
        <color theme="9" tint="-0.249977111117893"/>
        <rFont val="Calibri"/>
        <family val="2"/>
        <scheme val="minor"/>
      </rPr>
      <t>D</t>
    </r>
    <r>
      <rPr>
        <b/>
        <sz val="11"/>
        <color theme="9" tint="-0.249977111117893"/>
        <rFont val="Calibri"/>
        <family val="2"/>
        <scheme val="minor"/>
      </rPr>
      <t xml:space="preserve"> /V</t>
    </r>
  </si>
  <si>
    <t>η</t>
  </si>
  <si>
    <t>u(η)</t>
  </si>
  <si>
    <r>
      <t>u(ln(I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))</t>
    </r>
  </si>
  <si>
    <r>
      <t>I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/mA </t>
    </r>
    <r>
      <rPr>
        <sz val="11"/>
        <color theme="1"/>
        <rFont val="Calibri"/>
        <family val="2"/>
      </rPr>
      <t>± 0.0001</t>
    </r>
    <r>
      <rPr>
        <sz val="11"/>
        <color theme="1"/>
        <rFont val="Calibri"/>
        <family val="2"/>
        <scheme val="minor"/>
      </rPr>
      <t xml:space="preserve"> mA</t>
    </r>
  </si>
  <si>
    <r>
      <t>I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/A ± 1E-7 A</t>
    </r>
  </si>
  <si>
    <r>
      <t>V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/V ± 0.00001 V</t>
    </r>
  </si>
  <si>
    <r>
      <t>I</t>
    </r>
    <r>
      <rPr>
        <vertAlign val="subscript"/>
        <sz val="11"/>
        <color theme="1"/>
        <rFont val="Calibri"/>
        <family val="2"/>
        <scheme val="minor"/>
      </rPr>
      <t>0</t>
    </r>
  </si>
  <si>
    <r>
      <t>u(I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</si>
  <si>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r>
      <t>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/A</t>
    </r>
  </si>
  <si>
    <r>
      <t>u(I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 /A</t>
    </r>
  </si>
  <si>
    <t>e</t>
  </si>
  <si>
    <r>
      <t>Ajuste de I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/A</t>
    </r>
  </si>
  <si>
    <r>
      <t>I</t>
    </r>
    <r>
      <rPr>
        <b/>
        <vertAlign val="subscript"/>
        <sz val="11"/>
        <color theme="9" tint="-0.249977111117893"/>
        <rFont val="Calibri"/>
        <family val="2"/>
        <scheme val="minor"/>
      </rPr>
      <t>D</t>
    </r>
    <r>
      <rPr>
        <b/>
        <sz val="11"/>
        <color theme="9" tint="-0.249977111117893"/>
        <rFont val="Calibri"/>
        <family val="2"/>
        <scheme val="minor"/>
      </rPr>
      <t xml:space="preserve"> /mA</t>
    </r>
  </si>
  <si>
    <r>
      <t>Ajuste 1 de ln(I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</si>
  <si>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r>
      <t>Resíduos 1 de ln(I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</si>
  <si>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r>
      <t>Ajuste 2 de ln(I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</si>
  <si>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r>
      <t>Resíduos 2 de ln(I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</si>
  <si>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r>
      <t>Resíduos de 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/A</t>
    </r>
  </si>
  <si>
    <r>
      <t>V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/V ± 1E-5 V</t>
    </r>
  </si>
  <si>
    <r>
      <t>I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/mA </t>
    </r>
    <r>
      <rPr>
        <sz val="11"/>
        <color theme="1"/>
        <rFont val="Calibri"/>
        <family val="2"/>
      </rPr>
      <t>± 1E-4</t>
    </r>
    <r>
      <rPr>
        <sz val="11"/>
        <color theme="1"/>
        <rFont val="Calibri"/>
        <family val="2"/>
        <scheme val="minor"/>
      </rPr>
      <t xml:space="preserve"> mA</t>
    </r>
  </si>
  <si>
    <r>
      <t>Resíduos de I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/A</t>
    </r>
  </si>
  <si>
    <r>
      <t>Resíduos 2 de ln(I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)</t>
    </r>
  </si>
  <si>
    <r>
      <t>Ajuste 2 de ln(I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)</t>
    </r>
  </si>
  <si>
    <r>
      <t>Resíduos 1 de ln(I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)</t>
    </r>
  </si>
  <si>
    <r>
      <t>Ajuste 1 de ln(I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)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</si>
  <si>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DC 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</rPr>
      <t>Ω</t>
    </r>
  </si>
  <si>
    <r>
      <t>R</t>
    </r>
    <r>
      <rPr>
        <vertAlign val="subscript"/>
        <sz val="11"/>
        <color theme="1"/>
        <rFont val="Calibri"/>
        <family val="2"/>
        <scheme val="minor"/>
      </rPr>
      <t>DC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</rPr>
      <t>Ω</t>
    </r>
  </si>
  <si>
    <r>
      <t>R</t>
    </r>
    <r>
      <rPr>
        <vertAlign val="subscript"/>
        <sz val="11"/>
        <color theme="1"/>
        <rFont val="Calibri"/>
        <family val="2"/>
        <scheme val="minor"/>
      </rPr>
      <t>AC</t>
    </r>
    <r>
      <rPr>
        <sz val="11"/>
        <color theme="1"/>
        <rFont val="Calibri"/>
        <family val="2"/>
        <scheme val="minor"/>
      </rPr>
      <t xml:space="preserve"> /Ω</t>
    </r>
  </si>
  <si>
    <t>Rdc</t>
  </si>
  <si>
    <t>RAC</t>
  </si>
  <si>
    <t>RDC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</si>
</sst>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00"/>
    <numFmt numFmtId="165" formatCode="0.0000"/>
    <numFmt numFmtId="166" formatCode="0.000"/>
    <numFmt numFmtId="168" formatCode="0.000E+00"/>
    <numFmt numFmtId="169" formatCode="0.0E+00"/>
    <numFmt numFmtId="170" formatCode="0.0000000"/>
    <numFmt numFmtId="171" formatCode="0E+00"/>
    <numFmt numFmtId="174" formatCode="0.0000E+00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9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8EE"/>
        <bgColor indexed="64"/>
      </patternFill>
    </fill>
    <fill>
      <patternFill patternType="solid">
        <fgColor theme="5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5" fillId="3" borderId="0" xfId="0" applyFont="1" applyFill="1"/>
    <xf numFmtId="0" fontId="5" fillId="0" borderId="0" xfId="0" applyFont="1"/>
    <xf numFmtId="0" fontId="0" fillId="0" borderId="0" xfId="0" applyAlignment="1">
      <alignment horizontal="center"/>
    </xf>
    <xf numFmtId="11" fontId="0" fillId="0" borderId="0" xfId="0" applyNumberFormat="1"/>
    <xf numFmtId="168" fontId="0" fillId="0" borderId="0" xfId="0" applyNumberFormat="1"/>
    <xf numFmtId="0" fontId="4" fillId="0" borderId="7" xfId="0" applyFont="1" applyBorder="1"/>
    <xf numFmtId="166" fontId="5" fillId="3" borderId="0" xfId="0" applyNumberFormat="1" applyFont="1" applyFill="1"/>
    <xf numFmtId="166" fontId="5" fillId="0" borderId="0" xfId="0" applyNumberFormat="1" applyFont="1"/>
    <xf numFmtId="170" fontId="0" fillId="0" borderId="0" xfId="0" applyNumberFormat="1"/>
    <xf numFmtId="169" fontId="0" fillId="0" borderId="0" xfId="0" applyNumberFormat="1"/>
    <xf numFmtId="171" fontId="0" fillId="0" borderId="0" xfId="0" applyNumberFormat="1"/>
    <xf numFmtId="0" fontId="0" fillId="5" borderId="19" xfId="0" applyFill="1" applyBorder="1"/>
    <xf numFmtId="0" fontId="0" fillId="5" borderId="14" xfId="0" applyFill="1" applyBorder="1"/>
    <xf numFmtId="0" fontId="0" fillId="2" borderId="19" xfId="0" applyFill="1" applyBorder="1"/>
    <xf numFmtId="0" fontId="0" fillId="2" borderId="14" xfId="0" applyFill="1" applyBorder="1"/>
    <xf numFmtId="0" fontId="0" fillId="5" borderId="20" xfId="0" applyFill="1" applyBorder="1"/>
    <xf numFmtId="0" fontId="0" fillId="5" borderId="16" xfId="0" applyFill="1" applyBorder="1"/>
    <xf numFmtId="0" fontId="0" fillId="6" borderId="20" xfId="0" applyFill="1" applyBorder="1"/>
    <xf numFmtId="0" fontId="0" fillId="6" borderId="16" xfId="0" applyFill="1" applyBorder="1"/>
    <xf numFmtId="166" fontId="0" fillId="0" borderId="0" xfId="0" applyNumberFormat="1" applyAlignment="1">
      <alignment horizontal="center"/>
    </xf>
    <xf numFmtId="0" fontId="2" fillId="2" borderId="19" xfId="0" applyFont="1" applyFill="1" applyBorder="1"/>
    <xf numFmtId="166" fontId="0" fillId="6" borderId="20" xfId="0" applyNumberFormat="1" applyFill="1" applyBorder="1"/>
    <xf numFmtId="0" fontId="0" fillId="2" borderId="23" xfId="0" applyFill="1" applyBorder="1"/>
    <xf numFmtId="11" fontId="0" fillId="6" borderId="24" xfId="0" applyNumberFormat="1" applyFill="1" applyBorder="1"/>
    <xf numFmtId="0" fontId="0" fillId="6" borderId="24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5" xfId="0" applyFill="1" applyBorder="1"/>
    <xf numFmtId="166" fontId="0" fillId="6" borderId="16" xfId="0" applyNumberFormat="1" applyFill="1" applyBorder="1"/>
    <xf numFmtId="168" fontId="0" fillId="6" borderId="24" xfId="0" applyNumberFormat="1" applyFill="1" applyBorder="1"/>
    <xf numFmtId="0" fontId="0" fillId="6" borderId="22" xfId="0" applyFill="1" applyBorder="1"/>
    <xf numFmtId="171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5" borderId="10" xfId="0" applyFill="1" applyBorder="1"/>
    <xf numFmtId="0" fontId="0" fillId="5" borderId="12" xfId="0" applyFill="1" applyBorder="1"/>
    <xf numFmtId="0" fontId="0" fillId="5" borderId="11" xfId="0" applyFill="1" applyBorder="1"/>
    <xf numFmtId="0" fontId="0" fillId="5" borderId="13" xfId="0" applyFill="1" applyBorder="1"/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171" fontId="5" fillId="0" borderId="0" xfId="0" applyNumberFormat="1" applyFont="1"/>
    <xf numFmtId="1" fontId="0" fillId="0" borderId="0" xfId="0" applyNumberFormat="1" applyAlignment="1">
      <alignment horizontal="center"/>
    </xf>
    <xf numFmtId="174" fontId="0" fillId="6" borderId="16" xfId="0" applyNumberFormat="1" applyFill="1" applyBorder="1"/>
    <xf numFmtId="164" fontId="0" fillId="7" borderId="0" xfId="0" applyNumberFormat="1" applyFill="1"/>
    <xf numFmtId="166" fontId="0" fillId="7" borderId="0" xfId="0" applyNumberFormat="1" applyFill="1"/>
    <xf numFmtId="165" fontId="0" fillId="7" borderId="0" xfId="0" applyNumberFormat="1" applyFill="1"/>
    <xf numFmtId="168" fontId="0" fillId="0" borderId="0" xfId="0" applyNumberFormat="1" applyAlignment="1">
      <alignment horizontal="right"/>
    </xf>
    <xf numFmtId="168" fontId="5" fillId="0" borderId="0" xfId="0" applyNumberFormat="1" applyFont="1"/>
    <xf numFmtId="165" fontId="0" fillId="7" borderId="0" xfId="0" applyNumberFormat="1" applyFill="1" applyAlignment="1">
      <alignment horizontal="right"/>
    </xf>
    <xf numFmtId="165" fontId="0" fillId="6" borderId="15" xfId="0" applyNumberFormat="1" applyFill="1" applyBorder="1"/>
    <xf numFmtId="166" fontId="0" fillId="6" borderId="9" xfId="0" applyNumberFormat="1" applyFill="1" applyBorder="1"/>
    <xf numFmtId="166" fontId="0" fillId="6" borderId="8" xfId="0" applyNumberFormat="1" applyFill="1" applyBorder="1"/>
    <xf numFmtId="166" fontId="0" fillId="6" borderId="15" xfId="0" applyNumberFormat="1" applyFill="1" applyBorder="1"/>
  </cellXfs>
  <cellStyles count="1">
    <cellStyle name="Normal" xfId="0" builtinId="0"/>
  </cellStyles>
  <dxfs count="41">
    <dxf>
      <numFmt numFmtId="165" formatCode="0.0000"/>
    </dxf>
    <dxf>
      <numFmt numFmtId="15" formatCode="0.00E+00"/>
    </dxf>
    <dxf>
      <numFmt numFmtId="165" formatCode="0.0000"/>
    </dxf>
    <dxf>
      <numFmt numFmtId="165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numFmt numFmtId="171" formatCode="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numFmt numFmtId="171" formatCode="0E+00"/>
    </dxf>
    <dxf>
      <numFmt numFmtId="168" formatCode="0.000E+00"/>
    </dxf>
    <dxf>
      <numFmt numFmtId="168" formatCode="0.000E+00"/>
    </dxf>
    <dxf>
      <numFmt numFmtId="168" formatCode="0.000E+00"/>
      <alignment horizontal="right" vertical="bottom" textRotation="0" wrapText="0" indent="0" justifyLastLine="0" shrinkToFit="0" readingOrder="0"/>
    </dxf>
    <dxf>
      <numFmt numFmtId="171" formatCode="0E+00"/>
      <alignment horizontal="center" vertical="bottom" textRotation="0" wrapText="0" indent="0" justifyLastLine="0" shrinkToFit="0" readingOrder="0"/>
    </dxf>
    <dxf>
      <numFmt numFmtId="166" formatCode="0.0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numFmt numFmtId="171" formatCode="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numFmt numFmtId="166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</dxf>
    <dxf>
      <numFmt numFmtId="171" formatCode="0E+00"/>
    </dxf>
    <dxf>
      <numFmt numFmtId="168" formatCode="0.000E+00"/>
    </dxf>
    <dxf>
      <numFmt numFmtId="166" formatCode="0.000"/>
    </dxf>
    <dxf>
      <numFmt numFmtId="165" formatCode="0.0000"/>
      <alignment horizontal="right" vertical="bottom" textRotation="0" wrapText="0" indent="0" justifyLastLine="0" shrinkToFit="0" readingOrder="0"/>
    </dxf>
    <dxf>
      <numFmt numFmtId="166" formatCode="0.000"/>
      <alignment horizontal="center" vertical="bottom" textRotation="0" wrapText="0" indent="0" justifyLastLine="0" shrinkToFit="0" readingOrder="0"/>
    </dxf>
    <dxf>
      <numFmt numFmtId="166" formatCode="0.000"/>
    </dxf>
    <dxf>
      <numFmt numFmtId="0" formatCode="General"/>
    </dxf>
    <dxf>
      <numFmt numFmtId="166" formatCode="0.000"/>
    </dxf>
    <dxf>
      <numFmt numFmtId="166" formatCode="0.000"/>
    </dxf>
    <dxf>
      <numFmt numFmtId="165" formatCode="0.0000"/>
    </dxf>
    <dxf>
      <numFmt numFmtId="166" formatCode="0.000"/>
    </dxf>
    <dxf>
      <numFmt numFmtId="164" formatCode="0.00000"/>
    </dxf>
    <dxf>
      <numFmt numFmtId="168" formatCode="0.000E+00"/>
    </dxf>
    <dxf>
      <numFmt numFmtId="166" formatCode="0.000"/>
      <alignment horizontal="center" vertical="bottom" textRotation="0" wrapText="0" indent="0" justifyLastLine="0" shrinkToFit="0" readingOrder="0"/>
    </dxf>
    <dxf>
      <numFmt numFmtId="166" formatCode="0.000"/>
      <alignment horizontal="center" vertical="bottom" textRotation="0" wrapText="0" indent="0" justifyLastLine="0" shrinkToFit="0" readingOrder="0"/>
    </dxf>
    <dxf>
      <numFmt numFmtId="165" formatCode="0.0000"/>
    </dxf>
    <dxf>
      <numFmt numFmtId="168" formatCode="0.000E+00"/>
    </dxf>
    <dxf>
      <numFmt numFmtId="165" formatCode="0.0000"/>
    </dxf>
    <dxf>
      <numFmt numFmtId="168" formatCode="0.000E+00"/>
    </dxf>
    <dxf>
      <numFmt numFmtId="165" formatCode="0.0000"/>
    </dxf>
    <dxf>
      <numFmt numFmtId="165" formatCode="0.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</dxf>
    <dxf>
      <border outline="0">
        <bottom style="thin">
          <color theme="9"/>
        </bottom>
      </border>
    </dxf>
    <dxf>
      <border outline="0">
        <top style="thin">
          <color theme="9"/>
        </top>
      </border>
    </dxf>
    <dxf>
      <numFmt numFmtId="165" formatCode="0.0000"/>
    </dxf>
  </dxfs>
  <tableStyles count="0" defaultTableStyle="TableStyleMedium2" defaultPivotStyle="PivotStyleLight16"/>
  <colors>
    <mruColors>
      <color rgb="FFF2F8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Sentido direto (díodo retificador)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1.0000000000000001E-5</c:v>
                </c:pt>
              </c:numLit>
            </c:plus>
            <c:minus>
              <c:numLit>
                <c:formatCode>General</c:formatCode>
                <c:ptCount val="1"/>
                <c:pt idx="0">
                  <c:v>1.0000000000000001E-5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9.9999999999999995E-8</c:v>
                </c:pt>
              </c:numLit>
            </c:plus>
            <c:minus>
              <c:numLit>
                <c:formatCode>General</c:formatCode>
                <c:ptCount val="1"/>
                <c:pt idx="0">
                  <c:v>9.9999999999999995E-8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'Díodo retificador'!$C$4:$C$42</c:f>
              <c:numCache>
                <c:formatCode>0.00000</c:formatCode>
                <c:ptCount val="39"/>
                <c:pt idx="0">
                  <c:v>0.55518000000000001</c:v>
                </c:pt>
                <c:pt idx="1">
                  <c:v>0.55423</c:v>
                </c:pt>
                <c:pt idx="2">
                  <c:v>0.55200000000000005</c:v>
                </c:pt>
                <c:pt idx="3">
                  <c:v>0.55095000000000005</c:v>
                </c:pt>
                <c:pt idx="4">
                  <c:v>0.54842999999999997</c:v>
                </c:pt>
                <c:pt idx="5">
                  <c:v>0.54742000000000002</c:v>
                </c:pt>
                <c:pt idx="6">
                  <c:v>0.54635999999999996</c:v>
                </c:pt>
                <c:pt idx="7">
                  <c:v>0.54540999999999995</c:v>
                </c:pt>
                <c:pt idx="8">
                  <c:v>0.54440999999999995</c:v>
                </c:pt>
                <c:pt idx="9">
                  <c:v>0.54379</c:v>
                </c:pt>
                <c:pt idx="10">
                  <c:v>0.54262999999999995</c:v>
                </c:pt>
                <c:pt idx="11">
                  <c:v>0.54161000000000004</c:v>
                </c:pt>
                <c:pt idx="12">
                  <c:v>0.53991999999999996</c:v>
                </c:pt>
                <c:pt idx="13">
                  <c:v>0.53788999999999998</c:v>
                </c:pt>
                <c:pt idx="14">
                  <c:v>0.53481999999999996</c:v>
                </c:pt>
                <c:pt idx="15">
                  <c:v>0.53237999999999996</c:v>
                </c:pt>
                <c:pt idx="16">
                  <c:v>0.53037000000000001</c:v>
                </c:pt>
                <c:pt idx="17">
                  <c:v>0.52824000000000004</c:v>
                </c:pt>
                <c:pt idx="18">
                  <c:v>0.52653000000000005</c:v>
                </c:pt>
                <c:pt idx="19">
                  <c:v>0.52293999999999996</c:v>
                </c:pt>
                <c:pt idx="20">
                  <c:v>0.51832</c:v>
                </c:pt>
                <c:pt idx="21">
                  <c:v>0.51473999999999998</c:v>
                </c:pt>
                <c:pt idx="22">
                  <c:v>0.51222999999999996</c:v>
                </c:pt>
                <c:pt idx="23">
                  <c:v>0.51076999999999995</c:v>
                </c:pt>
                <c:pt idx="24">
                  <c:v>0.50766</c:v>
                </c:pt>
                <c:pt idx="25">
                  <c:v>0.50517000000000001</c:v>
                </c:pt>
                <c:pt idx="26">
                  <c:v>0.50288999999999995</c:v>
                </c:pt>
                <c:pt idx="27">
                  <c:v>0.49907000000000001</c:v>
                </c:pt>
                <c:pt idx="28">
                  <c:v>0.49640000000000001</c:v>
                </c:pt>
                <c:pt idx="29">
                  <c:v>0.49010999999999999</c:v>
                </c:pt>
                <c:pt idx="30">
                  <c:v>0.48497000000000001</c:v>
                </c:pt>
                <c:pt idx="31">
                  <c:v>0.47928999999999999</c:v>
                </c:pt>
                <c:pt idx="32">
                  <c:v>0.47417999999999999</c:v>
                </c:pt>
                <c:pt idx="33">
                  <c:v>0.46888999999999997</c:v>
                </c:pt>
                <c:pt idx="34">
                  <c:v>0.46245000000000003</c:v>
                </c:pt>
                <c:pt idx="35">
                  <c:v>0.45300000000000001</c:v>
                </c:pt>
                <c:pt idx="36">
                  <c:v>0.42610999999999999</c:v>
                </c:pt>
                <c:pt idx="37">
                  <c:v>0.40511000000000003</c:v>
                </c:pt>
                <c:pt idx="38">
                  <c:v>0.3332</c:v>
                </c:pt>
              </c:numCache>
            </c:numRef>
          </c:xVal>
          <c:yVal>
            <c:numRef>
              <c:f>'Díodo retificador'!$B$4:$B$42</c:f>
              <c:numCache>
                <c:formatCode>0.000E+00</c:formatCode>
                <c:ptCount val="39"/>
                <c:pt idx="0">
                  <c:v>9.7309999999999996E-4</c:v>
                </c:pt>
                <c:pt idx="1">
                  <c:v>9.5480000000000001E-4</c:v>
                </c:pt>
                <c:pt idx="2">
                  <c:v>9.1120000000000003E-4</c:v>
                </c:pt>
                <c:pt idx="3">
                  <c:v>8.918000000000001E-4</c:v>
                </c:pt>
                <c:pt idx="4">
                  <c:v>8.4619999999999997E-4</c:v>
                </c:pt>
                <c:pt idx="5">
                  <c:v>8.2770000000000001E-4</c:v>
                </c:pt>
                <c:pt idx="6">
                  <c:v>8.1040000000000007E-4</c:v>
                </c:pt>
                <c:pt idx="7">
                  <c:v>7.9410000000000006E-4</c:v>
                </c:pt>
                <c:pt idx="8">
                  <c:v>7.779000000000001E-4</c:v>
                </c:pt>
                <c:pt idx="9">
                  <c:v>7.6800000000000002E-4</c:v>
                </c:pt>
                <c:pt idx="10">
                  <c:v>7.494E-4</c:v>
                </c:pt>
                <c:pt idx="11">
                  <c:v>7.337E-4</c:v>
                </c:pt>
                <c:pt idx="12">
                  <c:v>7.0799999999999997E-4</c:v>
                </c:pt>
                <c:pt idx="13">
                  <c:v>6.7860000000000001E-4</c:v>
                </c:pt>
                <c:pt idx="14">
                  <c:v>6.3600000000000006E-4</c:v>
                </c:pt>
                <c:pt idx="15">
                  <c:v>6.0389999999999999E-4</c:v>
                </c:pt>
                <c:pt idx="16">
                  <c:v>5.7810000000000001E-4</c:v>
                </c:pt>
                <c:pt idx="17">
                  <c:v>5.5189999999999992E-4</c:v>
                </c:pt>
                <c:pt idx="18">
                  <c:v>5.3249999999999999E-4</c:v>
                </c:pt>
                <c:pt idx="19">
                  <c:v>4.9340000000000007E-4</c:v>
                </c:pt>
                <c:pt idx="20">
                  <c:v>4.4679999999999996E-4</c:v>
                </c:pt>
                <c:pt idx="21">
                  <c:v>4.1389999999999998E-4</c:v>
                </c:pt>
                <c:pt idx="22">
                  <c:v>3.9209999999999999E-4</c:v>
                </c:pt>
                <c:pt idx="23">
                  <c:v>3.792E-4</c:v>
                </c:pt>
                <c:pt idx="24">
                  <c:v>3.5460000000000005E-4</c:v>
                </c:pt>
                <c:pt idx="25">
                  <c:v>3.3550000000000002E-4</c:v>
                </c:pt>
                <c:pt idx="26">
                  <c:v>3.1929999999999995E-4</c:v>
                </c:pt>
                <c:pt idx="27">
                  <c:v>2.9330000000000003E-4</c:v>
                </c:pt>
                <c:pt idx="28">
                  <c:v>2.743E-4</c:v>
                </c:pt>
                <c:pt idx="29">
                  <c:v>2.3949999999999999E-4</c:v>
                </c:pt>
                <c:pt idx="30">
                  <c:v>2.1329999999999998E-4</c:v>
                </c:pt>
                <c:pt idx="31">
                  <c:v>1.8699999999999999E-4</c:v>
                </c:pt>
                <c:pt idx="32">
                  <c:v>1.6569999999999999E-4</c:v>
                </c:pt>
                <c:pt idx="33">
                  <c:v>1.46E-4</c:v>
                </c:pt>
                <c:pt idx="34">
                  <c:v>1.2520000000000001E-4</c:v>
                </c:pt>
                <c:pt idx="35" formatCode="0.00E+00">
                  <c:v>9.9300000000000001E-5</c:v>
                </c:pt>
                <c:pt idx="36" formatCode="0.00E+00">
                  <c:v>4.9599999999999999E-5</c:v>
                </c:pt>
                <c:pt idx="37" formatCode="0.00E+00">
                  <c:v>2.8200000000000001E-5</c:v>
                </c:pt>
                <c:pt idx="38" formatCode="0.0E+00">
                  <c:v>4.3000000000000003E-6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91-457F-AE1E-B91CFB5DE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723103"/>
        <c:axId val="520726847"/>
      </c:scatterChart>
      <c:valAx>
        <c:axId val="520723103"/>
        <c:scaling>
          <c:orientation val="minMax"/>
          <c:max val="0.58000000000000007"/>
          <c:min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 /V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20726847"/>
        <c:crosses val="autoZero"/>
        <c:crossBetween val="midCat"/>
      </c:valAx>
      <c:valAx>
        <c:axId val="520726847"/>
        <c:scaling>
          <c:orientation val="minMax"/>
          <c:max val="1.1000000000000003E-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I /A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20723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Díodo retificador - ajuste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accent6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1.0000000000000001E-5</c:v>
                </c:pt>
              </c:numLit>
            </c:plus>
            <c:minus>
              <c:numLit>
                <c:formatCode>General</c:formatCode>
                <c:ptCount val="1"/>
                <c:pt idx="0">
                  <c:v>1.0000000000000001E-5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'Díodo retificador'!$E$4:$E$42</c:f>
                <c:numCache>
                  <c:formatCode>General</c:formatCode>
                  <c:ptCount val="39"/>
                  <c:pt idx="0">
                    <c:v>1.0276436131949439E-4</c:v>
                  </c:pt>
                  <c:pt idx="1">
                    <c:v>1.0473397570171764E-4</c:v>
                  </c:pt>
                  <c:pt idx="2">
                    <c:v>1.0974539069359086E-4</c:v>
                  </c:pt>
                  <c:pt idx="3">
                    <c:v>1.1213276519398966E-4</c:v>
                  </c:pt>
                  <c:pt idx="4">
                    <c:v>1.181753722524226E-4</c:v>
                  </c:pt>
                  <c:pt idx="5">
                    <c:v>1.2081672103419114E-4</c:v>
                  </c:pt>
                  <c:pt idx="6">
                    <c:v>1.2339585389930895E-4</c:v>
                  </c:pt>
                  <c:pt idx="7">
                    <c:v>1.259287243420224E-4</c:v>
                  </c:pt>
                  <c:pt idx="8">
                    <c:v>1.2855122766422417E-4</c:v>
                  </c:pt>
                  <c:pt idx="9">
                    <c:v>1.3020833333333333E-4</c:v>
                  </c:pt>
                  <c:pt idx="10">
                    <c:v>1.3344008540165466E-4</c:v>
                  </c:pt>
                  <c:pt idx="11">
                    <c:v>1.3629548861932668E-4</c:v>
                  </c:pt>
                  <c:pt idx="12">
                    <c:v>1.4124293785310735E-4</c:v>
                  </c:pt>
                  <c:pt idx="13">
                    <c:v>1.4736221632773356E-4</c:v>
                  </c:pt>
                  <c:pt idx="14">
                    <c:v>1.5723270440251569E-4</c:v>
                  </c:pt>
                  <c:pt idx="15">
                    <c:v>1.6559032952475573E-4</c:v>
                  </c:pt>
                  <c:pt idx="16">
                    <c:v>1.7298045320878741E-4</c:v>
                  </c:pt>
                  <c:pt idx="17">
                    <c:v>1.8119224497191523E-4</c:v>
                  </c:pt>
                  <c:pt idx="18">
                    <c:v>1.8779342723004695E-4</c:v>
                  </c:pt>
                  <c:pt idx="19">
                    <c:v>2.026753141467369E-4</c:v>
                  </c:pt>
                  <c:pt idx="20">
                    <c:v>2.2381378692927487E-4</c:v>
                  </c:pt>
                  <c:pt idx="21">
                    <c:v>2.4160425223483935E-4</c:v>
                  </c:pt>
                  <c:pt idx="22">
                    <c:v>2.550369803621525E-4</c:v>
                  </c:pt>
                  <c:pt idx="23">
                    <c:v>2.6371308016877635E-4</c:v>
                  </c:pt>
                  <c:pt idx="24">
                    <c:v>2.8200789622109411E-4</c:v>
                  </c:pt>
                  <c:pt idx="25">
                    <c:v>2.980625931445603E-4</c:v>
                  </c:pt>
                  <c:pt idx="26">
                    <c:v>3.1318509238960227E-4</c:v>
                  </c:pt>
                  <c:pt idx="27">
                    <c:v>3.4094783498124785E-4</c:v>
                  </c:pt>
                  <c:pt idx="28">
                    <c:v>3.6456434560699962E-4</c:v>
                  </c:pt>
                  <c:pt idx="29">
                    <c:v>4.1753653444676412E-4</c:v>
                  </c:pt>
                  <c:pt idx="30">
                    <c:v>4.6882325363338019E-4</c:v>
                  </c:pt>
                  <c:pt idx="31">
                    <c:v>5.3475935828877007E-4</c:v>
                  </c:pt>
                  <c:pt idx="32">
                    <c:v>6.0350030175015089E-4</c:v>
                  </c:pt>
                  <c:pt idx="33">
                    <c:v>6.8493150684931507E-4</c:v>
                  </c:pt>
                  <c:pt idx="34">
                    <c:v>7.9872204472843436E-4</c:v>
                  </c:pt>
                  <c:pt idx="35">
                    <c:v>1.0070493454179255E-3</c:v>
                  </c:pt>
                  <c:pt idx="36">
                    <c:v>2.0161290322580645E-3</c:v>
                  </c:pt>
                  <c:pt idx="37">
                    <c:v>3.5460992907801418E-3</c:v>
                  </c:pt>
                  <c:pt idx="38">
                    <c:v>2.3255813953488368E-2</c:v>
                  </c:pt>
                </c:numCache>
              </c:numRef>
            </c:plus>
            <c:minus>
              <c:numRef>
                <c:f>'Díodo retificador'!$E$4:$E$42</c:f>
                <c:numCache>
                  <c:formatCode>General</c:formatCode>
                  <c:ptCount val="39"/>
                  <c:pt idx="0">
                    <c:v>1.0276436131949439E-4</c:v>
                  </c:pt>
                  <c:pt idx="1">
                    <c:v>1.0473397570171764E-4</c:v>
                  </c:pt>
                  <c:pt idx="2">
                    <c:v>1.0974539069359086E-4</c:v>
                  </c:pt>
                  <c:pt idx="3">
                    <c:v>1.1213276519398966E-4</c:v>
                  </c:pt>
                  <c:pt idx="4">
                    <c:v>1.181753722524226E-4</c:v>
                  </c:pt>
                  <c:pt idx="5">
                    <c:v>1.2081672103419114E-4</c:v>
                  </c:pt>
                  <c:pt idx="6">
                    <c:v>1.2339585389930895E-4</c:v>
                  </c:pt>
                  <c:pt idx="7">
                    <c:v>1.259287243420224E-4</c:v>
                  </c:pt>
                  <c:pt idx="8">
                    <c:v>1.2855122766422417E-4</c:v>
                  </c:pt>
                  <c:pt idx="9">
                    <c:v>1.3020833333333333E-4</c:v>
                  </c:pt>
                  <c:pt idx="10">
                    <c:v>1.3344008540165466E-4</c:v>
                  </c:pt>
                  <c:pt idx="11">
                    <c:v>1.3629548861932668E-4</c:v>
                  </c:pt>
                  <c:pt idx="12">
                    <c:v>1.4124293785310735E-4</c:v>
                  </c:pt>
                  <c:pt idx="13">
                    <c:v>1.4736221632773356E-4</c:v>
                  </c:pt>
                  <c:pt idx="14">
                    <c:v>1.5723270440251569E-4</c:v>
                  </c:pt>
                  <c:pt idx="15">
                    <c:v>1.6559032952475573E-4</c:v>
                  </c:pt>
                  <c:pt idx="16">
                    <c:v>1.7298045320878741E-4</c:v>
                  </c:pt>
                  <c:pt idx="17">
                    <c:v>1.8119224497191523E-4</c:v>
                  </c:pt>
                  <c:pt idx="18">
                    <c:v>1.8779342723004695E-4</c:v>
                  </c:pt>
                  <c:pt idx="19">
                    <c:v>2.026753141467369E-4</c:v>
                  </c:pt>
                  <c:pt idx="20">
                    <c:v>2.2381378692927487E-4</c:v>
                  </c:pt>
                  <c:pt idx="21">
                    <c:v>2.4160425223483935E-4</c:v>
                  </c:pt>
                  <c:pt idx="22">
                    <c:v>2.550369803621525E-4</c:v>
                  </c:pt>
                  <c:pt idx="23">
                    <c:v>2.6371308016877635E-4</c:v>
                  </c:pt>
                  <c:pt idx="24">
                    <c:v>2.8200789622109411E-4</c:v>
                  </c:pt>
                  <c:pt idx="25">
                    <c:v>2.980625931445603E-4</c:v>
                  </c:pt>
                  <c:pt idx="26">
                    <c:v>3.1318509238960227E-4</c:v>
                  </c:pt>
                  <c:pt idx="27">
                    <c:v>3.4094783498124785E-4</c:v>
                  </c:pt>
                  <c:pt idx="28">
                    <c:v>3.6456434560699962E-4</c:v>
                  </c:pt>
                  <c:pt idx="29">
                    <c:v>4.1753653444676412E-4</c:v>
                  </c:pt>
                  <c:pt idx="30">
                    <c:v>4.6882325363338019E-4</c:v>
                  </c:pt>
                  <c:pt idx="31">
                    <c:v>5.3475935828877007E-4</c:v>
                  </c:pt>
                  <c:pt idx="32">
                    <c:v>6.0350030175015089E-4</c:v>
                  </c:pt>
                  <c:pt idx="33">
                    <c:v>6.8493150684931507E-4</c:v>
                  </c:pt>
                  <c:pt idx="34">
                    <c:v>7.9872204472843436E-4</c:v>
                  </c:pt>
                  <c:pt idx="35">
                    <c:v>1.0070493454179255E-3</c:v>
                  </c:pt>
                  <c:pt idx="36">
                    <c:v>2.0161290322580645E-3</c:v>
                  </c:pt>
                  <c:pt idx="37">
                    <c:v>3.5460992907801418E-3</c:v>
                  </c:pt>
                  <c:pt idx="38">
                    <c:v>2.3255813953488368E-2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'Díodo retificador'!$C$4:$C$42</c:f>
              <c:numCache>
                <c:formatCode>0.00000</c:formatCode>
                <c:ptCount val="39"/>
                <c:pt idx="0">
                  <c:v>0.55518000000000001</c:v>
                </c:pt>
                <c:pt idx="1">
                  <c:v>0.55423</c:v>
                </c:pt>
                <c:pt idx="2">
                  <c:v>0.55200000000000005</c:v>
                </c:pt>
                <c:pt idx="3">
                  <c:v>0.55095000000000005</c:v>
                </c:pt>
                <c:pt idx="4">
                  <c:v>0.54842999999999997</c:v>
                </c:pt>
                <c:pt idx="5">
                  <c:v>0.54742000000000002</c:v>
                </c:pt>
                <c:pt idx="6">
                  <c:v>0.54635999999999996</c:v>
                </c:pt>
                <c:pt idx="7">
                  <c:v>0.54540999999999995</c:v>
                </c:pt>
                <c:pt idx="8">
                  <c:v>0.54440999999999995</c:v>
                </c:pt>
                <c:pt idx="9">
                  <c:v>0.54379</c:v>
                </c:pt>
                <c:pt idx="10">
                  <c:v>0.54262999999999995</c:v>
                </c:pt>
                <c:pt idx="11">
                  <c:v>0.54161000000000004</c:v>
                </c:pt>
                <c:pt idx="12">
                  <c:v>0.53991999999999996</c:v>
                </c:pt>
                <c:pt idx="13">
                  <c:v>0.53788999999999998</c:v>
                </c:pt>
                <c:pt idx="14">
                  <c:v>0.53481999999999996</c:v>
                </c:pt>
                <c:pt idx="15">
                  <c:v>0.53237999999999996</c:v>
                </c:pt>
                <c:pt idx="16">
                  <c:v>0.53037000000000001</c:v>
                </c:pt>
                <c:pt idx="17">
                  <c:v>0.52824000000000004</c:v>
                </c:pt>
                <c:pt idx="18">
                  <c:v>0.52653000000000005</c:v>
                </c:pt>
                <c:pt idx="19">
                  <c:v>0.52293999999999996</c:v>
                </c:pt>
                <c:pt idx="20">
                  <c:v>0.51832</c:v>
                </c:pt>
                <c:pt idx="21">
                  <c:v>0.51473999999999998</c:v>
                </c:pt>
                <c:pt idx="22">
                  <c:v>0.51222999999999996</c:v>
                </c:pt>
                <c:pt idx="23">
                  <c:v>0.51076999999999995</c:v>
                </c:pt>
                <c:pt idx="24">
                  <c:v>0.50766</c:v>
                </c:pt>
                <c:pt idx="25">
                  <c:v>0.50517000000000001</c:v>
                </c:pt>
                <c:pt idx="26">
                  <c:v>0.50288999999999995</c:v>
                </c:pt>
                <c:pt idx="27">
                  <c:v>0.49907000000000001</c:v>
                </c:pt>
                <c:pt idx="28">
                  <c:v>0.49640000000000001</c:v>
                </c:pt>
                <c:pt idx="29">
                  <c:v>0.49010999999999999</c:v>
                </c:pt>
                <c:pt idx="30">
                  <c:v>0.48497000000000001</c:v>
                </c:pt>
                <c:pt idx="31">
                  <c:v>0.47928999999999999</c:v>
                </c:pt>
                <c:pt idx="32">
                  <c:v>0.47417999999999999</c:v>
                </c:pt>
                <c:pt idx="33">
                  <c:v>0.46888999999999997</c:v>
                </c:pt>
                <c:pt idx="34">
                  <c:v>0.46245000000000003</c:v>
                </c:pt>
                <c:pt idx="35">
                  <c:v>0.45300000000000001</c:v>
                </c:pt>
                <c:pt idx="36">
                  <c:v>0.42610999999999999</c:v>
                </c:pt>
                <c:pt idx="37">
                  <c:v>0.40511000000000003</c:v>
                </c:pt>
                <c:pt idx="38">
                  <c:v>0.3332</c:v>
                </c:pt>
              </c:numCache>
            </c:numRef>
          </c:xVal>
          <c:yVal>
            <c:numRef>
              <c:f>'Díodo retificador'!$D$4:$D$42</c:f>
              <c:numCache>
                <c:formatCode>0.000</c:formatCode>
                <c:ptCount val="39"/>
                <c:pt idx="0">
                  <c:v>-6.9350237061363309</c:v>
                </c:pt>
                <c:pt idx="1">
                  <c:v>-6.9540086634995992</c:v>
                </c:pt>
                <c:pt idx="2">
                  <c:v>-7.0007481458313014</c:v>
                </c:pt>
                <c:pt idx="3">
                  <c:v>-7.0222686657708975</c:v>
                </c:pt>
                <c:pt idx="4">
                  <c:v>-7.074754819678307</c:v>
                </c:pt>
                <c:pt idx="5">
                  <c:v>-7.0968597880729236</c:v>
                </c:pt>
                <c:pt idx="6">
                  <c:v>-7.1179826050298001</c:v>
                </c:pt>
                <c:pt idx="7">
                  <c:v>-7.1383011600631088</c:v>
                </c:pt>
                <c:pt idx="8">
                  <c:v>-7.158912576751546</c:v>
                </c:pt>
                <c:pt idx="9">
                  <c:v>-7.1717208248166022</c:v>
                </c:pt>
                <c:pt idx="10">
                  <c:v>-7.1962376716046874</c:v>
                </c:pt>
                <c:pt idx="11">
                  <c:v>-7.2174103322443255</c:v>
                </c:pt>
                <c:pt idx="12">
                  <c:v>-7.253066464270554</c:v>
                </c:pt>
                <c:pt idx="13">
                  <c:v>-7.2954787056141441</c:v>
                </c:pt>
                <c:pt idx="14">
                  <c:v>-7.3603119946241522</c:v>
                </c:pt>
                <c:pt idx="15">
                  <c:v>-7.4121019366504184</c:v>
                </c:pt>
                <c:pt idx="16">
                  <c:v>-7.455763693875844</c:v>
                </c:pt>
                <c:pt idx="17">
                  <c:v>-7.502143687518819</c:v>
                </c:pt>
                <c:pt idx="18">
                  <c:v>-7.537927660380694</c:v>
                </c:pt>
                <c:pt idx="19">
                  <c:v>-7.6141903538690174</c:v>
                </c:pt>
                <c:pt idx="20">
                  <c:v>-7.7133994907692287</c:v>
                </c:pt>
                <c:pt idx="21">
                  <c:v>-7.7898861592095878</c:v>
                </c:pt>
                <c:pt idx="22">
                  <c:v>-7.8439936486659878</c:v>
                </c:pt>
                <c:pt idx="23">
                  <c:v>-7.8774467875834073</c:v>
                </c:pt>
                <c:pt idx="24">
                  <c:v>-7.9445201643241665</c:v>
                </c:pt>
                <c:pt idx="25">
                  <c:v>-7.9998886015525379</c:v>
                </c:pt>
                <c:pt idx="26">
                  <c:v>-8.0493794582435374</c:v>
                </c:pt>
                <c:pt idx="27">
                  <c:v>-8.1343145819808687</c:v>
                </c:pt>
                <c:pt idx="28">
                  <c:v>-8.2012881600207166</c:v>
                </c:pt>
                <c:pt idx="29">
                  <c:v>-8.3369571411133041</c:v>
                </c:pt>
                <c:pt idx="30">
                  <c:v>-8.4528109324869689</c:v>
                </c:pt>
                <c:pt idx="31">
                  <c:v>-8.5844019411096877</c:v>
                </c:pt>
                <c:pt idx="32">
                  <c:v>-8.7053316335317561</c:v>
                </c:pt>
                <c:pt idx="33">
                  <c:v>-8.8319039362559373</c:v>
                </c:pt>
                <c:pt idx="34">
                  <c:v>-8.9855980992982758</c:v>
                </c:pt>
                <c:pt idx="35">
                  <c:v>-9.2173649869131467</c:v>
                </c:pt>
                <c:pt idx="36">
                  <c:v>-9.9115197242333917</c:v>
                </c:pt>
                <c:pt idx="37">
                  <c:v>-10.476188580020207</c:v>
                </c:pt>
                <c:pt idx="38">
                  <c:v>-12.356895535264757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5D-479F-9EBD-3070B534D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6137920"/>
        <c:axId val="1816138752"/>
      </c:scatterChart>
      <c:valAx>
        <c:axId val="1816137920"/>
        <c:scaling>
          <c:orientation val="minMax"/>
          <c:max val="0.60000000000000009"/>
          <c:min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 /V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16138752"/>
        <c:crossesAt val="-13"/>
        <c:crossBetween val="midCat"/>
      </c:valAx>
      <c:valAx>
        <c:axId val="1816138752"/>
        <c:scaling>
          <c:orientation val="minMax"/>
          <c:max val="-6"/>
          <c:min val="-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ln(I)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16137920"/>
        <c:crosses val="autoZero"/>
        <c:crossBetween val="midCat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Resíduos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'Díodo retificador'!$C$4:$C$42</c:f>
              <c:numCache>
                <c:formatCode>0.00000</c:formatCode>
                <c:ptCount val="39"/>
                <c:pt idx="0">
                  <c:v>0.55518000000000001</c:v>
                </c:pt>
                <c:pt idx="1">
                  <c:v>0.55423</c:v>
                </c:pt>
                <c:pt idx="2">
                  <c:v>0.55200000000000005</c:v>
                </c:pt>
                <c:pt idx="3">
                  <c:v>0.55095000000000005</c:v>
                </c:pt>
                <c:pt idx="4">
                  <c:v>0.54842999999999997</c:v>
                </c:pt>
                <c:pt idx="5">
                  <c:v>0.54742000000000002</c:v>
                </c:pt>
                <c:pt idx="6">
                  <c:v>0.54635999999999996</c:v>
                </c:pt>
                <c:pt idx="7">
                  <c:v>0.54540999999999995</c:v>
                </c:pt>
                <c:pt idx="8">
                  <c:v>0.54440999999999995</c:v>
                </c:pt>
                <c:pt idx="9">
                  <c:v>0.54379</c:v>
                </c:pt>
                <c:pt idx="10">
                  <c:v>0.54262999999999995</c:v>
                </c:pt>
                <c:pt idx="11">
                  <c:v>0.54161000000000004</c:v>
                </c:pt>
                <c:pt idx="12">
                  <c:v>0.53991999999999996</c:v>
                </c:pt>
                <c:pt idx="13">
                  <c:v>0.53788999999999998</c:v>
                </c:pt>
                <c:pt idx="14">
                  <c:v>0.53481999999999996</c:v>
                </c:pt>
                <c:pt idx="15">
                  <c:v>0.53237999999999996</c:v>
                </c:pt>
                <c:pt idx="16">
                  <c:v>0.53037000000000001</c:v>
                </c:pt>
                <c:pt idx="17">
                  <c:v>0.52824000000000004</c:v>
                </c:pt>
                <c:pt idx="18">
                  <c:v>0.52653000000000005</c:v>
                </c:pt>
                <c:pt idx="19">
                  <c:v>0.52293999999999996</c:v>
                </c:pt>
                <c:pt idx="20">
                  <c:v>0.51832</c:v>
                </c:pt>
                <c:pt idx="21">
                  <c:v>0.51473999999999998</c:v>
                </c:pt>
                <c:pt idx="22">
                  <c:v>0.51222999999999996</c:v>
                </c:pt>
                <c:pt idx="23">
                  <c:v>0.51076999999999995</c:v>
                </c:pt>
                <c:pt idx="24">
                  <c:v>0.50766</c:v>
                </c:pt>
                <c:pt idx="25">
                  <c:v>0.50517000000000001</c:v>
                </c:pt>
                <c:pt idx="26">
                  <c:v>0.50288999999999995</c:v>
                </c:pt>
                <c:pt idx="27">
                  <c:v>0.49907000000000001</c:v>
                </c:pt>
                <c:pt idx="28">
                  <c:v>0.49640000000000001</c:v>
                </c:pt>
                <c:pt idx="29">
                  <c:v>0.49010999999999999</c:v>
                </c:pt>
                <c:pt idx="30">
                  <c:v>0.48497000000000001</c:v>
                </c:pt>
                <c:pt idx="31">
                  <c:v>0.47928999999999999</c:v>
                </c:pt>
                <c:pt idx="32">
                  <c:v>0.47417999999999999</c:v>
                </c:pt>
                <c:pt idx="33">
                  <c:v>0.46888999999999997</c:v>
                </c:pt>
                <c:pt idx="34">
                  <c:v>0.46245000000000003</c:v>
                </c:pt>
                <c:pt idx="35">
                  <c:v>0.45300000000000001</c:v>
                </c:pt>
                <c:pt idx="36">
                  <c:v>0.42610999999999999</c:v>
                </c:pt>
                <c:pt idx="37">
                  <c:v>0.40511000000000003</c:v>
                </c:pt>
                <c:pt idx="38">
                  <c:v>0.3332</c:v>
                </c:pt>
              </c:numCache>
            </c:numRef>
          </c:xVal>
          <c:yVal>
            <c:numRef>
              <c:f>'Díodo retificador'!$G$4:$G$42</c:f>
              <c:numCache>
                <c:formatCode>0.000</c:formatCode>
                <c:ptCount val="39"/>
                <c:pt idx="0">
                  <c:v>-7.1273877386264672E-2</c:v>
                </c:pt>
                <c:pt idx="1">
                  <c:v>-6.7738586306677284E-2</c:v>
                </c:pt>
                <c:pt idx="2">
                  <c:v>-6.1614748609360781E-2</c:v>
                </c:pt>
                <c:pt idx="3">
                  <c:v>-5.8244467638432162E-2</c:v>
                </c:pt>
                <c:pt idx="4">
                  <c:v>-5.0992699360581817E-2</c:v>
                </c:pt>
                <c:pt idx="5">
                  <c:v>-4.9155087831741717E-2</c:v>
                </c:pt>
                <c:pt idx="6">
                  <c:v>-4.5150048631326101E-2</c:v>
                </c:pt>
                <c:pt idx="7">
                  <c:v>-4.2948355221779089E-2</c:v>
                </c:pt>
                <c:pt idx="8">
                  <c:v>-3.9854247233525264E-2</c:v>
                </c:pt>
                <c:pt idx="9">
                  <c:v>-3.7965069999034817E-2</c:v>
                </c:pt>
                <c:pt idx="10">
                  <c:v>-3.4983508162159005E-2</c:v>
                </c:pt>
                <c:pt idx="11">
                  <c:v>-3.1976533631574711E-2</c:v>
                </c:pt>
                <c:pt idx="12">
                  <c:v>-2.7570328954195311E-2</c:v>
                </c:pt>
                <c:pt idx="13">
                  <c:v>-2.1860355204104565E-2</c:v>
                </c:pt>
                <c:pt idx="14">
                  <c:v>-1.3917683456672769E-2</c:v>
                </c:pt>
                <c:pt idx="15">
                  <c:v>-7.8661452718149505E-3</c:v>
                </c:pt>
                <c:pt idx="16">
                  <c:v>-3.8797978970945834E-3</c:v>
                </c:pt>
                <c:pt idx="17">
                  <c:v>2.3297602127847483E-4</c:v>
                </c:pt>
                <c:pt idx="18">
                  <c:v>4.9854503565445185E-3</c:v>
                </c:pt>
                <c:pt idx="19">
                  <c:v>1.3825590457540393E-2</c:v>
                </c:pt>
                <c:pt idx="20">
                  <c:v>2.4135977563636501E-2</c:v>
                </c:pt>
                <c:pt idx="21">
                  <c:v>3.2515087465829318E-2</c:v>
                </c:pt>
                <c:pt idx="22">
                  <c:v>3.7908464947921772E-2</c:v>
                </c:pt>
                <c:pt idx="23">
                  <c:v>3.9065392058470039E-2</c:v>
                </c:pt>
                <c:pt idx="24">
                  <c:v>4.571619706221508E-2</c:v>
                </c:pt>
                <c:pt idx="25">
                  <c:v>4.9374516278803071E-2</c:v>
                </c:pt>
                <c:pt idx="26">
                  <c:v>5.393225585065764E-2</c:v>
                </c:pt>
                <c:pt idx="27">
                  <c:v>5.9552236378280554E-2</c:v>
                </c:pt>
                <c:pt idx="28">
                  <c:v>5.5872409225196762E-2</c:v>
                </c:pt>
                <c:pt idx="29">
                  <c:v>6.9311178348989699E-2</c:v>
                </c:pt>
                <c:pt idx="30">
                  <c:v>7.5303783813511771E-2</c:v>
                </c:pt>
                <c:pt idx="31">
                  <c:v>7.8360155354394223E-2</c:v>
                </c:pt>
                <c:pt idx="32">
                  <c:v>7.8565694030212185E-2</c:v>
                </c:pt>
                <c:pt idx="33">
                  <c:v>7.7395616845722159E-2</c:v>
                </c:pt>
                <c:pt idx="34">
                  <c:v>7.6365032721266601E-2</c:v>
                </c:pt>
                <c:pt idx="35">
                  <c:v>6.8615353301117565E-2</c:v>
                </c:pt>
                <c:pt idx="36">
                  <c:v>1.1902174537070209E-2</c:v>
                </c:pt>
                <c:pt idx="37">
                  <c:v>-5.4950663039251779E-2</c:v>
                </c:pt>
                <c:pt idx="38">
                  <c:v>-0.23099333878301387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9-4D63-A5D9-A6D20A682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3311936"/>
        <c:axId val="1903312352"/>
      </c:scatterChart>
      <c:valAx>
        <c:axId val="1903311936"/>
        <c:scaling>
          <c:orientation val="minMax"/>
          <c:max val="0.60000000000000009"/>
          <c:min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</a:t>
                </a:r>
                <a:r>
                  <a:rPr lang="pt-PT" sz="1400" baseline="-25000"/>
                  <a:t>D </a:t>
                </a:r>
                <a:r>
                  <a:rPr lang="pt-PT" sz="1400" baseline="0"/>
                  <a:t>/V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03312352"/>
        <c:crossesAt val="-0.30000000000000004"/>
        <c:crossBetween val="midCat"/>
      </c:valAx>
      <c:valAx>
        <c:axId val="190331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Resíduos de ln(I</a:t>
                </a:r>
                <a:r>
                  <a:rPr lang="pt-PT" sz="1400" baseline="-25000"/>
                  <a:t>D</a:t>
                </a:r>
                <a:r>
                  <a:rPr lang="pt-PT" sz="1400" baseline="0"/>
                  <a:t>)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03311936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Resíduos</a:t>
            </a:r>
            <a:r>
              <a:rPr lang="pt-PT" sz="1600" baseline="0"/>
              <a:t> 2</a:t>
            </a:r>
            <a:endParaRPr lang="pt-PT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'Díodo retificador'!$C$4:$C$15</c:f>
              <c:numCache>
                <c:formatCode>0.00000</c:formatCode>
                <c:ptCount val="12"/>
                <c:pt idx="0">
                  <c:v>0.55518000000000001</c:v>
                </c:pt>
                <c:pt idx="1">
                  <c:v>0.55423</c:v>
                </c:pt>
                <c:pt idx="2">
                  <c:v>0.55200000000000005</c:v>
                </c:pt>
                <c:pt idx="3">
                  <c:v>0.55095000000000005</c:v>
                </c:pt>
                <c:pt idx="4">
                  <c:v>0.54842999999999997</c:v>
                </c:pt>
                <c:pt idx="5">
                  <c:v>0.54742000000000002</c:v>
                </c:pt>
                <c:pt idx="6">
                  <c:v>0.54635999999999996</c:v>
                </c:pt>
                <c:pt idx="7">
                  <c:v>0.54540999999999995</c:v>
                </c:pt>
                <c:pt idx="8">
                  <c:v>0.54440999999999995</c:v>
                </c:pt>
                <c:pt idx="9">
                  <c:v>0.54379</c:v>
                </c:pt>
                <c:pt idx="10">
                  <c:v>0.54262999999999995</c:v>
                </c:pt>
                <c:pt idx="11">
                  <c:v>0.54161000000000004</c:v>
                </c:pt>
              </c:numCache>
            </c:numRef>
          </c:xVal>
          <c:yVal>
            <c:numRef>
              <c:f>'Díodo retificador'!$I$4:$I$15</c:f>
              <c:numCache>
                <c:formatCode>0.00000</c:formatCode>
                <c:ptCount val="12"/>
                <c:pt idx="0">
                  <c:v>-5.4632554663847088E-4</c:v>
                </c:pt>
                <c:pt idx="1">
                  <c:v>2.7009187059245932E-4</c:v>
                </c:pt>
                <c:pt idx="2">
                  <c:v>1.1731392059566303E-5</c:v>
                </c:pt>
                <c:pt idx="3">
                  <c:v>3.769414730152576E-4</c:v>
                </c:pt>
                <c:pt idx="4">
                  <c:v>4.165396149291567E-4</c:v>
                </c:pt>
                <c:pt idx="5">
                  <c:v>-6.3644085515779381E-4</c:v>
                </c:pt>
                <c:pt idx="6">
                  <c:v>3.3490773252253803E-4</c:v>
                </c:pt>
                <c:pt idx="7">
                  <c:v>-1.8227252028690799E-4</c:v>
                </c:pt>
                <c:pt idx="8">
                  <c:v>4.9863191800447737E-5</c:v>
                </c:pt>
                <c:pt idx="9">
                  <c:v>1.646176150691403E-4</c:v>
                </c:pt>
                <c:pt idx="10">
                  <c:v>-1.7370838840680136E-4</c:v>
                </c:pt>
                <c:pt idx="11">
                  <c:v>-8.5945579511914616E-5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0E-4F05-AD55-BD843FB82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4522816"/>
        <c:axId val="171566272"/>
      </c:scatterChart>
      <c:valAx>
        <c:axId val="175452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</a:t>
                </a:r>
                <a:r>
                  <a:rPr lang="pt-PT" sz="1400" baseline="-25000"/>
                  <a:t>D</a:t>
                </a:r>
                <a:r>
                  <a:rPr lang="pt-PT" sz="1400" baseline="0"/>
                  <a:t> /v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1566272"/>
        <c:crossesAt val="-1.0000000000000002E-3"/>
        <c:crossBetween val="midCat"/>
      </c:valAx>
      <c:valAx>
        <c:axId val="171566272"/>
        <c:scaling>
          <c:orientation val="minMax"/>
          <c:max val="6.0000000000000016E-4"/>
          <c:min val="-1.0000000000000002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Resíduos de ln(I</a:t>
                </a:r>
                <a:r>
                  <a:rPr lang="pt-PT" sz="1400" baseline="-25000"/>
                  <a:t>D</a:t>
                </a:r>
                <a:r>
                  <a:rPr lang="pt-PT" sz="1400" baseline="0"/>
                  <a:t>)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54522816"/>
        <c:crosses val="autoZero"/>
        <c:crossBetween val="midCat"/>
        <c:majorUnit val="4.0000000000000013E-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 b="0" i="0" u="none" strike="noStrike" baseline="0">
                <a:effectLst/>
              </a:rPr>
              <a:t>Díodo retificador - ajuste 2</a:t>
            </a:r>
            <a:endParaRPr lang="pt-PT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accent6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0"/>
          </c:trendline>
          <c:xVal>
            <c:numRef>
              <c:f>'Díodo retificador'!$C$4:$C$15</c:f>
              <c:numCache>
                <c:formatCode>0.00000</c:formatCode>
                <c:ptCount val="12"/>
                <c:pt idx="0">
                  <c:v>0.55518000000000001</c:v>
                </c:pt>
                <c:pt idx="1">
                  <c:v>0.55423</c:v>
                </c:pt>
                <c:pt idx="2">
                  <c:v>0.55200000000000005</c:v>
                </c:pt>
                <c:pt idx="3">
                  <c:v>0.55095000000000005</c:v>
                </c:pt>
                <c:pt idx="4">
                  <c:v>0.54842999999999997</c:v>
                </c:pt>
                <c:pt idx="5">
                  <c:v>0.54742000000000002</c:v>
                </c:pt>
                <c:pt idx="6">
                  <c:v>0.54635999999999996</c:v>
                </c:pt>
                <c:pt idx="7">
                  <c:v>0.54540999999999995</c:v>
                </c:pt>
                <c:pt idx="8">
                  <c:v>0.54440999999999995</c:v>
                </c:pt>
                <c:pt idx="9">
                  <c:v>0.54379</c:v>
                </c:pt>
                <c:pt idx="10">
                  <c:v>0.54262999999999995</c:v>
                </c:pt>
                <c:pt idx="11">
                  <c:v>0.54161000000000004</c:v>
                </c:pt>
              </c:numCache>
            </c:numRef>
          </c:xVal>
          <c:yVal>
            <c:numRef>
              <c:f>'Díodo retificador'!$D$4:$D$15</c:f>
              <c:numCache>
                <c:formatCode>0.000</c:formatCode>
                <c:ptCount val="12"/>
                <c:pt idx="0">
                  <c:v>-6.9350237061363309</c:v>
                </c:pt>
                <c:pt idx="1">
                  <c:v>-6.9540086634995992</c:v>
                </c:pt>
                <c:pt idx="2">
                  <c:v>-7.0007481458313014</c:v>
                </c:pt>
                <c:pt idx="3">
                  <c:v>-7.0222686657708975</c:v>
                </c:pt>
                <c:pt idx="4">
                  <c:v>-7.074754819678307</c:v>
                </c:pt>
                <c:pt idx="5">
                  <c:v>-7.0968597880729236</c:v>
                </c:pt>
                <c:pt idx="6">
                  <c:v>-7.1179826050298001</c:v>
                </c:pt>
                <c:pt idx="7">
                  <c:v>-7.1383011600631088</c:v>
                </c:pt>
                <c:pt idx="8">
                  <c:v>-7.158912576751546</c:v>
                </c:pt>
                <c:pt idx="9">
                  <c:v>-7.1717208248166022</c:v>
                </c:pt>
                <c:pt idx="10">
                  <c:v>-7.1962376716046874</c:v>
                </c:pt>
                <c:pt idx="11">
                  <c:v>-7.2174103322443255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A5-4258-84D2-0B3CF1615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087008"/>
        <c:axId val="182088256"/>
      </c:scatterChart>
      <c:valAx>
        <c:axId val="182087008"/>
        <c:scaling>
          <c:orientation val="minMax"/>
          <c:max val="0.55600000000000005"/>
          <c:min val="0.5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</a:t>
                </a:r>
                <a:r>
                  <a:rPr lang="pt-PT" sz="1400" baseline="-25000"/>
                  <a:t>D</a:t>
                </a:r>
                <a:r>
                  <a:rPr lang="pt-PT" sz="1400" baseline="0"/>
                  <a:t> /V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2088256"/>
        <c:crossesAt val="-7.25"/>
        <c:crossBetween val="midCat"/>
        <c:majorUnit val="4.000000000000001E-3"/>
      </c:valAx>
      <c:valAx>
        <c:axId val="18208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ln(I</a:t>
                </a:r>
                <a:r>
                  <a:rPr lang="pt-PT" sz="1400" baseline="-25000"/>
                  <a:t>D</a:t>
                </a:r>
                <a:r>
                  <a:rPr lang="pt-PT" sz="1400" baseline="0"/>
                  <a:t>)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2087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Sentido inverso (díodo retificador)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'Díodo retificador'!$AC$4:$AC$29</c:f>
              <c:numCache>
                <c:formatCode>0.000</c:formatCode>
                <c:ptCount val="26"/>
                <c:pt idx="0">
                  <c:v>-15.071</c:v>
                </c:pt>
                <c:pt idx="1">
                  <c:v>-14.922000000000001</c:v>
                </c:pt>
                <c:pt idx="2">
                  <c:v>-14.618</c:v>
                </c:pt>
                <c:pt idx="3">
                  <c:v>-14.407999999999999</c:v>
                </c:pt>
                <c:pt idx="4">
                  <c:v>-14.119</c:v>
                </c:pt>
                <c:pt idx="5">
                  <c:v>-13.773</c:v>
                </c:pt>
                <c:pt idx="6">
                  <c:v>-13.336</c:v>
                </c:pt>
                <c:pt idx="7">
                  <c:v>-12.659000000000001</c:v>
                </c:pt>
                <c:pt idx="8">
                  <c:v>-12.507999999999999</c:v>
                </c:pt>
                <c:pt idx="9">
                  <c:v>-12.073</c:v>
                </c:pt>
                <c:pt idx="10">
                  <c:v>-11.1</c:v>
                </c:pt>
                <c:pt idx="11">
                  <c:v>-10.51</c:v>
                </c:pt>
                <c:pt idx="12">
                  <c:v>-9.641</c:v>
                </c:pt>
                <c:pt idx="13">
                  <c:v>-8.984</c:v>
                </c:pt>
                <c:pt idx="14">
                  <c:v>-8.1449999999999996</c:v>
                </c:pt>
                <c:pt idx="15">
                  <c:v>-6.7320000000000002</c:v>
                </c:pt>
                <c:pt idx="16">
                  <c:v>-5.7640000000000002</c:v>
                </c:pt>
                <c:pt idx="17">
                  <c:v>-4.4420000000000002</c:v>
                </c:pt>
                <c:pt idx="18">
                  <c:v>-3.8730000000000002</c:v>
                </c:pt>
                <c:pt idx="19">
                  <c:v>-3.1030000000000002</c:v>
                </c:pt>
                <c:pt idx="20">
                  <c:v>-2.681</c:v>
                </c:pt>
                <c:pt idx="21">
                  <c:v>-1.8859999999999999</c:v>
                </c:pt>
                <c:pt idx="22">
                  <c:v>-1.123</c:v>
                </c:pt>
                <c:pt idx="23">
                  <c:v>-0.73799999999999999</c:v>
                </c:pt>
                <c:pt idx="24">
                  <c:v>-0.25700000000000001</c:v>
                </c:pt>
                <c:pt idx="25">
                  <c:v>-0.13300000000000001</c:v>
                </c:pt>
              </c:numCache>
            </c:numRef>
          </c:xVal>
          <c:yVal>
            <c:numRef>
              <c:f>'Díodo retificador'!$AB$4:$AB$29</c:f>
              <c:numCache>
                <c:formatCode>0E+00</c:formatCode>
                <c:ptCount val="26"/>
                <c:pt idx="0">
                  <c:v>-8.0000000000000005E-9</c:v>
                </c:pt>
                <c:pt idx="1">
                  <c:v>-8.0000000000000005E-9</c:v>
                </c:pt>
                <c:pt idx="2">
                  <c:v>-8.0000000000000005E-9</c:v>
                </c:pt>
                <c:pt idx="3">
                  <c:v>-8.0000000000000005E-9</c:v>
                </c:pt>
                <c:pt idx="4">
                  <c:v>-8.0000000000000005E-9</c:v>
                </c:pt>
                <c:pt idx="5">
                  <c:v>-8.0000000000000005E-9</c:v>
                </c:pt>
                <c:pt idx="6">
                  <c:v>-8.0000000000000005E-9</c:v>
                </c:pt>
                <c:pt idx="7">
                  <c:v>-8.0000000000000005E-9</c:v>
                </c:pt>
                <c:pt idx="8">
                  <c:v>-6.9999999999999998E-9</c:v>
                </c:pt>
                <c:pt idx="9">
                  <c:v>-6.9999999999999998E-9</c:v>
                </c:pt>
                <c:pt idx="10">
                  <c:v>-6.9999999999999998E-9</c:v>
                </c:pt>
                <c:pt idx="11">
                  <c:v>-6.9999999999999998E-9</c:v>
                </c:pt>
                <c:pt idx="12">
                  <c:v>-6.9999999999999998E-9</c:v>
                </c:pt>
                <c:pt idx="13">
                  <c:v>-6.9999999999999998E-9</c:v>
                </c:pt>
                <c:pt idx="14">
                  <c:v>-6.9999999999999998E-9</c:v>
                </c:pt>
                <c:pt idx="15">
                  <c:v>-6.9999999999999998E-9</c:v>
                </c:pt>
                <c:pt idx="16">
                  <c:v>-6.9999999999999998E-9</c:v>
                </c:pt>
                <c:pt idx="17">
                  <c:v>-6E-9</c:v>
                </c:pt>
                <c:pt idx="18">
                  <c:v>-6E-9</c:v>
                </c:pt>
                <c:pt idx="19">
                  <c:v>-6E-9</c:v>
                </c:pt>
                <c:pt idx="20">
                  <c:v>-6E-9</c:v>
                </c:pt>
                <c:pt idx="21">
                  <c:v>-6E-9</c:v>
                </c:pt>
                <c:pt idx="22">
                  <c:v>-6E-9</c:v>
                </c:pt>
                <c:pt idx="23">
                  <c:v>-5.0000000000000001E-9</c:v>
                </c:pt>
                <c:pt idx="24">
                  <c:v>-5.0000000000000001E-9</c:v>
                </c:pt>
                <c:pt idx="25">
                  <c:v>-5.0000000000000001E-9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E8-4B2E-ACF2-B113EFDA8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561280"/>
        <c:axId val="171562112"/>
      </c:scatterChart>
      <c:valAx>
        <c:axId val="171561280"/>
        <c:scaling>
          <c:orientation val="minMax"/>
          <c:max val="1"/>
          <c:min val="-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</a:t>
                </a:r>
                <a:r>
                  <a:rPr lang="pt-PT" sz="1400" baseline="-25000"/>
                  <a:t>D </a:t>
                </a:r>
                <a:r>
                  <a:rPr lang="pt-PT" sz="1400" baseline="0"/>
                  <a:t>/V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1562112"/>
        <c:crossesAt val="-8.5000000000000033E-9"/>
        <c:crossBetween val="midCat"/>
      </c:valAx>
      <c:valAx>
        <c:axId val="171562112"/>
        <c:scaling>
          <c:orientation val="minMax"/>
          <c:max val="-4.5000000000000022E-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I</a:t>
                </a:r>
                <a:r>
                  <a:rPr lang="pt-PT" sz="1400" baseline="-25000"/>
                  <a:t>D</a:t>
                </a:r>
                <a:r>
                  <a:rPr lang="pt-PT" sz="1400" baseline="0"/>
                  <a:t> /A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1561280"/>
        <c:crossesAt val="-16"/>
        <c:crossBetween val="midCat"/>
        <c:majorUnit val="1.0000000000000005E-9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Curva característica</a:t>
            </a:r>
            <a:r>
              <a:rPr lang="pt-PT" sz="1600" baseline="0"/>
              <a:t> - díodo retificador</a:t>
            </a:r>
            <a:endParaRPr lang="pt-PT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9897725284339457"/>
          <c:y val="0.18602436931175875"/>
          <c:w val="0.72409317585301836"/>
          <c:h val="0.56897844409973375"/>
        </c:manualLayout>
      </c:layout>
      <c:scatterChart>
        <c:scatterStyle val="lineMarker"/>
        <c:varyColors val="0"/>
        <c:ser>
          <c:idx val="0"/>
          <c:order val="0"/>
          <c:tx>
            <c:v>Retificação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'Díodo retificador'!$AC$4:$AC$29</c:f>
              <c:numCache>
                <c:formatCode>0.000</c:formatCode>
                <c:ptCount val="26"/>
                <c:pt idx="0">
                  <c:v>-15.071</c:v>
                </c:pt>
                <c:pt idx="1">
                  <c:v>-14.922000000000001</c:v>
                </c:pt>
                <c:pt idx="2">
                  <c:v>-14.618</c:v>
                </c:pt>
                <c:pt idx="3">
                  <c:v>-14.407999999999999</c:v>
                </c:pt>
                <c:pt idx="4">
                  <c:v>-14.119</c:v>
                </c:pt>
                <c:pt idx="5">
                  <c:v>-13.773</c:v>
                </c:pt>
                <c:pt idx="6">
                  <c:v>-13.336</c:v>
                </c:pt>
                <c:pt idx="7">
                  <c:v>-12.659000000000001</c:v>
                </c:pt>
                <c:pt idx="8">
                  <c:v>-12.507999999999999</c:v>
                </c:pt>
                <c:pt idx="9">
                  <c:v>-12.073</c:v>
                </c:pt>
                <c:pt idx="10">
                  <c:v>-11.1</c:v>
                </c:pt>
                <c:pt idx="11">
                  <c:v>-10.51</c:v>
                </c:pt>
                <c:pt idx="12">
                  <c:v>-9.641</c:v>
                </c:pt>
                <c:pt idx="13">
                  <c:v>-8.984</c:v>
                </c:pt>
                <c:pt idx="14">
                  <c:v>-8.1449999999999996</c:v>
                </c:pt>
                <c:pt idx="15">
                  <c:v>-6.7320000000000002</c:v>
                </c:pt>
                <c:pt idx="16">
                  <c:v>-5.7640000000000002</c:v>
                </c:pt>
                <c:pt idx="17">
                  <c:v>-4.4420000000000002</c:v>
                </c:pt>
                <c:pt idx="18">
                  <c:v>-3.8730000000000002</c:v>
                </c:pt>
                <c:pt idx="19">
                  <c:v>-3.1030000000000002</c:v>
                </c:pt>
                <c:pt idx="20">
                  <c:v>-2.681</c:v>
                </c:pt>
                <c:pt idx="21">
                  <c:v>-1.8859999999999999</c:v>
                </c:pt>
                <c:pt idx="22">
                  <c:v>-1.123</c:v>
                </c:pt>
                <c:pt idx="23">
                  <c:v>-0.73799999999999999</c:v>
                </c:pt>
                <c:pt idx="24">
                  <c:v>-0.25700000000000001</c:v>
                </c:pt>
                <c:pt idx="25">
                  <c:v>-0.13300000000000001</c:v>
                </c:pt>
              </c:numCache>
            </c:numRef>
          </c:xVal>
          <c:yVal>
            <c:numRef>
              <c:f>'Díodo retificador'!$AB$4:$AB$29</c:f>
              <c:numCache>
                <c:formatCode>0E+00</c:formatCode>
                <c:ptCount val="26"/>
                <c:pt idx="0">
                  <c:v>-8.0000000000000005E-9</c:v>
                </c:pt>
                <c:pt idx="1">
                  <c:v>-8.0000000000000005E-9</c:v>
                </c:pt>
                <c:pt idx="2">
                  <c:v>-8.0000000000000005E-9</c:v>
                </c:pt>
                <c:pt idx="3">
                  <c:v>-8.0000000000000005E-9</c:v>
                </c:pt>
                <c:pt idx="4">
                  <c:v>-8.0000000000000005E-9</c:v>
                </c:pt>
                <c:pt idx="5">
                  <c:v>-8.0000000000000005E-9</c:v>
                </c:pt>
                <c:pt idx="6">
                  <c:v>-8.0000000000000005E-9</c:v>
                </c:pt>
                <c:pt idx="7">
                  <c:v>-8.0000000000000005E-9</c:v>
                </c:pt>
                <c:pt idx="8">
                  <c:v>-6.9999999999999998E-9</c:v>
                </c:pt>
                <c:pt idx="9">
                  <c:v>-6.9999999999999998E-9</c:v>
                </c:pt>
                <c:pt idx="10">
                  <c:v>-6.9999999999999998E-9</c:v>
                </c:pt>
                <c:pt idx="11">
                  <c:v>-6.9999999999999998E-9</c:v>
                </c:pt>
                <c:pt idx="12">
                  <c:v>-6.9999999999999998E-9</c:v>
                </c:pt>
                <c:pt idx="13">
                  <c:v>-6.9999999999999998E-9</c:v>
                </c:pt>
                <c:pt idx="14">
                  <c:v>-6.9999999999999998E-9</c:v>
                </c:pt>
                <c:pt idx="15">
                  <c:v>-6.9999999999999998E-9</c:v>
                </c:pt>
                <c:pt idx="16">
                  <c:v>-6.9999999999999998E-9</c:v>
                </c:pt>
                <c:pt idx="17">
                  <c:v>-6E-9</c:v>
                </c:pt>
                <c:pt idx="18">
                  <c:v>-6E-9</c:v>
                </c:pt>
                <c:pt idx="19">
                  <c:v>-6E-9</c:v>
                </c:pt>
                <c:pt idx="20">
                  <c:v>-6E-9</c:v>
                </c:pt>
                <c:pt idx="21">
                  <c:v>-6E-9</c:v>
                </c:pt>
                <c:pt idx="22">
                  <c:v>-6E-9</c:v>
                </c:pt>
                <c:pt idx="23">
                  <c:v>-5.0000000000000001E-9</c:v>
                </c:pt>
                <c:pt idx="24">
                  <c:v>-5.0000000000000001E-9</c:v>
                </c:pt>
                <c:pt idx="25">
                  <c:v>-5.0000000000000001E-9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1E-4082-AF9A-95369BC90D69}"/>
            </c:ext>
          </c:extLst>
        </c:ser>
        <c:ser>
          <c:idx val="1"/>
          <c:order val="1"/>
          <c:tx>
            <c:v>Zona de boa condução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'Díodo retificador'!$C$4:$C$42</c:f>
              <c:numCache>
                <c:formatCode>0.00000</c:formatCode>
                <c:ptCount val="39"/>
                <c:pt idx="0">
                  <c:v>0.55518000000000001</c:v>
                </c:pt>
                <c:pt idx="1">
                  <c:v>0.55423</c:v>
                </c:pt>
                <c:pt idx="2">
                  <c:v>0.55200000000000005</c:v>
                </c:pt>
                <c:pt idx="3">
                  <c:v>0.55095000000000005</c:v>
                </c:pt>
                <c:pt idx="4">
                  <c:v>0.54842999999999997</c:v>
                </c:pt>
                <c:pt idx="5">
                  <c:v>0.54742000000000002</c:v>
                </c:pt>
                <c:pt idx="6">
                  <c:v>0.54635999999999996</c:v>
                </c:pt>
                <c:pt idx="7">
                  <c:v>0.54540999999999995</c:v>
                </c:pt>
                <c:pt idx="8">
                  <c:v>0.54440999999999995</c:v>
                </c:pt>
                <c:pt idx="9">
                  <c:v>0.54379</c:v>
                </c:pt>
                <c:pt idx="10">
                  <c:v>0.54262999999999995</c:v>
                </c:pt>
                <c:pt idx="11">
                  <c:v>0.54161000000000004</c:v>
                </c:pt>
                <c:pt idx="12">
                  <c:v>0.53991999999999996</c:v>
                </c:pt>
                <c:pt idx="13">
                  <c:v>0.53788999999999998</c:v>
                </c:pt>
                <c:pt idx="14">
                  <c:v>0.53481999999999996</c:v>
                </c:pt>
                <c:pt idx="15">
                  <c:v>0.53237999999999996</c:v>
                </c:pt>
                <c:pt idx="16">
                  <c:v>0.53037000000000001</c:v>
                </c:pt>
                <c:pt idx="17">
                  <c:v>0.52824000000000004</c:v>
                </c:pt>
                <c:pt idx="18">
                  <c:v>0.52653000000000005</c:v>
                </c:pt>
                <c:pt idx="19">
                  <c:v>0.52293999999999996</c:v>
                </c:pt>
                <c:pt idx="20">
                  <c:v>0.51832</c:v>
                </c:pt>
                <c:pt idx="21">
                  <c:v>0.51473999999999998</c:v>
                </c:pt>
                <c:pt idx="22">
                  <c:v>0.51222999999999996</c:v>
                </c:pt>
                <c:pt idx="23">
                  <c:v>0.51076999999999995</c:v>
                </c:pt>
                <c:pt idx="24">
                  <c:v>0.50766</c:v>
                </c:pt>
                <c:pt idx="25">
                  <c:v>0.50517000000000001</c:v>
                </c:pt>
                <c:pt idx="26">
                  <c:v>0.50288999999999995</c:v>
                </c:pt>
                <c:pt idx="27">
                  <c:v>0.49907000000000001</c:v>
                </c:pt>
                <c:pt idx="28">
                  <c:v>0.49640000000000001</c:v>
                </c:pt>
                <c:pt idx="29">
                  <c:v>0.49010999999999999</c:v>
                </c:pt>
                <c:pt idx="30">
                  <c:v>0.48497000000000001</c:v>
                </c:pt>
                <c:pt idx="31">
                  <c:v>0.47928999999999999</c:v>
                </c:pt>
                <c:pt idx="32">
                  <c:v>0.47417999999999999</c:v>
                </c:pt>
                <c:pt idx="33">
                  <c:v>0.46888999999999997</c:v>
                </c:pt>
                <c:pt idx="34">
                  <c:v>0.46245000000000003</c:v>
                </c:pt>
                <c:pt idx="35">
                  <c:v>0.45300000000000001</c:v>
                </c:pt>
                <c:pt idx="36">
                  <c:v>0.42610999999999999</c:v>
                </c:pt>
                <c:pt idx="37">
                  <c:v>0.40511000000000003</c:v>
                </c:pt>
                <c:pt idx="38">
                  <c:v>0.3332</c:v>
                </c:pt>
              </c:numCache>
            </c:numRef>
          </c:xVal>
          <c:yVal>
            <c:numRef>
              <c:f>'Díodo retificador'!$B$4:$B$42</c:f>
              <c:numCache>
                <c:formatCode>0.000E+00</c:formatCode>
                <c:ptCount val="39"/>
                <c:pt idx="0">
                  <c:v>9.7309999999999996E-4</c:v>
                </c:pt>
                <c:pt idx="1">
                  <c:v>9.5480000000000001E-4</c:v>
                </c:pt>
                <c:pt idx="2">
                  <c:v>9.1120000000000003E-4</c:v>
                </c:pt>
                <c:pt idx="3">
                  <c:v>8.918000000000001E-4</c:v>
                </c:pt>
                <c:pt idx="4">
                  <c:v>8.4619999999999997E-4</c:v>
                </c:pt>
                <c:pt idx="5">
                  <c:v>8.2770000000000001E-4</c:v>
                </c:pt>
                <c:pt idx="6">
                  <c:v>8.1040000000000007E-4</c:v>
                </c:pt>
                <c:pt idx="7">
                  <c:v>7.9410000000000006E-4</c:v>
                </c:pt>
                <c:pt idx="8">
                  <c:v>7.779000000000001E-4</c:v>
                </c:pt>
                <c:pt idx="9">
                  <c:v>7.6800000000000002E-4</c:v>
                </c:pt>
                <c:pt idx="10">
                  <c:v>7.494E-4</c:v>
                </c:pt>
                <c:pt idx="11">
                  <c:v>7.337E-4</c:v>
                </c:pt>
                <c:pt idx="12">
                  <c:v>7.0799999999999997E-4</c:v>
                </c:pt>
                <c:pt idx="13">
                  <c:v>6.7860000000000001E-4</c:v>
                </c:pt>
                <c:pt idx="14">
                  <c:v>6.3600000000000006E-4</c:v>
                </c:pt>
                <c:pt idx="15">
                  <c:v>6.0389999999999999E-4</c:v>
                </c:pt>
                <c:pt idx="16">
                  <c:v>5.7810000000000001E-4</c:v>
                </c:pt>
                <c:pt idx="17">
                  <c:v>5.5189999999999992E-4</c:v>
                </c:pt>
                <c:pt idx="18">
                  <c:v>5.3249999999999999E-4</c:v>
                </c:pt>
                <c:pt idx="19">
                  <c:v>4.9340000000000007E-4</c:v>
                </c:pt>
                <c:pt idx="20">
                  <c:v>4.4679999999999996E-4</c:v>
                </c:pt>
                <c:pt idx="21">
                  <c:v>4.1389999999999998E-4</c:v>
                </c:pt>
                <c:pt idx="22">
                  <c:v>3.9209999999999999E-4</c:v>
                </c:pt>
                <c:pt idx="23">
                  <c:v>3.792E-4</c:v>
                </c:pt>
                <c:pt idx="24">
                  <c:v>3.5460000000000005E-4</c:v>
                </c:pt>
                <c:pt idx="25">
                  <c:v>3.3550000000000002E-4</c:v>
                </c:pt>
                <c:pt idx="26">
                  <c:v>3.1929999999999995E-4</c:v>
                </c:pt>
                <c:pt idx="27">
                  <c:v>2.9330000000000003E-4</c:v>
                </c:pt>
                <c:pt idx="28">
                  <c:v>2.743E-4</c:v>
                </c:pt>
                <c:pt idx="29">
                  <c:v>2.3949999999999999E-4</c:v>
                </c:pt>
                <c:pt idx="30">
                  <c:v>2.1329999999999998E-4</c:v>
                </c:pt>
                <c:pt idx="31">
                  <c:v>1.8699999999999999E-4</c:v>
                </c:pt>
                <c:pt idx="32">
                  <c:v>1.6569999999999999E-4</c:v>
                </c:pt>
                <c:pt idx="33">
                  <c:v>1.46E-4</c:v>
                </c:pt>
                <c:pt idx="34">
                  <c:v>1.2520000000000001E-4</c:v>
                </c:pt>
                <c:pt idx="35" formatCode="0.00E+00">
                  <c:v>9.9300000000000001E-5</c:v>
                </c:pt>
                <c:pt idx="36" formatCode="0.00E+00">
                  <c:v>4.9599999999999999E-5</c:v>
                </c:pt>
                <c:pt idx="37" formatCode="0.00E+00">
                  <c:v>2.8200000000000001E-5</c:v>
                </c:pt>
                <c:pt idx="38" formatCode="0.0E+00">
                  <c:v>4.3000000000000003E-6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1E-4082-AF9A-95369BC90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341408"/>
        <c:axId val="110333920"/>
      </c:scatterChart>
      <c:valAx>
        <c:axId val="110341408"/>
        <c:scaling>
          <c:orientation val="minMax"/>
          <c:max val="1"/>
          <c:min val="-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</a:t>
                </a:r>
                <a:r>
                  <a:rPr lang="pt-PT" sz="1400" baseline="-25000"/>
                  <a:t>D</a:t>
                </a:r>
                <a:r>
                  <a:rPr lang="pt-PT" sz="1400" baseline="0"/>
                  <a:t> /V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0333920"/>
        <c:crossesAt val="-1.0000000000000003E-4"/>
        <c:crossBetween val="midCat"/>
      </c:valAx>
      <c:valAx>
        <c:axId val="110333920"/>
        <c:scaling>
          <c:orientation val="minMax"/>
          <c:max val="1.0000000000000002E-3"/>
          <c:min val="-1.0000000000000003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I</a:t>
                </a:r>
                <a:r>
                  <a:rPr lang="pt-PT" sz="1400" baseline="-25000"/>
                  <a:t>D</a:t>
                </a:r>
                <a:r>
                  <a:rPr lang="pt-PT" sz="1400" baseline="0"/>
                  <a:t> /A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0341408"/>
        <c:crossesAt val="-16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4281408573928259"/>
          <c:y val="0.23833125754762235"/>
          <c:w val="0.30909770519930146"/>
          <c:h val="0.17707616757328584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Sentido direto</a:t>
            </a:r>
            <a:r>
              <a:rPr lang="pt-PT" sz="1600" baseline="0"/>
              <a:t> (díodo retificador)</a:t>
            </a:r>
            <a:endParaRPr lang="pt-PT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24063149538203454"/>
          <c:y val="0.17718801581080004"/>
          <c:w val="0.683137163160629"/>
          <c:h val="0.61068650890974996"/>
        </c:manualLayout>
      </c:layout>
      <c:scatterChart>
        <c:scatterStyle val="lineMarker"/>
        <c:varyColors val="0"/>
        <c:ser>
          <c:idx val="1"/>
          <c:order val="0"/>
          <c:tx>
            <c:v>Ajuste</c:v>
          </c:tx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'Díodo retificador'!$C$4:$C$42</c:f>
              <c:numCache>
                <c:formatCode>0.00000</c:formatCode>
                <c:ptCount val="39"/>
                <c:pt idx="0">
                  <c:v>0.55518000000000001</c:v>
                </c:pt>
                <c:pt idx="1">
                  <c:v>0.55423</c:v>
                </c:pt>
                <c:pt idx="2">
                  <c:v>0.55200000000000005</c:v>
                </c:pt>
                <c:pt idx="3">
                  <c:v>0.55095000000000005</c:v>
                </c:pt>
                <c:pt idx="4">
                  <c:v>0.54842999999999997</c:v>
                </c:pt>
                <c:pt idx="5">
                  <c:v>0.54742000000000002</c:v>
                </c:pt>
                <c:pt idx="6">
                  <c:v>0.54635999999999996</c:v>
                </c:pt>
                <c:pt idx="7">
                  <c:v>0.54540999999999995</c:v>
                </c:pt>
                <c:pt idx="8">
                  <c:v>0.54440999999999995</c:v>
                </c:pt>
                <c:pt idx="9">
                  <c:v>0.54379</c:v>
                </c:pt>
                <c:pt idx="10">
                  <c:v>0.54262999999999995</c:v>
                </c:pt>
                <c:pt idx="11">
                  <c:v>0.54161000000000004</c:v>
                </c:pt>
                <c:pt idx="12">
                  <c:v>0.53991999999999996</c:v>
                </c:pt>
                <c:pt idx="13">
                  <c:v>0.53788999999999998</c:v>
                </c:pt>
                <c:pt idx="14">
                  <c:v>0.53481999999999996</c:v>
                </c:pt>
                <c:pt idx="15">
                  <c:v>0.53237999999999996</c:v>
                </c:pt>
                <c:pt idx="16">
                  <c:v>0.53037000000000001</c:v>
                </c:pt>
                <c:pt idx="17">
                  <c:v>0.52824000000000004</c:v>
                </c:pt>
                <c:pt idx="18">
                  <c:v>0.52653000000000005</c:v>
                </c:pt>
                <c:pt idx="19">
                  <c:v>0.52293999999999996</c:v>
                </c:pt>
                <c:pt idx="20">
                  <c:v>0.51832</c:v>
                </c:pt>
                <c:pt idx="21">
                  <c:v>0.51473999999999998</c:v>
                </c:pt>
                <c:pt idx="22">
                  <c:v>0.51222999999999996</c:v>
                </c:pt>
                <c:pt idx="23">
                  <c:v>0.51076999999999995</c:v>
                </c:pt>
                <c:pt idx="24">
                  <c:v>0.50766</c:v>
                </c:pt>
                <c:pt idx="25">
                  <c:v>0.50517000000000001</c:v>
                </c:pt>
                <c:pt idx="26">
                  <c:v>0.50288999999999995</c:v>
                </c:pt>
                <c:pt idx="27">
                  <c:v>0.49907000000000001</c:v>
                </c:pt>
                <c:pt idx="28">
                  <c:v>0.49640000000000001</c:v>
                </c:pt>
                <c:pt idx="29">
                  <c:v>0.49010999999999999</c:v>
                </c:pt>
                <c:pt idx="30">
                  <c:v>0.48497000000000001</c:v>
                </c:pt>
                <c:pt idx="31">
                  <c:v>0.47928999999999999</c:v>
                </c:pt>
                <c:pt idx="32">
                  <c:v>0.47417999999999999</c:v>
                </c:pt>
                <c:pt idx="33">
                  <c:v>0.46888999999999997</c:v>
                </c:pt>
                <c:pt idx="34">
                  <c:v>0.46245000000000003</c:v>
                </c:pt>
                <c:pt idx="35">
                  <c:v>0.45300000000000001</c:v>
                </c:pt>
                <c:pt idx="36">
                  <c:v>0.42610999999999999</c:v>
                </c:pt>
                <c:pt idx="37">
                  <c:v>0.40511000000000003</c:v>
                </c:pt>
                <c:pt idx="38">
                  <c:v>0.3332</c:v>
                </c:pt>
              </c:numCache>
            </c:numRef>
          </c:xVal>
          <c:yVal>
            <c:numRef>
              <c:f>'Díodo retificador'!$J$4:$J$42</c:f>
              <c:numCache>
                <c:formatCode>0.000E+00</c:formatCode>
                <c:ptCount val="39"/>
                <c:pt idx="0">
                  <c:v>9.7362259612584167E-4</c:v>
                </c:pt>
                <c:pt idx="1">
                  <c:v>9.5453297259357253E-4</c:v>
                </c:pt>
                <c:pt idx="2">
                  <c:v>9.1118013190685744E-4</c:v>
                </c:pt>
                <c:pt idx="3">
                  <c:v>8.9145472843065246E-4</c:v>
                </c:pt>
                <c:pt idx="4">
                  <c:v>8.4583841906632831E-4</c:v>
                </c:pt>
                <c:pt idx="5">
                  <c:v>8.2821777125280805E-4</c:v>
                </c:pt>
                <c:pt idx="6">
                  <c:v>8.1011945770561504E-4</c:v>
                </c:pt>
                <c:pt idx="7">
                  <c:v>7.942355772890613E-4</c:v>
                </c:pt>
                <c:pt idx="8">
                  <c:v>7.7785203387874453E-4</c:v>
                </c:pt>
                <c:pt idx="9">
                  <c:v>7.6786440556565598E-4</c:v>
                </c:pt>
                <c:pt idx="10">
                  <c:v>7.4952100986195192E-4</c:v>
                </c:pt>
                <c:pt idx="11">
                  <c:v>7.3375388247015529E-4</c:v>
                </c:pt>
                <c:pt idx="12">
                  <c:v>7.0835657955933275E-4</c:v>
                </c:pt>
                <c:pt idx="13">
                  <c:v>6.7900917429916706E-4</c:v>
                </c:pt>
                <c:pt idx="14">
                  <c:v>6.369199877961718E-4</c:v>
                </c:pt>
                <c:pt idx="15">
                  <c:v>6.0533681377545159E-4</c:v>
                </c:pt>
                <c:pt idx="16">
                  <c:v>5.8049943685729735E-4</c:v>
                </c:pt>
                <c:pt idx="17">
                  <c:v>5.5529047023751804E-4</c:v>
                </c:pt>
                <c:pt idx="18">
                  <c:v>5.3584678550042846E-4</c:v>
                </c:pt>
                <c:pt idx="19">
                  <c:v>4.9721304103025931E-4</c:v>
                </c:pt>
                <c:pt idx="20">
                  <c:v>4.5156508265498086E-4</c:v>
                </c:pt>
                <c:pt idx="21">
                  <c:v>4.1909516479793558E-4</c:v>
                </c:pt>
                <c:pt idx="22">
                  <c:v>3.9773244279576146E-4</c:v>
                </c:pt>
                <c:pt idx="23">
                  <c:v>3.8581085073666237E-4</c:v>
                </c:pt>
                <c:pt idx="24">
                  <c:v>3.615940537672042E-4</c:v>
                </c:pt>
                <c:pt idx="25">
                  <c:v>3.4330538505062612E-4</c:v>
                </c:pt>
                <c:pt idx="26">
                  <c:v>3.2737155699276974E-4</c:v>
                </c:pt>
                <c:pt idx="27">
                  <c:v>3.0231547517847252E-4</c:v>
                </c:pt>
                <c:pt idx="28">
                  <c:v>2.8595002834334681E-4</c:v>
                </c:pt>
                <c:pt idx="29">
                  <c:v>2.508127458563811E-4</c:v>
                </c:pt>
                <c:pt idx="30">
                  <c:v>2.253301433509095E-4</c:v>
                </c:pt>
                <c:pt idx="31">
                  <c:v>2.0017062609457517E-4</c:v>
                </c:pt>
                <c:pt idx="32">
                  <c:v>1.799455719446475E-4</c:v>
                </c:pt>
                <c:pt idx="33">
                  <c:v>1.6115813516144706E-4</c:v>
                </c:pt>
                <c:pt idx="34">
                  <c:v>1.4091338763710454E-4</c:v>
                </c:pt>
                <c:pt idx="35">
                  <c:v>1.1571840289910165E-4</c:v>
                </c:pt>
                <c:pt idx="36">
                  <c:v>6.6063535897972869E-5</c:v>
                </c:pt>
                <c:pt idx="37">
                  <c:v>4.2641418366310813E-5</c:v>
                </c:pt>
                <c:pt idx="38">
                  <c:v>9.5183125493339339E-6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08-4FF3-90F7-431C4A4964A0}"/>
            </c:ext>
          </c:extLst>
        </c:ser>
        <c:ser>
          <c:idx val="0"/>
          <c:order val="1"/>
          <c:tx>
            <c:v>Dados experimentais</c:v>
          </c:tx>
          <c:spPr>
            <a:ln w="15875" cap="rnd">
              <a:solidFill>
                <a:schemeClr val="accent6">
                  <a:alpha val="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'Díodo retificador'!$C$4:$C$42</c:f>
              <c:numCache>
                <c:formatCode>0.00000</c:formatCode>
                <c:ptCount val="39"/>
                <c:pt idx="0">
                  <c:v>0.55518000000000001</c:v>
                </c:pt>
                <c:pt idx="1">
                  <c:v>0.55423</c:v>
                </c:pt>
                <c:pt idx="2">
                  <c:v>0.55200000000000005</c:v>
                </c:pt>
                <c:pt idx="3">
                  <c:v>0.55095000000000005</c:v>
                </c:pt>
                <c:pt idx="4">
                  <c:v>0.54842999999999997</c:v>
                </c:pt>
                <c:pt idx="5">
                  <c:v>0.54742000000000002</c:v>
                </c:pt>
                <c:pt idx="6">
                  <c:v>0.54635999999999996</c:v>
                </c:pt>
                <c:pt idx="7">
                  <c:v>0.54540999999999995</c:v>
                </c:pt>
                <c:pt idx="8">
                  <c:v>0.54440999999999995</c:v>
                </c:pt>
                <c:pt idx="9">
                  <c:v>0.54379</c:v>
                </c:pt>
                <c:pt idx="10">
                  <c:v>0.54262999999999995</c:v>
                </c:pt>
                <c:pt idx="11">
                  <c:v>0.54161000000000004</c:v>
                </c:pt>
                <c:pt idx="12">
                  <c:v>0.53991999999999996</c:v>
                </c:pt>
                <c:pt idx="13">
                  <c:v>0.53788999999999998</c:v>
                </c:pt>
                <c:pt idx="14">
                  <c:v>0.53481999999999996</c:v>
                </c:pt>
                <c:pt idx="15">
                  <c:v>0.53237999999999996</c:v>
                </c:pt>
                <c:pt idx="16">
                  <c:v>0.53037000000000001</c:v>
                </c:pt>
                <c:pt idx="17">
                  <c:v>0.52824000000000004</c:v>
                </c:pt>
                <c:pt idx="18">
                  <c:v>0.52653000000000005</c:v>
                </c:pt>
                <c:pt idx="19">
                  <c:v>0.52293999999999996</c:v>
                </c:pt>
                <c:pt idx="20">
                  <c:v>0.51832</c:v>
                </c:pt>
                <c:pt idx="21">
                  <c:v>0.51473999999999998</c:v>
                </c:pt>
                <c:pt idx="22">
                  <c:v>0.51222999999999996</c:v>
                </c:pt>
                <c:pt idx="23">
                  <c:v>0.51076999999999995</c:v>
                </c:pt>
                <c:pt idx="24">
                  <c:v>0.50766</c:v>
                </c:pt>
                <c:pt idx="25">
                  <c:v>0.50517000000000001</c:v>
                </c:pt>
                <c:pt idx="26">
                  <c:v>0.50288999999999995</c:v>
                </c:pt>
                <c:pt idx="27">
                  <c:v>0.49907000000000001</c:v>
                </c:pt>
                <c:pt idx="28">
                  <c:v>0.49640000000000001</c:v>
                </c:pt>
                <c:pt idx="29">
                  <c:v>0.49010999999999999</c:v>
                </c:pt>
                <c:pt idx="30">
                  <c:v>0.48497000000000001</c:v>
                </c:pt>
                <c:pt idx="31">
                  <c:v>0.47928999999999999</c:v>
                </c:pt>
                <c:pt idx="32">
                  <c:v>0.47417999999999999</c:v>
                </c:pt>
                <c:pt idx="33">
                  <c:v>0.46888999999999997</c:v>
                </c:pt>
                <c:pt idx="34">
                  <c:v>0.46245000000000003</c:v>
                </c:pt>
                <c:pt idx="35">
                  <c:v>0.45300000000000001</c:v>
                </c:pt>
                <c:pt idx="36">
                  <c:v>0.42610999999999999</c:v>
                </c:pt>
                <c:pt idx="37">
                  <c:v>0.40511000000000003</c:v>
                </c:pt>
                <c:pt idx="38">
                  <c:v>0.3332</c:v>
                </c:pt>
              </c:numCache>
            </c:numRef>
          </c:xVal>
          <c:yVal>
            <c:numRef>
              <c:f>'Díodo retificador'!$B$4:$B$42</c:f>
              <c:numCache>
                <c:formatCode>0.000E+00</c:formatCode>
                <c:ptCount val="39"/>
                <c:pt idx="0">
                  <c:v>9.7309999999999996E-4</c:v>
                </c:pt>
                <c:pt idx="1">
                  <c:v>9.5480000000000001E-4</c:v>
                </c:pt>
                <c:pt idx="2">
                  <c:v>9.1120000000000003E-4</c:v>
                </c:pt>
                <c:pt idx="3">
                  <c:v>8.918000000000001E-4</c:v>
                </c:pt>
                <c:pt idx="4">
                  <c:v>8.4619999999999997E-4</c:v>
                </c:pt>
                <c:pt idx="5">
                  <c:v>8.2770000000000001E-4</c:v>
                </c:pt>
                <c:pt idx="6">
                  <c:v>8.1040000000000007E-4</c:v>
                </c:pt>
                <c:pt idx="7">
                  <c:v>7.9410000000000006E-4</c:v>
                </c:pt>
                <c:pt idx="8">
                  <c:v>7.779000000000001E-4</c:v>
                </c:pt>
                <c:pt idx="9">
                  <c:v>7.6800000000000002E-4</c:v>
                </c:pt>
                <c:pt idx="10">
                  <c:v>7.494E-4</c:v>
                </c:pt>
                <c:pt idx="11">
                  <c:v>7.337E-4</c:v>
                </c:pt>
                <c:pt idx="12">
                  <c:v>7.0799999999999997E-4</c:v>
                </c:pt>
                <c:pt idx="13">
                  <c:v>6.7860000000000001E-4</c:v>
                </c:pt>
                <c:pt idx="14">
                  <c:v>6.3600000000000006E-4</c:v>
                </c:pt>
                <c:pt idx="15">
                  <c:v>6.0389999999999999E-4</c:v>
                </c:pt>
                <c:pt idx="16">
                  <c:v>5.7810000000000001E-4</c:v>
                </c:pt>
                <c:pt idx="17">
                  <c:v>5.5189999999999992E-4</c:v>
                </c:pt>
                <c:pt idx="18">
                  <c:v>5.3249999999999999E-4</c:v>
                </c:pt>
                <c:pt idx="19">
                  <c:v>4.9340000000000007E-4</c:v>
                </c:pt>
                <c:pt idx="20">
                  <c:v>4.4679999999999996E-4</c:v>
                </c:pt>
                <c:pt idx="21">
                  <c:v>4.1389999999999998E-4</c:v>
                </c:pt>
                <c:pt idx="22">
                  <c:v>3.9209999999999999E-4</c:v>
                </c:pt>
                <c:pt idx="23">
                  <c:v>3.792E-4</c:v>
                </c:pt>
                <c:pt idx="24">
                  <c:v>3.5460000000000005E-4</c:v>
                </c:pt>
                <c:pt idx="25">
                  <c:v>3.3550000000000002E-4</c:v>
                </c:pt>
                <c:pt idx="26">
                  <c:v>3.1929999999999995E-4</c:v>
                </c:pt>
                <c:pt idx="27">
                  <c:v>2.9330000000000003E-4</c:v>
                </c:pt>
                <c:pt idx="28">
                  <c:v>2.743E-4</c:v>
                </c:pt>
                <c:pt idx="29">
                  <c:v>2.3949999999999999E-4</c:v>
                </c:pt>
                <c:pt idx="30">
                  <c:v>2.1329999999999998E-4</c:v>
                </c:pt>
                <c:pt idx="31">
                  <c:v>1.8699999999999999E-4</c:v>
                </c:pt>
                <c:pt idx="32">
                  <c:v>1.6569999999999999E-4</c:v>
                </c:pt>
                <c:pt idx="33">
                  <c:v>1.46E-4</c:v>
                </c:pt>
                <c:pt idx="34">
                  <c:v>1.2520000000000001E-4</c:v>
                </c:pt>
                <c:pt idx="35" formatCode="0.00E+00">
                  <c:v>9.9300000000000001E-5</c:v>
                </c:pt>
                <c:pt idx="36" formatCode="0.00E+00">
                  <c:v>4.9599999999999999E-5</c:v>
                </c:pt>
                <c:pt idx="37" formatCode="0.00E+00">
                  <c:v>2.8200000000000001E-5</c:v>
                </c:pt>
                <c:pt idx="38" formatCode="0.0E+00">
                  <c:v>4.3000000000000003E-6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08-4FF3-90F7-431C4A496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6998640"/>
        <c:axId val="2056999472"/>
      </c:scatterChart>
      <c:valAx>
        <c:axId val="2056998640"/>
        <c:scaling>
          <c:orientation val="minMax"/>
          <c:max val="0.60000000000000009"/>
          <c:min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</a:t>
                </a:r>
                <a:r>
                  <a:rPr lang="pt-PT" sz="1400" baseline="-25000"/>
                  <a:t>D</a:t>
                </a:r>
                <a:r>
                  <a:rPr lang="pt-PT" sz="1400" baseline="0"/>
                  <a:t> /V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56999472"/>
        <c:crosses val="autoZero"/>
        <c:crossBetween val="midCat"/>
      </c:valAx>
      <c:valAx>
        <c:axId val="2056999472"/>
        <c:scaling>
          <c:orientation val="minMax"/>
          <c:max val="1.1000000000000003E-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I</a:t>
                </a:r>
                <a:r>
                  <a:rPr lang="pt-PT" sz="1400" baseline="-25000"/>
                  <a:t>D</a:t>
                </a:r>
                <a:r>
                  <a:rPr lang="pt-PT" sz="1400" baseline="0"/>
                  <a:t> /A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56998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038522143394638"/>
          <c:y val="0.23877190568360621"/>
          <c:w val="0.37490520816701955"/>
          <c:h val="0.17696569440282475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Sentido </a:t>
            </a:r>
            <a:r>
              <a:rPr lang="pt-PT" sz="1600" baseline="0"/>
              <a:t>direto (díodo Zener)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'Díodo Zener'!$C$4:$C$47</c:f>
              <c:numCache>
                <c:formatCode>0.0000</c:formatCode>
                <c:ptCount val="44"/>
                <c:pt idx="0">
                  <c:v>0.74841999999999997</c:v>
                </c:pt>
                <c:pt idx="1">
                  <c:v>0.74787999999999999</c:v>
                </c:pt>
                <c:pt idx="2">
                  <c:v>0.74751000000000001</c:v>
                </c:pt>
                <c:pt idx="3">
                  <c:v>0.74712000000000001</c:v>
                </c:pt>
                <c:pt idx="4">
                  <c:v>0.74690999999999996</c:v>
                </c:pt>
                <c:pt idx="5">
                  <c:v>0.74648000000000003</c:v>
                </c:pt>
                <c:pt idx="6">
                  <c:v>0.74609999999999999</c:v>
                </c:pt>
                <c:pt idx="7">
                  <c:v>0.74546000000000001</c:v>
                </c:pt>
                <c:pt idx="8">
                  <c:v>0.74483999999999995</c:v>
                </c:pt>
                <c:pt idx="9">
                  <c:v>0.74407000000000001</c:v>
                </c:pt>
                <c:pt idx="10">
                  <c:v>0.74339999999999995</c:v>
                </c:pt>
                <c:pt idx="11">
                  <c:v>0.74292999999999998</c:v>
                </c:pt>
                <c:pt idx="12">
                  <c:v>0.74226999999999999</c:v>
                </c:pt>
                <c:pt idx="13">
                  <c:v>0.74160999999999999</c:v>
                </c:pt>
                <c:pt idx="14">
                  <c:v>0.74073</c:v>
                </c:pt>
                <c:pt idx="15">
                  <c:v>0.73985000000000001</c:v>
                </c:pt>
                <c:pt idx="16">
                  <c:v>0.73865999999999998</c:v>
                </c:pt>
                <c:pt idx="17">
                  <c:v>0.73760000000000003</c:v>
                </c:pt>
                <c:pt idx="18">
                  <c:v>0.73665000000000003</c:v>
                </c:pt>
                <c:pt idx="19">
                  <c:v>0.73585</c:v>
                </c:pt>
                <c:pt idx="20">
                  <c:v>0.73458999999999997</c:v>
                </c:pt>
                <c:pt idx="21">
                  <c:v>0.73301000000000005</c:v>
                </c:pt>
                <c:pt idx="22">
                  <c:v>0.73158000000000001</c:v>
                </c:pt>
                <c:pt idx="23">
                  <c:v>0.73038000000000003</c:v>
                </c:pt>
                <c:pt idx="24">
                  <c:v>0.72936999999999996</c:v>
                </c:pt>
                <c:pt idx="25">
                  <c:v>0.72740000000000005</c:v>
                </c:pt>
                <c:pt idx="26">
                  <c:v>0.72589000000000004</c:v>
                </c:pt>
                <c:pt idx="27">
                  <c:v>0.72297</c:v>
                </c:pt>
                <c:pt idx="28">
                  <c:v>0.72116000000000002</c:v>
                </c:pt>
                <c:pt idx="29">
                  <c:v>0.71879000000000004</c:v>
                </c:pt>
                <c:pt idx="30">
                  <c:v>0.71552000000000004</c:v>
                </c:pt>
                <c:pt idx="31">
                  <c:v>0.71336999999999995</c:v>
                </c:pt>
                <c:pt idx="32">
                  <c:v>0.70999000000000001</c:v>
                </c:pt>
                <c:pt idx="33">
                  <c:v>0.70564000000000004</c:v>
                </c:pt>
                <c:pt idx="34">
                  <c:v>0.70186999999999999</c:v>
                </c:pt>
                <c:pt idx="35">
                  <c:v>0.69674000000000003</c:v>
                </c:pt>
                <c:pt idx="36">
                  <c:v>0.69005000000000005</c:v>
                </c:pt>
                <c:pt idx="37">
                  <c:v>0.68408999999999998</c:v>
                </c:pt>
                <c:pt idx="38">
                  <c:v>0.67081999999999997</c:v>
                </c:pt>
                <c:pt idx="39">
                  <c:v>0.65517000000000003</c:v>
                </c:pt>
                <c:pt idx="40">
                  <c:v>0.63502999999999998</c:v>
                </c:pt>
                <c:pt idx="41">
                  <c:v>0.59589999999999999</c:v>
                </c:pt>
              </c:numCache>
            </c:numRef>
          </c:xVal>
          <c:yVal>
            <c:numRef>
              <c:f>'Díodo Zener'!$B$4:$B$47</c:f>
              <c:numCache>
                <c:formatCode>0.000E+00</c:formatCode>
                <c:ptCount val="44"/>
                <c:pt idx="0">
                  <c:v>9.6130000000000011E-4</c:v>
                </c:pt>
                <c:pt idx="1">
                  <c:v>9.4489999999999993E-4</c:v>
                </c:pt>
                <c:pt idx="2">
                  <c:v>9.3349999999999998E-4</c:v>
                </c:pt>
                <c:pt idx="3">
                  <c:v>9.2010000000000008E-4</c:v>
                </c:pt>
                <c:pt idx="4">
                  <c:v>9.1250000000000001E-4</c:v>
                </c:pt>
                <c:pt idx="5">
                  <c:v>9.0000000000000008E-4</c:v>
                </c:pt>
                <c:pt idx="6">
                  <c:v>8.8880000000000003E-4</c:v>
                </c:pt>
                <c:pt idx="7">
                  <c:v>8.6910000000000004E-4</c:v>
                </c:pt>
                <c:pt idx="8">
                  <c:v>8.499E-4</c:v>
                </c:pt>
                <c:pt idx="9">
                  <c:v>8.275E-4</c:v>
                </c:pt>
                <c:pt idx="10">
                  <c:v>8.1030000000000002E-4</c:v>
                </c:pt>
                <c:pt idx="11">
                  <c:v>7.9520000000000003E-4</c:v>
                </c:pt>
                <c:pt idx="12">
                  <c:v>7.779000000000001E-4</c:v>
                </c:pt>
                <c:pt idx="13">
                  <c:v>7.6090000000000001E-4</c:v>
                </c:pt>
                <c:pt idx="14">
                  <c:v>7.3899999999999997E-4</c:v>
                </c:pt>
                <c:pt idx="15">
                  <c:v>7.1549999999999999E-4</c:v>
                </c:pt>
                <c:pt idx="16">
                  <c:v>6.8650000000000004E-4</c:v>
                </c:pt>
                <c:pt idx="17">
                  <c:v>6.619000000000001E-4</c:v>
                </c:pt>
                <c:pt idx="18">
                  <c:v>6.4100000000000008E-4</c:v>
                </c:pt>
                <c:pt idx="19">
                  <c:v>6.2360000000000009E-4</c:v>
                </c:pt>
                <c:pt idx="20">
                  <c:v>5.9709999999999993E-4</c:v>
                </c:pt>
                <c:pt idx="21">
                  <c:v>5.6589999999999993E-4</c:v>
                </c:pt>
                <c:pt idx="22">
                  <c:v>5.3850000000000002E-4</c:v>
                </c:pt>
                <c:pt idx="23">
                  <c:v>5.1670000000000004E-4</c:v>
                </c:pt>
                <c:pt idx="24">
                  <c:v>4.9910000000000004E-4</c:v>
                </c:pt>
                <c:pt idx="25">
                  <c:v>4.6650000000000001E-4</c:v>
                </c:pt>
                <c:pt idx="26">
                  <c:v>4.4349999999999999E-4</c:v>
                </c:pt>
                <c:pt idx="27">
                  <c:v>4.0150000000000006E-4</c:v>
                </c:pt>
                <c:pt idx="28">
                  <c:v>3.771E-4</c:v>
                </c:pt>
                <c:pt idx="29">
                  <c:v>3.4820000000000001E-4</c:v>
                </c:pt>
                <c:pt idx="30">
                  <c:v>3.1140000000000003E-4</c:v>
                </c:pt>
                <c:pt idx="31">
                  <c:v>2.899E-4</c:v>
                </c:pt>
                <c:pt idx="32">
                  <c:v>2.587E-4</c:v>
                </c:pt>
                <c:pt idx="33">
                  <c:v>2.2350000000000001E-4</c:v>
                </c:pt>
                <c:pt idx="34">
                  <c:v>1.9709999999999999E-4</c:v>
                </c:pt>
                <c:pt idx="35">
                  <c:v>1.6580000000000002E-4</c:v>
                </c:pt>
                <c:pt idx="36">
                  <c:v>1.3310000000000001E-4</c:v>
                </c:pt>
                <c:pt idx="37">
                  <c:v>1.093E-4</c:v>
                </c:pt>
                <c:pt idx="38" formatCode="0.00E+00">
                  <c:v>7.0900000000000002E-5</c:v>
                </c:pt>
                <c:pt idx="39" formatCode="0.00E+00">
                  <c:v>4.3099999999999997E-5</c:v>
                </c:pt>
                <c:pt idx="40" formatCode="0.00E+00">
                  <c:v>2.3E-5</c:v>
                </c:pt>
                <c:pt idx="41" formatCode="0.0E+00">
                  <c:v>7.1999999999999997E-6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03-4951-B831-686B6231B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723103"/>
        <c:axId val="520726847"/>
      </c:scatterChart>
      <c:valAx>
        <c:axId val="520723103"/>
        <c:scaling>
          <c:orientation val="minMax"/>
          <c:max val="0.76000000000000012"/>
          <c:min val="0.59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</a:t>
                </a:r>
                <a:r>
                  <a:rPr lang="pt-PT" sz="1400" baseline="-25000"/>
                  <a:t>D</a:t>
                </a:r>
                <a:r>
                  <a:rPr lang="pt-PT" sz="1400"/>
                  <a:t> /V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20726847"/>
        <c:crosses val="autoZero"/>
        <c:crossBetween val="midCat"/>
      </c:valAx>
      <c:valAx>
        <c:axId val="520726847"/>
        <c:scaling>
          <c:orientation val="minMax"/>
          <c:max val="1.0000000000000002E-3"/>
          <c:min val="-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I</a:t>
                </a:r>
                <a:r>
                  <a:rPr lang="pt-PT" sz="1400" baseline="-25000"/>
                  <a:t>D</a:t>
                </a:r>
                <a:r>
                  <a:rPr lang="pt-PT" sz="1400"/>
                  <a:t> /A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20723103"/>
        <c:crosses val="autoZero"/>
        <c:crossBetween val="midCat"/>
        <c:majorUnit val="2.0000000000000006E-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Sentido inverso</a:t>
            </a:r>
            <a:r>
              <a:rPr lang="pt-PT" sz="1600" baseline="0"/>
              <a:t> (díodo Zener)</a:t>
            </a:r>
            <a:endParaRPr lang="pt-PT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'Díodo Zener'!$Z$4:$Z$45</c:f>
              <c:numCache>
                <c:formatCode>0.0000</c:formatCode>
                <c:ptCount val="42"/>
                <c:pt idx="0">
                  <c:v>-10.0747</c:v>
                </c:pt>
                <c:pt idx="1">
                  <c:v>-10.073399999999999</c:v>
                </c:pt>
                <c:pt idx="2">
                  <c:v>-10.072100000000001</c:v>
                </c:pt>
                <c:pt idx="3">
                  <c:v>-10.070600000000001</c:v>
                </c:pt>
                <c:pt idx="4">
                  <c:v>-10.0694</c:v>
                </c:pt>
                <c:pt idx="5">
                  <c:v>-10.068</c:v>
                </c:pt>
                <c:pt idx="6">
                  <c:v>-10.0671</c:v>
                </c:pt>
                <c:pt idx="7">
                  <c:v>-10.0656</c:v>
                </c:pt>
                <c:pt idx="8">
                  <c:v>-10.064</c:v>
                </c:pt>
                <c:pt idx="9">
                  <c:v>-10.0619</c:v>
                </c:pt>
                <c:pt idx="10">
                  <c:v>-10.059699999999999</c:v>
                </c:pt>
                <c:pt idx="11">
                  <c:v>-10.057700000000001</c:v>
                </c:pt>
                <c:pt idx="12">
                  <c:v>-10.0562</c:v>
                </c:pt>
                <c:pt idx="13">
                  <c:v>-10.053699999999999</c:v>
                </c:pt>
                <c:pt idx="14">
                  <c:v>-10.0512</c:v>
                </c:pt>
                <c:pt idx="15">
                  <c:v>-10.050000000000001</c:v>
                </c:pt>
                <c:pt idx="16">
                  <c:v>-10.048400000000001</c:v>
                </c:pt>
                <c:pt idx="17">
                  <c:v>-10.0466</c:v>
                </c:pt>
                <c:pt idx="18">
                  <c:v>-10.0458</c:v>
                </c:pt>
                <c:pt idx="19">
                  <c:v>-10.045</c:v>
                </c:pt>
                <c:pt idx="20">
                  <c:v>-10.0441</c:v>
                </c:pt>
                <c:pt idx="21">
                  <c:v>-10.0435</c:v>
                </c:pt>
                <c:pt idx="22">
                  <c:v>-10.039999999999999</c:v>
                </c:pt>
                <c:pt idx="23">
                  <c:v>-10.035600000000001</c:v>
                </c:pt>
                <c:pt idx="24">
                  <c:v>-10.0283</c:v>
                </c:pt>
                <c:pt idx="25">
                  <c:v>-9.9916999999999998</c:v>
                </c:pt>
                <c:pt idx="26">
                  <c:v>-9.98</c:v>
                </c:pt>
                <c:pt idx="27">
                  <c:v>-9.9140999999999995</c:v>
                </c:pt>
                <c:pt idx="28">
                  <c:v>-8.7733000000000008</c:v>
                </c:pt>
                <c:pt idx="29">
                  <c:v>-7.2455999999999996</c:v>
                </c:pt>
                <c:pt idx="30">
                  <c:v>-7.0465999999999998</c:v>
                </c:pt>
                <c:pt idx="31">
                  <c:v>-6.8579999999999997</c:v>
                </c:pt>
                <c:pt idx="32">
                  <c:v>-6.2729999999999997</c:v>
                </c:pt>
                <c:pt idx="33">
                  <c:v>-5.3952</c:v>
                </c:pt>
                <c:pt idx="34">
                  <c:v>-4.8470000000000004</c:v>
                </c:pt>
                <c:pt idx="35">
                  <c:v>-4.0640999999999998</c:v>
                </c:pt>
                <c:pt idx="36">
                  <c:v>-3.4903</c:v>
                </c:pt>
                <c:pt idx="37">
                  <c:v>-2.7616999999999998</c:v>
                </c:pt>
                <c:pt idx="38">
                  <c:v>-2.1534</c:v>
                </c:pt>
                <c:pt idx="39">
                  <c:v>-1.4632000000000001</c:v>
                </c:pt>
                <c:pt idx="40">
                  <c:v>-0.95830000000000004</c:v>
                </c:pt>
                <c:pt idx="41">
                  <c:v>-0.38779999999999998</c:v>
                </c:pt>
              </c:numCache>
            </c:numRef>
          </c:xVal>
          <c:yVal>
            <c:numRef>
              <c:f>'Díodo Zener'!$Y$4:$Y$45</c:f>
              <c:numCache>
                <c:formatCode>0.000E+00</c:formatCode>
                <c:ptCount val="42"/>
                <c:pt idx="0">
                  <c:v>-3.3589999999999998E-4</c:v>
                </c:pt>
                <c:pt idx="1">
                  <c:v>-3.258E-4</c:v>
                </c:pt>
                <c:pt idx="2">
                  <c:v>-3.1159999999999998E-4</c:v>
                </c:pt>
                <c:pt idx="3">
                  <c:v>-3.0190000000000002E-4</c:v>
                </c:pt>
                <c:pt idx="4">
                  <c:v>-2.9160000000000004E-4</c:v>
                </c:pt>
                <c:pt idx="5">
                  <c:v>-2.833E-4</c:v>
                </c:pt>
                <c:pt idx="6">
                  <c:v>-2.7230000000000001E-4</c:v>
                </c:pt>
                <c:pt idx="7">
                  <c:v>-2.6000000000000003E-4</c:v>
                </c:pt>
                <c:pt idx="8">
                  <c:v>-2.4709999999999999E-4</c:v>
                </c:pt>
                <c:pt idx="9">
                  <c:v>-2.298E-4</c:v>
                </c:pt>
                <c:pt idx="10">
                  <c:v>-2.1029999999999999E-4</c:v>
                </c:pt>
                <c:pt idx="11">
                  <c:v>-1.9520000000000003E-4</c:v>
                </c:pt>
                <c:pt idx="12">
                  <c:v>-1.8220000000000001E-4</c:v>
                </c:pt>
                <c:pt idx="13">
                  <c:v>-1.5970000000000001E-4</c:v>
                </c:pt>
                <c:pt idx="14">
                  <c:v>-1.3780000000000002E-4</c:v>
                </c:pt>
                <c:pt idx="15">
                  <c:v>-1.2320000000000001E-4</c:v>
                </c:pt>
                <c:pt idx="16">
                  <c:v>-1.031E-4</c:v>
                </c:pt>
                <c:pt idx="17" formatCode="0.00E+00">
                  <c:v>-9.1800000000000009E-5</c:v>
                </c:pt>
                <c:pt idx="18" formatCode="0.00E+00">
                  <c:v>-8.0799999999999999E-5</c:v>
                </c:pt>
                <c:pt idx="19" formatCode="0.00E+00">
                  <c:v>-7.1400000000000001E-5</c:v>
                </c:pt>
                <c:pt idx="20" formatCode="0.00E+00">
                  <c:v>-6.4500000000000009E-5</c:v>
                </c:pt>
                <c:pt idx="21" formatCode="0.00E+00">
                  <c:v>-4.85E-5</c:v>
                </c:pt>
                <c:pt idx="22" formatCode="0.00E+00">
                  <c:v>-2.9100000000000003E-5</c:v>
                </c:pt>
                <c:pt idx="23" formatCode="0.00E+00">
                  <c:v>-1.77E-5</c:v>
                </c:pt>
                <c:pt idx="24" formatCode="0.0E+00">
                  <c:v>-9.3999999999999998E-6</c:v>
                </c:pt>
                <c:pt idx="25" formatCode="0.0E+00">
                  <c:v>-1.7999999999999999E-6</c:v>
                </c:pt>
                <c:pt idx="26" formatCode="0.0E+00">
                  <c:v>-1.1999999999999999E-6</c:v>
                </c:pt>
                <c:pt idx="27" formatCode="0E+00">
                  <c:v>-2.9999999999999999E-7</c:v>
                </c:pt>
                <c:pt idx="28" formatCode="0E+00">
                  <c:v>-2.0000000000000002E-7</c:v>
                </c:pt>
                <c:pt idx="29" formatCode="0E+00">
                  <c:v>-2.0000000000000002E-7</c:v>
                </c:pt>
                <c:pt idx="30" formatCode="0E+00">
                  <c:v>-1.0000000000000001E-7</c:v>
                </c:pt>
                <c:pt idx="31" formatCode="0E+00">
                  <c:v>-1.0000000000000001E-7</c:v>
                </c:pt>
                <c:pt idx="32" formatCode="0E+00">
                  <c:v>-1.0000000000000001E-7</c:v>
                </c:pt>
                <c:pt idx="33" formatCode="0E+00">
                  <c:v>-1.0000000000000001E-7</c:v>
                </c:pt>
                <c:pt idx="34" formatCode="0E+00">
                  <c:v>-1.0000000000000001E-7</c:v>
                </c:pt>
                <c:pt idx="35" formatCode="0E+00">
                  <c:v>-1.0000000000000001E-7</c:v>
                </c:pt>
                <c:pt idx="36" formatCode="0E+00">
                  <c:v>-1.0000000000000001E-7</c:v>
                </c:pt>
                <c:pt idx="37" formatCode="0E+00">
                  <c:v>-1.0000000000000001E-7</c:v>
                </c:pt>
                <c:pt idx="38" formatCode="0E+00">
                  <c:v>-1.0000000000000001E-7</c:v>
                </c:pt>
                <c:pt idx="39" formatCode="0E+00">
                  <c:v>-1.0000000000000001E-7</c:v>
                </c:pt>
                <c:pt idx="40" formatCode="0E+00">
                  <c:v>-1.0000000000000001E-7</c:v>
                </c:pt>
                <c:pt idx="41" formatCode="0E+00">
                  <c:v>-1.0000000000000001E-7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93-416F-B36D-8C0B4D0D0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493823"/>
        <c:axId val="1004497983"/>
      </c:scatterChart>
      <c:valAx>
        <c:axId val="1004493823"/>
        <c:scaling>
          <c:orientation val="minMax"/>
          <c:max val="0"/>
          <c:min val="-1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 /V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04497983"/>
        <c:crossesAt val="-0.35000000000000003"/>
        <c:crossBetween val="midCat"/>
      </c:valAx>
      <c:valAx>
        <c:axId val="1004497983"/>
        <c:scaling>
          <c:orientation val="minMax"/>
          <c:min val="-3.500000000000001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I /A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04493823"/>
        <c:crossesAt val="-1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 baseline="0"/>
              <a:t>Díodo Zener - ajuste 1</a:t>
            </a:r>
            <a:endParaRPr lang="pt-PT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accent6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0"/>
          </c:trendline>
          <c:xVal>
            <c:numRef>
              <c:f>'Díodo Zener'!$C$4:$C$47</c:f>
              <c:numCache>
                <c:formatCode>0.0000</c:formatCode>
                <c:ptCount val="44"/>
                <c:pt idx="0">
                  <c:v>0.74841999999999997</c:v>
                </c:pt>
                <c:pt idx="1">
                  <c:v>0.74787999999999999</c:v>
                </c:pt>
                <c:pt idx="2">
                  <c:v>0.74751000000000001</c:v>
                </c:pt>
                <c:pt idx="3">
                  <c:v>0.74712000000000001</c:v>
                </c:pt>
                <c:pt idx="4">
                  <c:v>0.74690999999999996</c:v>
                </c:pt>
                <c:pt idx="5">
                  <c:v>0.74648000000000003</c:v>
                </c:pt>
                <c:pt idx="6">
                  <c:v>0.74609999999999999</c:v>
                </c:pt>
                <c:pt idx="7">
                  <c:v>0.74546000000000001</c:v>
                </c:pt>
                <c:pt idx="8">
                  <c:v>0.74483999999999995</c:v>
                </c:pt>
                <c:pt idx="9">
                  <c:v>0.74407000000000001</c:v>
                </c:pt>
                <c:pt idx="10">
                  <c:v>0.74339999999999995</c:v>
                </c:pt>
                <c:pt idx="11">
                  <c:v>0.74292999999999998</c:v>
                </c:pt>
                <c:pt idx="12">
                  <c:v>0.74226999999999999</c:v>
                </c:pt>
                <c:pt idx="13">
                  <c:v>0.74160999999999999</c:v>
                </c:pt>
                <c:pt idx="14">
                  <c:v>0.74073</c:v>
                </c:pt>
                <c:pt idx="15">
                  <c:v>0.73985000000000001</c:v>
                </c:pt>
                <c:pt idx="16">
                  <c:v>0.73865999999999998</c:v>
                </c:pt>
                <c:pt idx="17">
                  <c:v>0.73760000000000003</c:v>
                </c:pt>
                <c:pt idx="18">
                  <c:v>0.73665000000000003</c:v>
                </c:pt>
                <c:pt idx="19">
                  <c:v>0.73585</c:v>
                </c:pt>
                <c:pt idx="20">
                  <c:v>0.73458999999999997</c:v>
                </c:pt>
                <c:pt idx="21">
                  <c:v>0.73301000000000005</c:v>
                </c:pt>
                <c:pt idx="22">
                  <c:v>0.73158000000000001</c:v>
                </c:pt>
                <c:pt idx="23">
                  <c:v>0.73038000000000003</c:v>
                </c:pt>
                <c:pt idx="24">
                  <c:v>0.72936999999999996</c:v>
                </c:pt>
                <c:pt idx="25">
                  <c:v>0.72740000000000005</c:v>
                </c:pt>
                <c:pt idx="26">
                  <c:v>0.72589000000000004</c:v>
                </c:pt>
                <c:pt idx="27">
                  <c:v>0.72297</c:v>
                </c:pt>
                <c:pt idx="28">
                  <c:v>0.72116000000000002</c:v>
                </c:pt>
                <c:pt idx="29">
                  <c:v>0.71879000000000004</c:v>
                </c:pt>
                <c:pt idx="30">
                  <c:v>0.71552000000000004</c:v>
                </c:pt>
                <c:pt idx="31">
                  <c:v>0.71336999999999995</c:v>
                </c:pt>
                <c:pt idx="32">
                  <c:v>0.70999000000000001</c:v>
                </c:pt>
                <c:pt idx="33">
                  <c:v>0.70564000000000004</c:v>
                </c:pt>
                <c:pt idx="34">
                  <c:v>0.70186999999999999</c:v>
                </c:pt>
                <c:pt idx="35">
                  <c:v>0.69674000000000003</c:v>
                </c:pt>
                <c:pt idx="36">
                  <c:v>0.69005000000000005</c:v>
                </c:pt>
                <c:pt idx="37">
                  <c:v>0.68408999999999998</c:v>
                </c:pt>
                <c:pt idx="38">
                  <c:v>0.67081999999999997</c:v>
                </c:pt>
                <c:pt idx="39">
                  <c:v>0.65517000000000003</c:v>
                </c:pt>
                <c:pt idx="40">
                  <c:v>0.63502999999999998</c:v>
                </c:pt>
                <c:pt idx="41">
                  <c:v>0.59589999999999999</c:v>
                </c:pt>
              </c:numCache>
            </c:numRef>
          </c:xVal>
          <c:yVal>
            <c:numRef>
              <c:f>'Díodo Zener'!$D$4:$D$47</c:f>
              <c:numCache>
                <c:formatCode>0.000</c:formatCode>
                <c:ptCount val="44"/>
                <c:pt idx="0">
                  <c:v>-6.9472240228925033</c:v>
                </c:pt>
                <c:pt idx="1">
                  <c:v>-6.9644314561756939</c:v>
                </c:pt>
                <c:pt idx="2">
                  <c:v>-6.9765695949824966</c:v>
                </c:pt>
                <c:pt idx="3">
                  <c:v>-6.9910281981759583</c:v>
                </c:pt>
                <c:pt idx="4">
                  <c:v>-6.999322472507628</c:v>
                </c:pt>
                <c:pt idx="5">
                  <c:v>-7.0131157946399636</c:v>
                </c:pt>
                <c:pt idx="6">
                  <c:v>-7.0256383196388539</c:v>
                </c:pt>
                <c:pt idx="7">
                  <c:v>-7.0480523645208599</c:v>
                </c:pt>
                <c:pt idx="8">
                  <c:v>-7.0703918624596938</c:v>
                </c:pt>
                <c:pt idx="9">
                  <c:v>-7.0971014507130565</c:v>
                </c:pt>
                <c:pt idx="10">
                  <c:v>-7.1181060084975947</c:v>
                </c:pt>
                <c:pt idx="11">
                  <c:v>-7.1369169026219099</c:v>
                </c:pt>
                <c:pt idx="12">
                  <c:v>-7.158912576751546</c:v>
                </c:pt>
                <c:pt idx="13">
                  <c:v>-7.1810086147817973</c:v>
                </c:pt>
                <c:pt idx="14">
                  <c:v>-7.2102126370160722</c:v>
                </c:pt>
                <c:pt idx="15">
                  <c:v>-7.2425289589677684</c:v>
                </c:pt>
                <c:pt idx="16">
                  <c:v>-7.283904332756248</c:v>
                </c:pt>
                <c:pt idx="17">
                  <c:v>-7.3203960708393971</c:v>
                </c:pt>
                <c:pt idx="18">
                  <c:v>-7.3524811010436038</c:v>
                </c:pt>
                <c:pt idx="19">
                  <c:v>-7.3800014207806521</c:v>
                </c:pt>
                <c:pt idx="20">
                  <c:v>-7.4234259544113277</c:v>
                </c:pt>
                <c:pt idx="21">
                  <c:v>-7.4770931738157964</c:v>
                </c:pt>
                <c:pt idx="22">
                  <c:v>-7.5267230613678304</c:v>
                </c:pt>
                <c:pt idx="23">
                  <c:v>-7.5680481226711347</c:v>
                </c:pt>
                <c:pt idx="24">
                  <c:v>-7.6027040814887101</c:v>
                </c:pt>
                <c:pt idx="25">
                  <c:v>-7.670252537676876</c:v>
                </c:pt>
                <c:pt idx="26">
                  <c:v>-7.7208127562146398</c:v>
                </c:pt>
                <c:pt idx="27">
                  <c:v>-7.8203030245774574</c:v>
                </c:pt>
                <c:pt idx="28">
                  <c:v>-7.883000153699963</c:v>
                </c:pt>
                <c:pt idx="29">
                  <c:v>-7.9627335306301852</c:v>
                </c:pt>
                <c:pt idx="30">
                  <c:v>-8.0744322985643766</c:v>
                </c:pt>
                <c:pt idx="31">
                  <c:v>-8.1459745220366635</c:v>
                </c:pt>
                <c:pt idx="32">
                  <c:v>-8.2598414687722901</c:v>
                </c:pt>
                <c:pt idx="33">
                  <c:v>-8.4060991439106498</c:v>
                </c:pt>
                <c:pt idx="34">
                  <c:v>-8.5317993438056003</c:v>
                </c:pt>
                <c:pt idx="35">
                  <c:v>-8.704728315263079</c:v>
                </c:pt>
                <c:pt idx="36">
                  <c:v>-8.9244098325632084</c:v>
                </c:pt>
                <c:pt idx="37">
                  <c:v>-9.1214141627817806</c:v>
                </c:pt>
                <c:pt idx="38">
                  <c:v>-9.5542401244261921</c:v>
                </c:pt>
                <c:pt idx="39">
                  <c:v>-10.051987560854572</c:v>
                </c:pt>
                <c:pt idx="40">
                  <c:v>-10.680016342035124</c:v>
                </c:pt>
                <c:pt idx="41">
                  <c:v>-11.841429531942264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45-46DA-ABCC-8C80F5282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0671455"/>
        <c:axId val="1110673951"/>
      </c:scatterChart>
      <c:valAx>
        <c:axId val="1110671455"/>
        <c:scaling>
          <c:orientation val="minMax"/>
          <c:min val="0.58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</a:t>
                </a:r>
                <a:r>
                  <a:rPr lang="pt-PT" sz="1400" baseline="-25000"/>
                  <a:t>D</a:t>
                </a:r>
                <a:r>
                  <a:rPr lang="pt-PT" sz="1400"/>
                  <a:t> /V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10673951"/>
        <c:crossesAt val="-13"/>
        <c:crossBetween val="midCat"/>
      </c:valAx>
      <c:valAx>
        <c:axId val="1110673951"/>
        <c:scaling>
          <c:orientation val="minMax"/>
          <c:max val="-6"/>
          <c:min val="-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ln(I</a:t>
                </a:r>
                <a:r>
                  <a:rPr lang="pt-PT" sz="1400" baseline="-25000"/>
                  <a:t>D</a:t>
                </a:r>
                <a:r>
                  <a:rPr lang="pt-PT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10671455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Resíduos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'Díodo Zener'!$C$4:$C$47</c:f>
              <c:numCache>
                <c:formatCode>0.0000</c:formatCode>
                <c:ptCount val="44"/>
                <c:pt idx="0">
                  <c:v>0.74841999999999997</c:v>
                </c:pt>
                <c:pt idx="1">
                  <c:v>0.74787999999999999</c:v>
                </c:pt>
                <c:pt idx="2">
                  <c:v>0.74751000000000001</c:v>
                </c:pt>
                <c:pt idx="3">
                  <c:v>0.74712000000000001</c:v>
                </c:pt>
                <c:pt idx="4">
                  <c:v>0.74690999999999996</c:v>
                </c:pt>
                <c:pt idx="5">
                  <c:v>0.74648000000000003</c:v>
                </c:pt>
                <c:pt idx="6">
                  <c:v>0.74609999999999999</c:v>
                </c:pt>
                <c:pt idx="7">
                  <c:v>0.74546000000000001</c:v>
                </c:pt>
                <c:pt idx="8">
                  <c:v>0.74483999999999995</c:v>
                </c:pt>
                <c:pt idx="9">
                  <c:v>0.74407000000000001</c:v>
                </c:pt>
                <c:pt idx="10">
                  <c:v>0.74339999999999995</c:v>
                </c:pt>
                <c:pt idx="11">
                  <c:v>0.74292999999999998</c:v>
                </c:pt>
                <c:pt idx="12">
                  <c:v>0.74226999999999999</c:v>
                </c:pt>
                <c:pt idx="13">
                  <c:v>0.74160999999999999</c:v>
                </c:pt>
                <c:pt idx="14">
                  <c:v>0.74073</c:v>
                </c:pt>
                <c:pt idx="15">
                  <c:v>0.73985000000000001</c:v>
                </c:pt>
                <c:pt idx="16">
                  <c:v>0.73865999999999998</c:v>
                </c:pt>
                <c:pt idx="17">
                  <c:v>0.73760000000000003</c:v>
                </c:pt>
                <c:pt idx="18">
                  <c:v>0.73665000000000003</c:v>
                </c:pt>
                <c:pt idx="19">
                  <c:v>0.73585</c:v>
                </c:pt>
                <c:pt idx="20">
                  <c:v>0.73458999999999997</c:v>
                </c:pt>
                <c:pt idx="21">
                  <c:v>0.73301000000000005</c:v>
                </c:pt>
                <c:pt idx="22">
                  <c:v>0.73158000000000001</c:v>
                </c:pt>
                <c:pt idx="23">
                  <c:v>0.73038000000000003</c:v>
                </c:pt>
                <c:pt idx="24">
                  <c:v>0.72936999999999996</c:v>
                </c:pt>
                <c:pt idx="25">
                  <c:v>0.72740000000000005</c:v>
                </c:pt>
                <c:pt idx="26">
                  <c:v>0.72589000000000004</c:v>
                </c:pt>
                <c:pt idx="27">
                  <c:v>0.72297</c:v>
                </c:pt>
                <c:pt idx="28">
                  <c:v>0.72116000000000002</c:v>
                </c:pt>
                <c:pt idx="29">
                  <c:v>0.71879000000000004</c:v>
                </c:pt>
                <c:pt idx="30">
                  <c:v>0.71552000000000004</c:v>
                </c:pt>
                <c:pt idx="31">
                  <c:v>0.71336999999999995</c:v>
                </c:pt>
                <c:pt idx="32">
                  <c:v>0.70999000000000001</c:v>
                </c:pt>
                <c:pt idx="33">
                  <c:v>0.70564000000000004</c:v>
                </c:pt>
                <c:pt idx="34">
                  <c:v>0.70186999999999999</c:v>
                </c:pt>
                <c:pt idx="35">
                  <c:v>0.69674000000000003</c:v>
                </c:pt>
                <c:pt idx="36">
                  <c:v>0.69005000000000005</c:v>
                </c:pt>
                <c:pt idx="37">
                  <c:v>0.68408999999999998</c:v>
                </c:pt>
                <c:pt idx="38">
                  <c:v>0.67081999999999997</c:v>
                </c:pt>
                <c:pt idx="39">
                  <c:v>0.65517000000000003</c:v>
                </c:pt>
                <c:pt idx="40">
                  <c:v>0.63502999999999998</c:v>
                </c:pt>
                <c:pt idx="41">
                  <c:v>0.59589999999999999</c:v>
                </c:pt>
              </c:numCache>
            </c:numRef>
          </c:xVal>
          <c:yVal>
            <c:numRef>
              <c:f>'Díodo Zener'!$G$4:$G$47</c:f>
              <c:numCache>
                <c:formatCode>0.000</c:formatCode>
                <c:ptCount val="44"/>
                <c:pt idx="0">
                  <c:v>2.3454130304169318E-2</c:v>
                </c:pt>
                <c:pt idx="1">
                  <c:v>2.3941973337135991E-2</c:v>
                </c:pt>
                <c:pt idx="2">
                  <c:v>2.3928375709921568E-2</c:v>
                </c:pt>
                <c:pt idx="3">
                  <c:v>2.2249694300351841E-2</c:v>
                </c:pt>
                <c:pt idx="4">
                  <c:v>2.0836916313855092E-2</c:v>
                </c:pt>
                <c:pt idx="5">
                  <c:v>2.1134277174015281E-2</c:v>
                </c:pt>
                <c:pt idx="6">
                  <c:v>2.1063983656866903E-2</c:v>
                </c:pt>
                <c:pt idx="7">
                  <c:v>1.962211811252601E-2</c:v>
                </c:pt>
                <c:pt idx="8">
                  <c:v>1.7599418907060738E-2</c:v>
                </c:pt>
                <c:pt idx="9">
                  <c:v>1.6121983919328287E-2</c:v>
                </c:pt>
                <c:pt idx="10">
                  <c:v>1.7072676378912632E-2</c:v>
                </c:pt>
                <c:pt idx="11">
                  <c:v>1.3663226455697064E-2</c:v>
                </c:pt>
                <c:pt idx="12">
                  <c:v>1.3295112268029818E-2</c:v>
                </c:pt>
                <c:pt idx="13">
                  <c:v>1.282663417975094E-2</c:v>
                </c:pt>
                <c:pt idx="14">
                  <c:v>1.2459358534767873E-2</c:v>
                </c:pt>
                <c:pt idx="15">
                  <c:v>8.9797831723670285E-3</c:v>
                </c:pt>
                <c:pt idx="16">
                  <c:v>6.5995553398634499E-3</c:v>
                </c:pt>
                <c:pt idx="17">
                  <c:v>4.8429892847252631E-3</c:v>
                </c:pt>
                <c:pt idx="18">
                  <c:v>3.8885377848716374E-3</c:v>
                </c:pt>
                <c:pt idx="19">
                  <c:v>2.5834422199073614E-3</c:v>
                </c:pt>
                <c:pt idx="20">
                  <c:v>4.4788666026551738E-4</c:v>
                </c:pt>
                <c:pt idx="21">
                  <c:v>-1.4442650043351435E-3</c:v>
                </c:pt>
                <c:pt idx="22">
                  <c:v>-4.2144393487664189E-3</c:v>
                </c:pt>
                <c:pt idx="23">
                  <c:v>-6.2166643939445265E-3</c:v>
                </c:pt>
                <c:pt idx="24">
                  <c:v>-7.7759026942594289E-3</c:v>
                </c:pt>
                <c:pt idx="25">
                  <c:v>-1.076936935866879E-2</c:v>
                </c:pt>
                <c:pt idx="26">
                  <c:v>-1.1848352271622176E-2</c:v>
                </c:pt>
                <c:pt idx="27">
                  <c:v>-1.5653052406326751E-2</c:v>
                </c:pt>
                <c:pt idx="28">
                  <c:v>-1.903823683949124E-2</c:v>
                </c:pt>
                <c:pt idx="29">
                  <c:v>-2.1109012159911344E-2</c:v>
                </c:pt>
                <c:pt idx="30">
                  <c:v>-2.5653051290705164E-2</c:v>
                </c:pt>
                <c:pt idx="31">
                  <c:v>-2.674185980050936E-2</c:v>
                </c:pt>
                <c:pt idx="32">
                  <c:v>-2.9849484409080418E-2</c:v>
                </c:pt>
                <c:pt idx="33">
                  <c:v>-3.356187811172795E-2</c:v>
                </c:pt>
                <c:pt idx="34">
                  <c:v>-3.5722834095727407E-2</c:v>
                </c:pt>
                <c:pt idx="35">
                  <c:v>-4.054668054970989E-2</c:v>
                </c:pt>
                <c:pt idx="36">
                  <c:v>-4.1003385710778772E-2</c:v>
                </c:pt>
                <c:pt idx="37">
                  <c:v>-4.2704295847313389E-2</c:v>
                </c:pt>
                <c:pt idx="38">
                  <c:v>-4.0685226537265251E-2</c:v>
                </c:pt>
                <c:pt idx="39">
                  <c:v>-2.5597340099229982E-2</c:v>
                </c:pt>
                <c:pt idx="40">
                  <c:v>6.3421472524609612E-3</c:v>
                </c:pt>
                <c:pt idx="41">
                  <c:v>0.12718110966243401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C7-41C8-9FE7-4DFE8773B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2595440"/>
        <c:axId val="1892596272"/>
      </c:scatterChart>
      <c:valAx>
        <c:axId val="1892595440"/>
        <c:scaling>
          <c:orientation val="minMax"/>
          <c:max val="0.8"/>
          <c:min val="0.55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</a:t>
                </a:r>
                <a:r>
                  <a:rPr lang="pt-PT" sz="1400" baseline="-25000"/>
                  <a:t>D</a:t>
                </a:r>
                <a:r>
                  <a:rPr lang="pt-PT" sz="1400"/>
                  <a:t> /V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92596272"/>
        <c:crossesAt val="-0.16000000000000003"/>
        <c:crossBetween val="midCat"/>
      </c:valAx>
      <c:valAx>
        <c:axId val="1892596272"/>
        <c:scaling>
          <c:orientation val="minMax"/>
          <c:min val="-0.14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Resíduos de ln(I</a:t>
                </a:r>
                <a:r>
                  <a:rPr lang="pt-PT" sz="1400" baseline="-25000"/>
                  <a:t>D</a:t>
                </a:r>
                <a:r>
                  <a:rPr lang="pt-PT" sz="1400" baseline="0"/>
                  <a:t>)</a:t>
                </a:r>
                <a:r>
                  <a:rPr lang="pt-PT" sz="1400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92595440"/>
        <c:crosses val="autoZero"/>
        <c:crossBetween val="midCat"/>
        <c:majorUnit val="4.0000000000000008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Díodo zener - ajuste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accent6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0"/>
          </c:trendline>
          <c:xVal>
            <c:numRef>
              <c:f>'Díodo Zener'!$C$4:$C$20</c:f>
              <c:numCache>
                <c:formatCode>0.0000</c:formatCode>
                <c:ptCount val="17"/>
                <c:pt idx="0">
                  <c:v>0.74841999999999997</c:v>
                </c:pt>
                <c:pt idx="1">
                  <c:v>0.74787999999999999</c:v>
                </c:pt>
                <c:pt idx="2">
                  <c:v>0.74751000000000001</c:v>
                </c:pt>
                <c:pt idx="3">
                  <c:v>0.74712000000000001</c:v>
                </c:pt>
                <c:pt idx="4">
                  <c:v>0.74690999999999996</c:v>
                </c:pt>
                <c:pt idx="5">
                  <c:v>0.74648000000000003</c:v>
                </c:pt>
                <c:pt idx="6">
                  <c:v>0.74609999999999999</c:v>
                </c:pt>
                <c:pt idx="7">
                  <c:v>0.74546000000000001</c:v>
                </c:pt>
                <c:pt idx="8">
                  <c:v>0.74483999999999995</c:v>
                </c:pt>
                <c:pt idx="9">
                  <c:v>0.74407000000000001</c:v>
                </c:pt>
                <c:pt idx="10">
                  <c:v>0.74339999999999995</c:v>
                </c:pt>
                <c:pt idx="11">
                  <c:v>0.74292999999999998</c:v>
                </c:pt>
                <c:pt idx="12">
                  <c:v>0.74226999999999999</c:v>
                </c:pt>
                <c:pt idx="13">
                  <c:v>0.74160999999999999</c:v>
                </c:pt>
                <c:pt idx="14">
                  <c:v>0.74073</c:v>
                </c:pt>
                <c:pt idx="15">
                  <c:v>0.73985000000000001</c:v>
                </c:pt>
                <c:pt idx="16">
                  <c:v>0.73865999999999998</c:v>
                </c:pt>
              </c:numCache>
            </c:numRef>
          </c:xVal>
          <c:yVal>
            <c:numRef>
              <c:f>'Díodo Zener'!$D$4:$D$20</c:f>
              <c:numCache>
                <c:formatCode>0.000</c:formatCode>
                <c:ptCount val="17"/>
                <c:pt idx="0">
                  <c:v>-6.9472240228925033</c:v>
                </c:pt>
                <c:pt idx="1">
                  <c:v>-6.9644314561756939</c:v>
                </c:pt>
                <c:pt idx="2">
                  <c:v>-6.9765695949824966</c:v>
                </c:pt>
                <c:pt idx="3">
                  <c:v>-6.9910281981759583</c:v>
                </c:pt>
                <c:pt idx="4">
                  <c:v>-6.999322472507628</c:v>
                </c:pt>
                <c:pt idx="5">
                  <c:v>-7.0131157946399636</c:v>
                </c:pt>
                <c:pt idx="6">
                  <c:v>-7.0256383196388539</c:v>
                </c:pt>
                <c:pt idx="7">
                  <c:v>-7.0480523645208599</c:v>
                </c:pt>
                <c:pt idx="8">
                  <c:v>-7.0703918624596938</c:v>
                </c:pt>
                <c:pt idx="9">
                  <c:v>-7.0971014507130565</c:v>
                </c:pt>
                <c:pt idx="10">
                  <c:v>-7.1181060084975947</c:v>
                </c:pt>
                <c:pt idx="11">
                  <c:v>-7.1369169026219099</c:v>
                </c:pt>
                <c:pt idx="12">
                  <c:v>-7.158912576751546</c:v>
                </c:pt>
                <c:pt idx="13">
                  <c:v>-7.1810086147817973</c:v>
                </c:pt>
                <c:pt idx="14">
                  <c:v>-7.2102126370160722</c:v>
                </c:pt>
                <c:pt idx="15">
                  <c:v>-7.2425289589677684</c:v>
                </c:pt>
                <c:pt idx="16">
                  <c:v>-7.283904332756248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5-4B5E-BBD2-012113DC1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65840"/>
        <c:axId val="179557104"/>
      </c:scatterChart>
      <c:valAx>
        <c:axId val="179565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</a:t>
                </a:r>
                <a:r>
                  <a:rPr lang="pt-PT" sz="1400" baseline="-25000"/>
                  <a:t>D</a:t>
                </a:r>
                <a:r>
                  <a:rPr lang="pt-PT" sz="1400"/>
                  <a:t> /V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9557104"/>
        <c:crossesAt val="-7.7"/>
        <c:crossBetween val="midCat"/>
      </c:valAx>
      <c:valAx>
        <c:axId val="179557104"/>
        <c:scaling>
          <c:orientation val="minMax"/>
          <c:min val="-7.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ln(I</a:t>
                </a:r>
                <a:r>
                  <a:rPr lang="pt-PT" sz="1400" baseline="-25000"/>
                  <a:t>D</a:t>
                </a:r>
                <a:r>
                  <a:rPr lang="pt-PT" sz="1400"/>
                  <a:t>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9565840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Curva</a:t>
            </a:r>
            <a:r>
              <a:rPr lang="pt-PT" sz="1600" baseline="0"/>
              <a:t> característica - díodo Zener</a:t>
            </a:r>
            <a:endParaRPr lang="pt-PT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9845267489711935"/>
          <c:y val="0.14197559499322082"/>
          <c:w val="0.75383110425240052"/>
          <c:h val="0.67104018640005181"/>
        </c:manualLayout>
      </c:layout>
      <c:scatterChart>
        <c:scatterStyle val="lineMarker"/>
        <c:varyColors val="0"/>
        <c:ser>
          <c:idx val="0"/>
          <c:order val="0"/>
          <c:tx>
            <c:v>Zona de boa condução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'Díodo Zener'!$C$4:$C$47</c:f>
              <c:numCache>
                <c:formatCode>0.0000</c:formatCode>
                <c:ptCount val="44"/>
                <c:pt idx="0">
                  <c:v>0.74841999999999997</c:v>
                </c:pt>
                <c:pt idx="1">
                  <c:v>0.74787999999999999</c:v>
                </c:pt>
                <c:pt idx="2">
                  <c:v>0.74751000000000001</c:v>
                </c:pt>
                <c:pt idx="3">
                  <c:v>0.74712000000000001</c:v>
                </c:pt>
                <c:pt idx="4">
                  <c:v>0.74690999999999996</c:v>
                </c:pt>
                <c:pt idx="5">
                  <c:v>0.74648000000000003</c:v>
                </c:pt>
                <c:pt idx="6">
                  <c:v>0.74609999999999999</c:v>
                </c:pt>
                <c:pt idx="7">
                  <c:v>0.74546000000000001</c:v>
                </c:pt>
                <c:pt idx="8">
                  <c:v>0.74483999999999995</c:v>
                </c:pt>
                <c:pt idx="9">
                  <c:v>0.74407000000000001</c:v>
                </c:pt>
                <c:pt idx="10">
                  <c:v>0.74339999999999995</c:v>
                </c:pt>
                <c:pt idx="11">
                  <c:v>0.74292999999999998</c:v>
                </c:pt>
                <c:pt idx="12">
                  <c:v>0.74226999999999999</c:v>
                </c:pt>
                <c:pt idx="13">
                  <c:v>0.74160999999999999</c:v>
                </c:pt>
                <c:pt idx="14">
                  <c:v>0.74073</c:v>
                </c:pt>
                <c:pt idx="15">
                  <c:v>0.73985000000000001</c:v>
                </c:pt>
                <c:pt idx="16">
                  <c:v>0.73865999999999998</c:v>
                </c:pt>
                <c:pt idx="17">
                  <c:v>0.73760000000000003</c:v>
                </c:pt>
                <c:pt idx="18">
                  <c:v>0.73665000000000003</c:v>
                </c:pt>
                <c:pt idx="19">
                  <c:v>0.73585</c:v>
                </c:pt>
                <c:pt idx="20">
                  <c:v>0.73458999999999997</c:v>
                </c:pt>
                <c:pt idx="21">
                  <c:v>0.73301000000000005</c:v>
                </c:pt>
                <c:pt idx="22">
                  <c:v>0.73158000000000001</c:v>
                </c:pt>
                <c:pt idx="23">
                  <c:v>0.73038000000000003</c:v>
                </c:pt>
                <c:pt idx="24">
                  <c:v>0.72936999999999996</c:v>
                </c:pt>
                <c:pt idx="25">
                  <c:v>0.72740000000000005</c:v>
                </c:pt>
                <c:pt idx="26">
                  <c:v>0.72589000000000004</c:v>
                </c:pt>
                <c:pt idx="27">
                  <c:v>0.72297</c:v>
                </c:pt>
                <c:pt idx="28">
                  <c:v>0.72116000000000002</c:v>
                </c:pt>
                <c:pt idx="29">
                  <c:v>0.71879000000000004</c:v>
                </c:pt>
                <c:pt idx="30">
                  <c:v>0.71552000000000004</c:v>
                </c:pt>
                <c:pt idx="31">
                  <c:v>0.71336999999999995</c:v>
                </c:pt>
                <c:pt idx="32">
                  <c:v>0.70999000000000001</c:v>
                </c:pt>
                <c:pt idx="33">
                  <c:v>0.70564000000000004</c:v>
                </c:pt>
                <c:pt idx="34">
                  <c:v>0.70186999999999999</c:v>
                </c:pt>
                <c:pt idx="35">
                  <c:v>0.69674000000000003</c:v>
                </c:pt>
                <c:pt idx="36">
                  <c:v>0.69005000000000005</c:v>
                </c:pt>
                <c:pt idx="37">
                  <c:v>0.68408999999999998</c:v>
                </c:pt>
                <c:pt idx="38">
                  <c:v>0.67081999999999997</c:v>
                </c:pt>
                <c:pt idx="39">
                  <c:v>0.65517000000000003</c:v>
                </c:pt>
                <c:pt idx="40">
                  <c:v>0.63502999999999998</c:v>
                </c:pt>
                <c:pt idx="41">
                  <c:v>0.59589999999999999</c:v>
                </c:pt>
              </c:numCache>
            </c:numRef>
          </c:xVal>
          <c:yVal>
            <c:numRef>
              <c:f>'Díodo Zener'!$B$4:$B$47</c:f>
              <c:numCache>
                <c:formatCode>0.000E+00</c:formatCode>
                <c:ptCount val="44"/>
                <c:pt idx="0">
                  <c:v>9.6130000000000011E-4</c:v>
                </c:pt>
                <c:pt idx="1">
                  <c:v>9.4489999999999993E-4</c:v>
                </c:pt>
                <c:pt idx="2">
                  <c:v>9.3349999999999998E-4</c:v>
                </c:pt>
                <c:pt idx="3">
                  <c:v>9.2010000000000008E-4</c:v>
                </c:pt>
                <c:pt idx="4">
                  <c:v>9.1250000000000001E-4</c:v>
                </c:pt>
                <c:pt idx="5">
                  <c:v>9.0000000000000008E-4</c:v>
                </c:pt>
                <c:pt idx="6">
                  <c:v>8.8880000000000003E-4</c:v>
                </c:pt>
                <c:pt idx="7">
                  <c:v>8.6910000000000004E-4</c:v>
                </c:pt>
                <c:pt idx="8">
                  <c:v>8.499E-4</c:v>
                </c:pt>
                <c:pt idx="9">
                  <c:v>8.275E-4</c:v>
                </c:pt>
                <c:pt idx="10">
                  <c:v>8.1030000000000002E-4</c:v>
                </c:pt>
                <c:pt idx="11">
                  <c:v>7.9520000000000003E-4</c:v>
                </c:pt>
                <c:pt idx="12">
                  <c:v>7.779000000000001E-4</c:v>
                </c:pt>
                <c:pt idx="13">
                  <c:v>7.6090000000000001E-4</c:v>
                </c:pt>
                <c:pt idx="14">
                  <c:v>7.3899999999999997E-4</c:v>
                </c:pt>
                <c:pt idx="15">
                  <c:v>7.1549999999999999E-4</c:v>
                </c:pt>
                <c:pt idx="16">
                  <c:v>6.8650000000000004E-4</c:v>
                </c:pt>
                <c:pt idx="17">
                  <c:v>6.619000000000001E-4</c:v>
                </c:pt>
                <c:pt idx="18">
                  <c:v>6.4100000000000008E-4</c:v>
                </c:pt>
                <c:pt idx="19">
                  <c:v>6.2360000000000009E-4</c:v>
                </c:pt>
                <c:pt idx="20">
                  <c:v>5.9709999999999993E-4</c:v>
                </c:pt>
                <c:pt idx="21">
                  <c:v>5.6589999999999993E-4</c:v>
                </c:pt>
                <c:pt idx="22">
                  <c:v>5.3850000000000002E-4</c:v>
                </c:pt>
                <c:pt idx="23">
                  <c:v>5.1670000000000004E-4</c:v>
                </c:pt>
                <c:pt idx="24">
                  <c:v>4.9910000000000004E-4</c:v>
                </c:pt>
                <c:pt idx="25">
                  <c:v>4.6650000000000001E-4</c:v>
                </c:pt>
                <c:pt idx="26">
                  <c:v>4.4349999999999999E-4</c:v>
                </c:pt>
                <c:pt idx="27">
                  <c:v>4.0150000000000006E-4</c:v>
                </c:pt>
                <c:pt idx="28">
                  <c:v>3.771E-4</c:v>
                </c:pt>
                <c:pt idx="29">
                  <c:v>3.4820000000000001E-4</c:v>
                </c:pt>
                <c:pt idx="30">
                  <c:v>3.1140000000000003E-4</c:v>
                </c:pt>
                <c:pt idx="31">
                  <c:v>2.899E-4</c:v>
                </c:pt>
                <c:pt idx="32">
                  <c:v>2.587E-4</c:v>
                </c:pt>
                <c:pt idx="33">
                  <c:v>2.2350000000000001E-4</c:v>
                </c:pt>
                <c:pt idx="34">
                  <c:v>1.9709999999999999E-4</c:v>
                </c:pt>
                <c:pt idx="35">
                  <c:v>1.6580000000000002E-4</c:v>
                </c:pt>
                <c:pt idx="36">
                  <c:v>1.3310000000000001E-4</c:v>
                </c:pt>
                <c:pt idx="37">
                  <c:v>1.093E-4</c:v>
                </c:pt>
                <c:pt idx="38" formatCode="0.00E+00">
                  <c:v>7.0900000000000002E-5</c:v>
                </c:pt>
                <c:pt idx="39" formatCode="0.00E+00">
                  <c:v>4.3099999999999997E-5</c:v>
                </c:pt>
                <c:pt idx="40" formatCode="0.00E+00">
                  <c:v>2.3E-5</c:v>
                </c:pt>
                <c:pt idx="41" formatCode="0.0E+00">
                  <c:v>7.1999999999999997E-6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6A-46CA-B17F-E765AEEE96C3}"/>
            </c:ext>
          </c:extLst>
        </c:ser>
        <c:ser>
          <c:idx val="1"/>
          <c:order val="1"/>
          <c:tx>
            <c:v>Zona de retificação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'Díodo Zener'!$Z$31:$Z$45</c:f>
              <c:numCache>
                <c:formatCode>0.0000</c:formatCode>
                <c:ptCount val="15"/>
                <c:pt idx="0">
                  <c:v>-9.9140999999999995</c:v>
                </c:pt>
                <c:pt idx="1">
                  <c:v>-8.7733000000000008</c:v>
                </c:pt>
                <c:pt idx="2">
                  <c:v>-7.2455999999999996</c:v>
                </c:pt>
                <c:pt idx="3">
                  <c:v>-7.0465999999999998</c:v>
                </c:pt>
                <c:pt idx="4">
                  <c:v>-6.8579999999999997</c:v>
                </c:pt>
                <c:pt idx="5">
                  <c:v>-6.2729999999999997</c:v>
                </c:pt>
                <c:pt idx="6">
                  <c:v>-5.3952</c:v>
                </c:pt>
                <c:pt idx="7">
                  <c:v>-4.8470000000000004</c:v>
                </c:pt>
                <c:pt idx="8">
                  <c:v>-4.0640999999999998</c:v>
                </c:pt>
                <c:pt idx="9">
                  <c:v>-3.4903</c:v>
                </c:pt>
                <c:pt idx="10">
                  <c:v>-2.7616999999999998</c:v>
                </c:pt>
                <c:pt idx="11">
                  <c:v>-2.1534</c:v>
                </c:pt>
                <c:pt idx="12">
                  <c:v>-1.4632000000000001</c:v>
                </c:pt>
                <c:pt idx="13">
                  <c:v>-0.95830000000000004</c:v>
                </c:pt>
                <c:pt idx="14">
                  <c:v>-0.38779999999999998</c:v>
                </c:pt>
              </c:numCache>
            </c:numRef>
          </c:xVal>
          <c:yVal>
            <c:numRef>
              <c:f>'Díodo Zener'!$Y$31:$Y$45</c:f>
              <c:numCache>
                <c:formatCode>0E+00</c:formatCode>
                <c:ptCount val="15"/>
                <c:pt idx="0">
                  <c:v>-2.9999999999999999E-7</c:v>
                </c:pt>
                <c:pt idx="1">
                  <c:v>-2.0000000000000002E-7</c:v>
                </c:pt>
                <c:pt idx="2">
                  <c:v>-2.0000000000000002E-7</c:v>
                </c:pt>
                <c:pt idx="3">
                  <c:v>-1.0000000000000001E-7</c:v>
                </c:pt>
                <c:pt idx="4">
                  <c:v>-1.0000000000000001E-7</c:v>
                </c:pt>
                <c:pt idx="5">
                  <c:v>-1.0000000000000001E-7</c:v>
                </c:pt>
                <c:pt idx="6">
                  <c:v>-1.0000000000000001E-7</c:v>
                </c:pt>
                <c:pt idx="7">
                  <c:v>-1.0000000000000001E-7</c:v>
                </c:pt>
                <c:pt idx="8">
                  <c:v>-1.0000000000000001E-7</c:v>
                </c:pt>
                <c:pt idx="9">
                  <c:v>-1.0000000000000001E-7</c:v>
                </c:pt>
                <c:pt idx="10">
                  <c:v>-1.0000000000000001E-7</c:v>
                </c:pt>
                <c:pt idx="11">
                  <c:v>-1.0000000000000001E-7</c:v>
                </c:pt>
                <c:pt idx="12">
                  <c:v>-1.0000000000000001E-7</c:v>
                </c:pt>
                <c:pt idx="13">
                  <c:v>-1.0000000000000001E-7</c:v>
                </c:pt>
                <c:pt idx="14">
                  <c:v>-1.0000000000000001E-7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F6A-46CA-B17F-E765AEEE96C3}"/>
            </c:ext>
          </c:extLst>
        </c:ser>
        <c:ser>
          <c:idx val="2"/>
          <c:order val="2"/>
          <c:tx>
            <c:v>Zona de avalanche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'Díodo Zener'!$Z$4:$Z$30</c:f>
              <c:numCache>
                <c:formatCode>0.0000</c:formatCode>
                <c:ptCount val="27"/>
                <c:pt idx="0">
                  <c:v>-10.0747</c:v>
                </c:pt>
                <c:pt idx="1">
                  <c:v>-10.073399999999999</c:v>
                </c:pt>
                <c:pt idx="2">
                  <c:v>-10.072100000000001</c:v>
                </c:pt>
                <c:pt idx="3">
                  <c:v>-10.070600000000001</c:v>
                </c:pt>
                <c:pt idx="4">
                  <c:v>-10.0694</c:v>
                </c:pt>
                <c:pt idx="5">
                  <c:v>-10.068</c:v>
                </c:pt>
                <c:pt idx="6">
                  <c:v>-10.0671</c:v>
                </c:pt>
                <c:pt idx="7">
                  <c:v>-10.0656</c:v>
                </c:pt>
                <c:pt idx="8">
                  <c:v>-10.064</c:v>
                </c:pt>
                <c:pt idx="9">
                  <c:v>-10.0619</c:v>
                </c:pt>
                <c:pt idx="10">
                  <c:v>-10.059699999999999</c:v>
                </c:pt>
                <c:pt idx="11">
                  <c:v>-10.057700000000001</c:v>
                </c:pt>
                <c:pt idx="12">
                  <c:v>-10.0562</c:v>
                </c:pt>
                <c:pt idx="13">
                  <c:v>-10.053699999999999</c:v>
                </c:pt>
                <c:pt idx="14">
                  <c:v>-10.0512</c:v>
                </c:pt>
                <c:pt idx="15">
                  <c:v>-10.050000000000001</c:v>
                </c:pt>
                <c:pt idx="16">
                  <c:v>-10.048400000000001</c:v>
                </c:pt>
                <c:pt idx="17">
                  <c:v>-10.0466</c:v>
                </c:pt>
                <c:pt idx="18">
                  <c:v>-10.0458</c:v>
                </c:pt>
                <c:pt idx="19">
                  <c:v>-10.045</c:v>
                </c:pt>
                <c:pt idx="20">
                  <c:v>-10.0441</c:v>
                </c:pt>
                <c:pt idx="21">
                  <c:v>-10.0435</c:v>
                </c:pt>
                <c:pt idx="22">
                  <c:v>-10.039999999999999</c:v>
                </c:pt>
                <c:pt idx="23">
                  <c:v>-10.035600000000001</c:v>
                </c:pt>
                <c:pt idx="24">
                  <c:v>-10.0283</c:v>
                </c:pt>
                <c:pt idx="25">
                  <c:v>-9.9916999999999998</c:v>
                </c:pt>
                <c:pt idx="26">
                  <c:v>-9.98</c:v>
                </c:pt>
              </c:numCache>
            </c:numRef>
          </c:xVal>
          <c:yVal>
            <c:numRef>
              <c:f>'Díodo Zener'!$Y$4:$Y$30</c:f>
              <c:numCache>
                <c:formatCode>0.000E+00</c:formatCode>
                <c:ptCount val="27"/>
                <c:pt idx="0">
                  <c:v>-3.3589999999999998E-4</c:v>
                </c:pt>
                <c:pt idx="1">
                  <c:v>-3.258E-4</c:v>
                </c:pt>
                <c:pt idx="2">
                  <c:v>-3.1159999999999998E-4</c:v>
                </c:pt>
                <c:pt idx="3">
                  <c:v>-3.0190000000000002E-4</c:v>
                </c:pt>
                <c:pt idx="4">
                  <c:v>-2.9160000000000004E-4</c:v>
                </c:pt>
                <c:pt idx="5">
                  <c:v>-2.833E-4</c:v>
                </c:pt>
                <c:pt idx="6">
                  <c:v>-2.7230000000000001E-4</c:v>
                </c:pt>
                <c:pt idx="7">
                  <c:v>-2.6000000000000003E-4</c:v>
                </c:pt>
                <c:pt idx="8">
                  <c:v>-2.4709999999999999E-4</c:v>
                </c:pt>
                <c:pt idx="9">
                  <c:v>-2.298E-4</c:v>
                </c:pt>
                <c:pt idx="10">
                  <c:v>-2.1029999999999999E-4</c:v>
                </c:pt>
                <c:pt idx="11">
                  <c:v>-1.9520000000000003E-4</c:v>
                </c:pt>
                <c:pt idx="12">
                  <c:v>-1.8220000000000001E-4</c:v>
                </c:pt>
                <c:pt idx="13">
                  <c:v>-1.5970000000000001E-4</c:v>
                </c:pt>
                <c:pt idx="14">
                  <c:v>-1.3780000000000002E-4</c:v>
                </c:pt>
                <c:pt idx="15">
                  <c:v>-1.2320000000000001E-4</c:v>
                </c:pt>
                <c:pt idx="16">
                  <c:v>-1.031E-4</c:v>
                </c:pt>
                <c:pt idx="17" formatCode="0.00E+00">
                  <c:v>-9.1800000000000009E-5</c:v>
                </c:pt>
                <c:pt idx="18" formatCode="0.00E+00">
                  <c:v>-8.0799999999999999E-5</c:v>
                </c:pt>
                <c:pt idx="19" formatCode="0.00E+00">
                  <c:v>-7.1400000000000001E-5</c:v>
                </c:pt>
                <c:pt idx="20" formatCode="0.00E+00">
                  <c:v>-6.4500000000000009E-5</c:v>
                </c:pt>
                <c:pt idx="21" formatCode="0.00E+00">
                  <c:v>-4.85E-5</c:v>
                </c:pt>
                <c:pt idx="22" formatCode="0.00E+00">
                  <c:v>-2.9100000000000003E-5</c:v>
                </c:pt>
                <c:pt idx="23" formatCode="0.00E+00">
                  <c:v>-1.77E-5</c:v>
                </c:pt>
                <c:pt idx="24" formatCode="0.0E+00">
                  <c:v>-9.3999999999999998E-6</c:v>
                </c:pt>
                <c:pt idx="25" formatCode="0.0E+00">
                  <c:v>-1.7999999999999999E-6</c:v>
                </c:pt>
                <c:pt idx="26" formatCode="0.0E+00">
                  <c:v>-1.1999999999999999E-6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F6A-46CA-B17F-E765AEEE96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198976"/>
        <c:axId val="74188160"/>
      </c:scatterChart>
      <c:valAx>
        <c:axId val="7419897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</a:t>
                </a:r>
                <a:r>
                  <a:rPr lang="pt-PT" sz="1400" baseline="-25000"/>
                  <a:t>D</a:t>
                </a:r>
                <a:r>
                  <a:rPr lang="pt-PT" sz="1400"/>
                  <a:t> /V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4188160"/>
        <c:crossesAt val="-4.0000000000000013E-4"/>
        <c:crossBetween val="midCat"/>
      </c:valAx>
      <c:valAx>
        <c:axId val="74188160"/>
        <c:scaling>
          <c:orientation val="minMax"/>
          <c:max val="1.0000000000000002E-3"/>
          <c:min val="-4.0000000000000013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I</a:t>
                </a:r>
                <a:r>
                  <a:rPr lang="pt-PT" sz="1400" baseline="-25000"/>
                  <a:t>D</a:t>
                </a:r>
                <a:r>
                  <a:rPr lang="pt-PT" sz="1400" baseline="0"/>
                  <a:t> /A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4198976"/>
        <c:crossesAt val="-1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343700274348422"/>
          <c:y val="0.19291505358751493"/>
          <c:w val="0.27433096188306866"/>
          <c:h val="0.2494742703836664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Resíduos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'Díodo Zener'!$C$4:$C$20</c:f>
              <c:numCache>
                <c:formatCode>0.0000</c:formatCode>
                <c:ptCount val="17"/>
                <c:pt idx="0">
                  <c:v>0.74841999999999997</c:v>
                </c:pt>
                <c:pt idx="1">
                  <c:v>0.74787999999999999</c:v>
                </c:pt>
                <c:pt idx="2">
                  <c:v>0.74751000000000001</c:v>
                </c:pt>
                <c:pt idx="3">
                  <c:v>0.74712000000000001</c:v>
                </c:pt>
                <c:pt idx="4">
                  <c:v>0.74690999999999996</c:v>
                </c:pt>
                <c:pt idx="5">
                  <c:v>0.74648000000000003</c:v>
                </c:pt>
                <c:pt idx="6">
                  <c:v>0.74609999999999999</c:v>
                </c:pt>
                <c:pt idx="7">
                  <c:v>0.74546000000000001</c:v>
                </c:pt>
                <c:pt idx="8">
                  <c:v>0.74483999999999995</c:v>
                </c:pt>
                <c:pt idx="9">
                  <c:v>0.74407000000000001</c:v>
                </c:pt>
                <c:pt idx="10">
                  <c:v>0.74339999999999995</c:v>
                </c:pt>
                <c:pt idx="11">
                  <c:v>0.74292999999999998</c:v>
                </c:pt>
                <c:pt idx="12">
                  <c:v>0.74226999999999999</c:v>
                </c:pt>
                <c:pt idx="13">
                  <c:v>0.74160999999999999</c:v>
                </c:pt>
                <c:pt idx="14">
                  <c:v>0.74073</c:v>
                </c:pt>
                <c:pt idx="15">
                  <c:v>0.73985000000000001</c:v>
                </c:pt>
                <c:pt idx="16">
                  <c:v>0.73865999999999998</c:v>
                </c:pt>
              </c:numCache>
            </c:numRef>
          </c:xVal>
          <c:yVal>
            <c:numRef>
              <c:f>'Díodo Zener'!$I$4:$I$20</c:f>
              <c:numCache>
                <c:formatCode>0.000</c:formatCode>
                <c:ptCount val="17"/>
                <c:pt idx="0">
                  <c:v>-1.033666053371185E-3</c:v>
                </c:pt>
                <c:pt idx="1">
                  <c:v>4.0598239044165041E-4</c:v>
                </c:pt>
                <c:pt idx="2">
                  <c:v>1.0445477299185768E-3</c:v>
                </c:pt>
                <c:pt idx="3">
                  <c:v>5.3281339289945606E-5</c:v>
                </c:pt>
                <c:pt idx="4">
                  <c:v>-9.8935009854184131E-4</c:v>
                </c:pt>
                <c:pt idx="5">
                  <c:v>6.5929885066040583E-5</c:v>
                </c:pt>
                <c:pt idx="6">
                  <c:v>6.6542536073743719E-4</c:v>
                </c:pt>
                <c:pt idx="7">
                  <c:v>3.5162548850919961E-4</c:v>
                </c:pt>
                <c:pt idx="8">
                  <c:v>-5.7826009709316395E-4</c:v>
                </c:pt>
                <c:pt idx="9">
                  <c:v>-6.9849107306474423E-4</c:v>
                </c:pt>
                <c:pt idx="10">
                  <c:v>1.4331451370139803E-3</c:v>
                </c:pt>
                <c:pt idx="11">
                  <c:v>-1.1478815582437463E-3</c:v>
                </c:pt>
                <c:pt idx="12">
                  <c:v>-3.5267802154503869E-4</c:v>
                </c:pt>
                <c:pt idx="13">
                  <c:v>3.4216161454203586E-4</c:v>
                </c:pt>
                <c:pt idx="14">
                  <c:v>1.5259762687183098E-3</c:v>
                </c:pt>
                <c:pt idx="15">
                  <c:v>-4.0250879453029853E-4</c:v>
                </c:pt>
                <c:pt idx="16">
                  <c:v>-6.8523951794663418E-4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9E-4F8B-8693-177ED6D5B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599584"/>
        <c:axId val="76601248"/>
      </c:scatterChart>
      <c:valAx>
        <c:axId val="76599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</a:t>
                </a:r>
                <a:r>
                  <a:rPr lang="pt-PT" sz="1400" baseline="-25000"/>
                  <a:t>D</a:t>
                </a:r>
                <a:r>
                  <a:rPr lang="pt-PT" sz="1400"/>
                  <a:t> /V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6601248"/>
        <c:crossesAt val="-4.000000000000001E-3"/>
        <c:crossBetween val="midCat"/>
      </c:valAx>
      <c:valAx>
        <c:axId val="7660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Resíduos de</a:t>
                </a:r>
                <a:r>
                  <a:rPr lang="pt-PT" sz="1400" baseline="0"/>
                  <a:t> ln(I</a:t>
                </a:r>
                <a:r>
                  <a:rPr lang="pt-PT" sz="1400" baseline="-25000"/>
                  <a:t>D</a:t>
                </a:r>
                <a:r>
                  <a:rPr lang="pt-PT" sz="1400" baseline="0"/>
                  <a:t>)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6599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Sentido </a:t>
            </a:r>
            <a:r>
              <a:rPr lang="pt-PT" sz="1600" baseline="0"/>
              <a:t>direto (díodo Zener)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Dados experimentais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3"/>
            <c:marker>
              <c:symbol val="circle"/>
              <c:size val="3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rgbClr val="F2F8EE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7D8-43F5-B863-B30BB823486B}"/>
              </c:ext>
            </c:extLst>
          </c:dPt>
          <c:xVal>
            <c:numRef>
              <c:f>'Díodo Zener'!$C$4:$C$47</c:f>
              <c:numCache>
                <c:formatCode>0.0000</c:formatCode>
                <c:ptCount val="44"/>
                <c:pt idx="0">
                  <c:v>0.74841999999999997</c:v>
                </c:pt>
                <c:pt idx="1">
                  <c:v>0.74787999999999999</c:v>
                </c:pt>
                <c:pt idx="2">
                  <c:v>0.74751000000000001</c:v>
                </c:pt>
                <c:pt idx="3">
                  <c:v>0.74712000000000001</c:v>
                </c:pt>
                <c:pt idx="4">
                  <c:v>0.74690999999999996</c:v>
                </c:pt>
                <c:pt idx="5">
                  <c:v>0.74648000000000003</c:v>
                </c:pt>
                <c:pt idx="6">
                  <c:v>0.74609999999999999</c:v>
                </c:pt>
                <c:pt idx="7">
                  <c:v>0.74546000000000001</c:v>
                </c:pt>
                <c:pt idx="8">
                  <c:v>0.74483999999999995</c:v>
                </c:pt>
                <c:pt idx="9">
                  <c:v>0.74407000000000001</c:v>
                </c:pt>
                <c:pt idx="10">
                  <c:v>0.74339999999999995</c:v>
                </c:pt>
                <c:pt idx="11">
                  <c:v>0.74292999999999998</c:v>
                </c:pt>
                <c:pt idx="12">
                  <c:v>0.74226999999999999</c:v>
                </c:pt>
                <c:pt idx="13">
                  <c:v>0.74160999999999999</c:v>
                </c:pt>
                <c:pt idx="14">
                  <c:v>0.74073</c:v>
                </c:pt>
                <c:pt idx="15">
                  <c:v>0.73985000000000001</c:v>
                </c:pt>
                <c:pt idx="16">
                  <c:v>0.73865999999999998</c:v>
                </c:pt>
                <c:pt idx="17">
                  <c:v>0.73760000000000003</c:v>
                </c:pt>
                <c:pt idx="18">
                  <c:v>0.73665000000000003</c:v>
                </c:pt>
                <c:pt idx="19">
                  <c:v>0.73585</c:v>
                </c:pt>
                <c:pt idx="20">
                  <c:v>0.73458999999999997</c:v>
                </c:pt>
                <c:pt idx="21">
                  <c:v>0.73301000000000005</c:v>
                </c:pt>
                <c:pt idx="22">
                  <c:v>0.73158000000000001</c:v>
                </c:pt>
                <c:pt idx="23">
                  <c:v>0.73038000000000003</c:v>
                </c:pt>
                <c:pt idx="24">
                  <c:v>0.72936999999999996</c:v>
                </c:pt>
                <c:pt idx="25">
                  <c:v>0.72740000000000005</c:v>
                </c:pt>
                <c:pt idx="26">
                  <c:v>0.72589000000000004</c:v>
                </c:pt>
                <c:pt idx="27">
                  <c:v>0.72297</c:v>
                </c:pt>
                <c:pt idx="28">
                  <c:v>0.72116000000000002</c:v>
                </c:pt>
                <c:pt idx="29">
                  <c:v>0.71879000000000004</c:v>
                </c:pt>
                <c:pt idx="30">
                  <c:v>0.71552000000000004</c:v>
                </c:pt>
                <c:pt idx="31">
                  <c:v>0.71336999999999995</c:v>
                </c:pt>
                <c:pt idx="32">
                  <c:v>0.70999000000000001</c:v>
                </c:pt>
                <c:pt idx="33">
                  <c:v>0.70564000000000004</c:v>
                </c:pt>
                <c:pt idx="34">
                  <c:v>0.70186999999999999</c:v>
                </c:pt>
                <c:pt idx="35">
                  <c:v>0.69674000000000003</c:v>
                </c:pt>
                <c:pt idx="36">
                  <c:v>0.69005000000000005</c:v>
                </c:pt>
                <c:pt idx="37">
                  <c:v>0.68408999999999998</c:v>
                </c:pt>
                <c:pt idx="38">
                  <c:v>0.67081999999999997</c:v>
                </c:pt>
                <c:pt idx="39">
                  <c:v>0.65517000000000003</c:v>
                </c:pt>
                <c:pt idx="40">
                  <c:v>0.63502999999999998</c:v>
                </c:pt>
                <c:pt idx="41">
                  <c:v>0.59589999999999999</c:v>
                </c:pt>
              </c:numCache>
            </c:numRef>
          </c:xVal>
          <c:yVal>
            <c:numRef>
              <c:f>'Díodo Zener'!$B$4:$B$47</c:f>
              <c:numCache>
                <c:formatCode>0.000E+00</c:formatCode>
                <c:ptCount val="44"/>
                <c:pt idx="0">
                  <c:v>9.6130000000000011E-4</c:v>
                </c:pt>
                <c:pt idx="1">
                  <c:v>9.4489999999999993E-4</c:v>
                </c:pt>
                <c:pt idx="2">
                  <c:v>9.3349999999999998E-4</c:v>
                </c:pt>
                <c:pt idx="3">
                  <c:v>9.2010000000000008E-4</c:v>
                </c:pt>
                <c:pt idx="4">
                  <c:v>9.1250000000000001E-4</c:v>
                </c:pt>
                <c:pt idx="5">
                  <c:v>9.0000000000000008E-4</c:v>
                </c:pt>
                <c:pt idx="6">
                  <c:v>8.8880000000000003E-4</c:v>
                </c:pt>
                <c:pt idx="7">
                  <c:v>8.6910000000000004E-4</c:v>
                </c:pt>
                <c:pt idx="8">
                  <c:v>8.499E-4</c:v>
                </c:pt>
                <c:pt idx="9">
                  <c:v>8.275E-4</c:v>
                </c:pt>
                <c:pt idx="10">
                  <c:v>8.1030000000000002E-4</c:v>
                </c:pt>
                <c:pt idx="11">
                  <c:v>7.9520000000000003E-4</c:v>
                </c:pt>
                <c:pt idx="12">
                  <c:v>7.779000000000001E-4</c:v>
                </c:pt>
                <c:pt idx="13">
                  <c:v>7.6090000000000001E-4</c:v>
                </c:pt>
                <c:pt idx="14">
                  <c:v>7.3899999999999997E-4</c:v>
                </c:pt>
                <c:pt idx="15">
                  <c:v>7.1549999999999999E-4</c:v>
                </c:pt>
                <c:pt idx="16">
                  <c:v>6.8650000000000004E-4</c:v>
                </c:pt>
                <c:pt idx="17">
                  <c:v>6.619000000000001E-4</c:v>
                </c:pt>
                <c:pt idx="18">
                  <c:v>6.4100000000000008E-4</c:v>
                </c:pt>
                <c:pt idx="19">
                  <c:v>6.2360000000000009E-4</c:v>
                </c:pt>
                <c:pt idx="20">
                  <c:v>5.9709999999999993E-4</c:v>
                </c:pt>
                <c:pt idx="21">
                  <c:v>5.6589999999999993E-4</c:v>
                </c:pt>
                <c:pt idx="22">
                  <c:v>5.3850000000000002E-4</c:v>
                </c:pt>
                <c:pt idx="23">
                  <c:v>5.1670000000000004E-4</c:v>
                </c:pt>
                <c:pt idx="24">
                  <c:v>4.9910000000000004E-4</c:v>
                </c:pt>
                <c:pt idx="25">
                  <c:v>4.6650000000000001E-4</c:v>
                </c:pt>
                <c:pt idx="26">
                  <c:v>4.4349999999999999E-4</c:v>
                </c:pt>
                <c:pt idx="27">
                  <c:v>4.0150000000000006E-4</c:v>
                </c:pt>
                <c:pt idx="28">
                  <c:v>3.771E-4</c:v>
                </c:pt>
                <c:pt idx="29">
                  <c:v>3.4820000000000001E-4</c:v>
                </c:pt>
                <c:pt idx="30">
                  <c:v>3.1140000000000003E-4</c:v>
                </c:pt>
                <c:pt idx="31">
                  <c:v>2.899E-4</c:v>
                </c:pt>
                <c:pt idx="32">
                  <c:v>2.587E-4</c:v>
                </c:pt>
                <c:pt idx="33">
                  <c:v>2.2350000000000001E-4</c:v>
                </c:pt>
                <c:pt idx="34">
                  <c:v>1.9709999999999999E-4</c:v>
                </c:pt>
                <c:pt idx="35">
                  <c:v>1.6580000000000002E-4</c:v>
                </c:pt>
                <c:pt idx="36">
                  <c:v>1.3310000000000001E-4</c:v>
                </c:pt>
                <c:pt idx="37">
                  <c:v>1.093E-4</c:v>
                </c:pt>
                <c:pt idx="38" formatCode="0.00E+00">
                  <c:v>7.0900000000000002E-5</c:v>
                </c:pt>
                <c:pt idx="39" formatCode="0.00E+00">
                  <c:v>4.3099999999999997E-5</c:v>
                </c:pt>
                <c:pt idx="40" formatCode="0.00E+00">
                  <c:v>2.3E-5</c:v>
                </c:pt>
                <c:pt idx="41" formatCode="0.0E+00">
                  <c:v>7.1999999999999997E-6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D8-43F5-B863-B30BB823486B}"/>
            </c:ext>
          </c:extLst>
        </c:ser>
        <c:ser>
          <c:idx val="1"/>
          <c:order val="1"/>
          <c:tx>
            <c:v>Ajuste</c:v>
          </c:tx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'Díodo Zener'!$C$4:$C$47</c:f>
              <c:numCache>
                <c:formatCode>0.0000</c:formatCode>
                <c:ptCount val="44"/>
                <c:pt idx="0">
                  <c:v>0.74841999999999997</c:v>
                </c:pt>
                <c:pt idx="1">
                  <c:v>0.74787999999999999</c:v>
                </c:pt>
                <c:pt idx="2">
                  <c:v>0.74751000000000001</c:v>
                </c:pt>
                <c:pt idx="3">
                  <c:v>0.74712000000000001</c:v>
                </c:pt>
                <c:pt idx="4">
                  <c:v>0.74690999999999996</c:v>
                </c:pt>
                <c:pt idx="5">
                  <c:v>0.74648000000000003</c:v>
                </c:pt>
                <c:pt idx="6">
                  <c:v>0.74609999999999999</c:v>
                </c:pt>
                <c:pt idx="7">
                  <c:v>0.74546000000000001</c:v>
                </c:pt>
                <c:pt idx="8">
                  <c:v>0.74483999999999995</c:v>
                </c:pt>
                <c:pt idx="9">
                  <c:v>0.74407000000000001</c:v>
                </c:pt>
                <c:pt idx="10">
                  <c:v>0.74339999999999995</c:v>
                </c:pt>
                <c:pt idx="11">
                  <c:v>0.74292999999999998</c:v>
                </c:pt>
                <c:pt idx="12">
                  <c:v>0.74226999999999999</c:v>
                </c:pt>
                <c:pt idx="13">
                  <c:v>0.74160999999999999</c:v>
                </c:pt>
                <c:pt idx="14">
                  <c:v>0.74073</c:v>
                </c:pt>
                <c:pt idx="15">
                  <c:v>0.73985000000000001</c:v>
                </c:pt>
                <c:pt idx="16">
                  <c:v>0.73865999999999998</c:v>
                </c:pt>
                <c:pt idx="17">
                  <c:v>0.73760000000000003</c:v>
                </c:pt>
                <c:pt idx="18">
                  <c:v>0.73665000000000003</c:v>
                </c:pt>
                <c:pt idx="19">
                  <c:v>0.73585</c:v>
                </c:pt>
                <c:pt idx="20">
                  <c:v>0.73458999999999997</c:v>
                </c:pt>
                <c:pt idx="21">
                  <c:v>0.73301000000000005</c:v>
                </c:pt>
                <c:pt idx="22">
                  <c:v>0.73158000000000001</c:v>
                </c:pt>
                <c:pt idx="23">
                  <c:v>0.73038000000000003</c:v>
                </c:pt>
                <c:pt idx="24">
                  <c:v>0.72936999999999996</c:v>
                </c:pt>
                <c:pt idx="25">
                  <c:v>0.72740000000000005</c:v>
                </c:pt>
                <c:pt idx="26">
                  <c:v>0.72589000000000004</c:v>
                </c:pt>
                <c:pt idx="27">
                  <c:v>0.72297</c:v>
                </c:pt>
                <c:pt idx="28">
                  <c:v>0.72116000000000002</c:v>
                </c:pt>
                <c:pt idx="29">
                  <c:v>0.71879000000000004</c:v>
                </c:pt>
                <c:pt idx="30">
                  <c:v>0.71552000000000004</c:v>
                </c:pt>
                <c:pt idx="31">
                  <c:v>0.71336999999999995</c:v>
                </c:pt>
                <c:pt idx="32">
                  <c:v>0.70999000000000001</c:v>
                </c:pt>
                <c:pt idx="33">
                  <c:v>0.70564000000000004</c:v>
                </c:pt>
                <c:pt idx="34">
                  <c:v>0.70186999999999999</c:v>
                </c:pt>
                <c:pt idx="35">
                  <c:v>0.69674000000000003</c:v>
                </c:pt>
                <c:pt idx="36">
                  <c:v>0.69005000000000005</c:v>
                </c:pt>
                <c:pt idx="37">
                  <c:v>0.68408999999999998</c:v>
                </c:pt>
                <c:pt idx="38">
                  <c:v>0.67081999999999997</c:v>
                </c:pt>
                <c:pt idx="39">
                  <c:v>0.65517000000000003</c:v>
                </c:pt>
                <c:pt idx="40">
                  <c:v>0.63502999999999998</c:v>
                </c:pt>
                <c:pt idx="41">
                  <c:v>0.59589999999999999</c:v>
                </c:pt>
              </c:numCache>
            </c:numRef>
          </c:xVal>
          <c:yVal>
            <c:numRef>
              <c:f>'Díodo Zener'!$J$4:$J$47</c:f>
              <c:numCache>
                <c:formatCode>0.000E+00</c:formatCode>
                <c:ptCount val="44"/>
                <c:pt idx="0">
                  <c:v>9.6229417690630269E-4</c:v>
                </c:pt>
                <c:pt idx="1">
                  <c:v>9.4451646509300193E-4</c:v>
                </c:pt>
                <c:pt idx="2">
                  <c:v>9.325254237726807E-4</c:v>
                </c:pt>
                <c:pt idx="3">
                  <c:v>9.20050977139984E-4</c:v>
                </c:pt>
                <c:pt idx="4">
                  <c:v>9.1340322869019549E-4</c:v>
                </c:pt>
                <c:pt idx="5">
                  <c:v>8.9994066505368921E-4</c:v>
                </c:pt>
                <c:pt idx="6">
                  <c:v>8.8820876666627238E-4</c:v>
                </c:pt>
                <c:pt idx="7">
                  <c:v>8.6879445600386335E-4</c:v>
                </c:pt>
                <c:pt idx="8">
                  <c:v>8.5039160537496254E-4</c:v>
                </c:pt>
                <c:pt idx="9">
                  <c:v>8.2807820326861971E-4</c:v>
                </c:pt>
                <c:pt idx="10">
                  <c:v>8.0913955423195575E-4</c:v>
                </c:pt>
                <c:pt idx="11">
                  <c:v>7.9611331950039661E-4</c:v>
                </c:pt>
                <c:pt idx="12">
                  <c:v>7.7817439661119795E-4</c:v>
                </c:pt>
                <c:pt idx="13">
                  <c:v>7.6063969375768999E-4</c:v>
                </c:pt>
                <c:pt idx="14">
                  <c:v>7.3787316351320168E-4</c:v>
                </c:pt>
                <c:pt idx="15">
                  <c:v>7.1578805300478445E-4</c:v>
                </c:pt>
                <c:pt idx="16">
                  <c:v>6.8697057813427804E-4</c:v>
                </c:pt>
                <c:pt idx="17">
                  <c:v>6.6227967328439817E-4</c:v>
                </c:pt>
                <c:pt idx="18">
                  <c:v>6.4090605283108988E-4</c:v>
                </c:pt>
                <c:pt idx="19">
                  <c:v>6.2344314646933189E-4</c:v>
                </c:pt>
                <c:pt idx="20">
                  <c:v>5.9689888017645516E-4</c:v>
                </c:pt>
                <c:pt idx="21">
                  <c:v>5.6520457159825357E-4</c:v>
                </c:pt>
                <c:pt idx="22">
                  <c:v>5.3797253264463679E-4</c:v>
                </c:pt>
                <c:pt idx="23">
                  <c:v>5.1613561199756193E-4</c:v>
                </c:pt>
                <c:pt idx="24">
                  <c:v>4.9844467273224807E-4</c:v>
                </c:pt>
                <c:pt idx="25">
                  <c:v>4.6566443542269732E-4</c:v>
                </c:pt>
                <c:pt idx="26">
                  <c:v>4.420055831248786E-4</c:v>
                </c:pt>
                <c:pt idx="27">
                  <c:v>3.9961042924425299E-4</c:v>
                </c:pt>
                <c:pt idx="28">
                  <c:v>3.7539841058680814E-4</c:v>
                </c:pt>
                <c:pt idx="29">
                  <c:v>3.4589937892955813E-4</c:v>
                </c:pt>
                <c:pt idx="30">
                  <c:v>3.0896545702090183E-4</c:v>
                </c:pt>
                <c:pt idx="31">
                  <c:v>2.8685775636920474E-4</c:v>
                </c:pt>
                <c:pt idx="32">
                  <c:v>2.5525666070448644E-4</c:v>
                </c:pt>
                <c:pt idx="33">
                  <c:v>2.1965473972574321E-4</c:v>
                </c:pt>
                <c:pt idx="34">
                  <c:v>1.9284228775636678E-4</c:v>
                </c:pt>
                <c:pt idx="35">
                  <c:v>1.6153557815107373E-4</c:v>
                </c:pt>
                <c:pt idx="36">
                  <c:v>1.2821503213072637E-4</c:v>
                </c:pt>
                <c:pt idx="37">
                  <c:v>1.0436561482237967E-4</c:v>
                </c:pt>
                <c:pt idx="38">
                  <c:v>6.6000709607806372E-5</c:v>
                </c:pt>
                <c:pt idx="39">
                  <c:v>3.8445645546975368E-5</c:v>
                </c:pt>
                <c:pt idx="40">
                  <c:v>1.9178279344019496E-5</c:v>
                </c:pt>
                <c:pt idx="41">
                  <c:v>4.9657063889071084E-6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D8-43F5-B863-B30BB8234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723103"/>
        <c:axId val="520726847"/>
      </c:scatterChart>
      <c:valAx>
        <c:axId val="520723103"/>
        <c:scaling>
          <c:orientation val="minMax"/>
          <c:max val="0.76000000000000012"/>
          <c:min val="0.59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 /V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20726847"/>
        <c:crosses val="autoZero"/>
        <c:crossBetween val="midCat"/>
      </c:valAx>
      <c:valAx>
        <c:axId val="520726847"/>
        <c:scaling>
          <c:orientation val="minMax"/>
          <c:max val="1.0000000000000002E-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I</a:t>
                </a:r>
                <a:r>
                  <a:rPr lang="pt-PT" sz="1400" baseline="-25000"/>
                  <a:t>D</a:t>
                </a:r>
                <a:r>
                  <a:rPr lang="pt-PT" sz="1400"/>
                  <a:t> /A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20723103"/>
        <c:crosses val="autoZero"/>
        <c:crossBetween val="midCat"/>
        <c:majorUnit val="2.0000000000000006E-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481642</xdr:colOff>
      <xdr:row>2</xdr:row>
      <xdr:rowOff>9696</xdr:rowOff>
    </xdr:from>
    <xdr:to>
      <xdr:col>25</xdr:col>
      <xdr:colOff>32842</xdr:colOff>
      <xdr:row>16</xdr:row>
      <xdr:rowOff>42696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4978B5E-A12E-8BF9-1F59-13F6A901A8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481345</xdr:colOff>
      <xdr:row>16</xdr:row>
      <xdr:rowOff>124843</xdr:rowOff>
    </xdr:from>
    <xdr:to>
      <xdr:col>25</xdr:col>
      <xdr:colOff>26942</xdr:colOff>
      <xdr:row>31</xdr:row>
      <xdr:rowOff>135432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D3828F7-BC21-58DA-6726-FD10D491EC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493568</xdr:colOff>
      <xdr:row>37</xdr:row>
      <xdr:rowOff>109969</xdr:rowOff>
    </xdr:from>
    <xdr:to>
      <xdr:col>25</xdr:col>
      <xdr:colOff>46499</xdr:colOff>
      <xdr:row>51</xdr:row>
      <xdr:rowOff>163751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234DF97-9B00-3017-C446-36DA08D659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900547</xdr:colOff>
      <xdr:row>50</xdr:row>
      <xdr:rowOff>48490</xdr:rowOff>
    </xdr:from>
    <xdr:to>
      <xdr:col>8</xdr:col>
      <xdr:colOff>207907</xdr:colOff>
      <xdr:row>65</xdr:row>
      <xdr:rowOff>5290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45C5C440-41E3-E9A1-6663-7726DAF66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346364</xdr:colOff>
      <xdr:row>50</xdr:row>
      <xdr:rowOff>48491</xdr:rowOff>
    </xdr:from>
    <xdr:to>
      <xdr:col>5</xdr:col>
      <xdr:colOff>171884</xdr:colOff>
      <xdr:row>65</xdr:row>
      <xdr:rowOff>5291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FAFD6FD7-7BBE-2B20-2A09-AB2743D55C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278517</xdr:colOff>
      <xdr:row>1</xdr:row>
      <xdr:rowOff>168569</xdr:rowOff>
    </xdr:from>
    <xdr:to>
      <xdr:col>39</xdr:col>
      <xdr:colOff>297567</xdr:colOff>
      <xdr:row>17</xdr:row>
      <xdr:rowOff>20971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9FB3238-B14E-A5FE-AD14-C879834E87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30</xdr:col>
      <xdr:colOff>480406</xdr:colOff>
      <xdr:row>31</xdr:row>
      <xdr:rowOff>186690</xdr:rowOff>
    </xdr:from>
    <xdr:to>
      <xdr:col>38</xdr:col>
      <xdr:colOff>499456</xdr:colOff>
      <xdr:row>46</xdr:row>
      <xdr:rowOff>89362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2C411AF5-481E-A897-50FF-E04A40A80B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870065</xdr:colOff>
      <xdr:row>68</xdr:row>
      <xdr:rowOff>98368</xdr:rowOff>
    </xdr:from>
    <xdr:to>
      <xdr:col>6</xdr:col>
      <xdr:colOff>360305</xdr:colOff>
      <xdr:row>83</xdr:row>
      <xdr:rowOff>55168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CF7EC70D-CD03-5920-589D-6068DA04A3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454117</xdr:colOff>
      <xdr:row>1</xdr:row>
      <xdr:rowOff>108878</xdr:rowOff>
    </xdr:from>
    <xdr:to>
      <xdr:col>22</xdr:col>
      <xdr:colOff>249157</xdr:colOff>
      <xdr:row>16</xdr:row>
      <xdr:rowOff>100667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0D4E8E0-5260-4612-BF2D-1F6CE7D643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321080</xdr:colOff>
      <xdr:row>0</xdr:row>
      <xdr:rowOff>194657</xdr:rowOff>
    </xdr:from>
    <xdr:to>
      <xdr:col>36</xdr:col>
      <xdr:colOff>8120</xdr:colOff>
      <xdr:row>15</xdr:row>
      <xdr:rowOff>118206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2AA7B6C-BB63-4358-B463-DB7BAA9E57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480465</xdr:colOff>
      <xdr:row>17</xdr:row>
      <xdr:rowOff>107272</xdr:rowOff>
    </xdr:from>
    <xdr:to>
      <xdr:col>22</xdr:col>
      <xdr:colOff>275505</xdr:colOff>
      <xdr:row>32</xdr:row>
      <xdr:rowOff>103415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A3B5034-E957-8294-BF29-27B72293E8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670659</xdr:colOff>
      <xdr:row>40</xdr:row>
      <xdr:rowOff>84610</xdr:rowOff>
    </xdr:from>
    <xdr:to>
      <xdr:col>22</xdr:col>
      <xdr:colOff>465699</xdr:colOff>
      <xdr:row>55</xdr:row>
      <xdr:rowOff>52493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CE04266-295F-4C5D-7195-C9C33C03C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739336</xdr:colOff>
      <xdr:row>53</xdr:row>
      <xdr:rowOff>10391</xdr:rowOff>
    </xdr:from>
    <xdr:to>
      <xdr:col>6</xdr:col>
      <xdr:colOff>192564</xdr:colOff>
      <xdr:row>67</xdr:row>
      <xdr:rowOff>119591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506538E4-6701-A437-A307-839E6C3D8D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385156</xdr:colOff>
      <xdr:row>56</xdr:row>
      <xdr:rowOff>164868</xdr:rowOff>
    </xdr:from>
    <xdr:to>
      <xdr:col>20</xdr:col>
      <xdr:colOff>948471</xdr:colOff>
      <xdr:row>76</xdr:row>
      <xdr:rowOff>63725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3BD8CD0A-F723-D3EF-3B7E-25F1536935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211440</xdr:colOff>
      <xdr:row>53</xdr:row>
      <xdr:rowOff>3154</xdr:rowOff>
    </xdr:from>
    <xdr:to>
      <xdr:col>9</xdr:col>
      <xdr:colOff>470212</xdr:colOff>
      <xdr:row>67</xdr:row>
      <xdr:rowOff>112354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6D44C289-0E2C-CBFE-D4A9-FF2C459646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278191</xdr:colOff>
      <xdr:row>68</xdr:row>
      <xdr:rowOff>145143</xdr:rowOff>
    </xdr:from>
    <xdr:to>
      <xdr:col>7</xdr:col>
      <xdr:colOff>460762</xdr:colOff>
      <xdr:row>83</xdr:row>
      <xdr:rowOff>69286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F8182B03-DB88-4B70-A028-4B5E14FF90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252ABB-1063-4F1D-99D5-91612F0756AA}" name="Tabela710125" displayName="Tabela710125" ref="A3:M42" totalsRowShown="0">
  <autoFilter ref="A3:M42" xr:uid="{403E9737-0156-4963-8CDE-520F07A7F736}"/>
  <tableColumns count="13">
    <tableColumn id="1" xr3:uid="{22BD7FA6-AB84-4A3D-97BB-375A30328D91}" name="ID /mA ± 0.0001 mA"/>
    <tableColumn id="2" xr3:uid="{25CCF183-EC38-4361-B884-B08147AEEA36}" name="ID /A ± 1E-7 A" dataDxfId="27">
      <calculatedColumnFormula>Tabela710125[[#This Row],[ID /mA ± 0.0001 mA]]*0.001</calculatedColumnFormula>
    </tableColumn>
    <tableColumn id="3" xr3:uid="{C242B5DB-E311-4625-9C57-7976F269F9D9}" name="VD /V ± 0.00001 V" dataDxfId="26"/>
    <tableColumn id="4" xr3:uid="{3B4DC2DD-7C9A-4E17-83A8-9F2D5A4BDB2B}" name="ln(ID)" dataDxfId="25">
      <calculatedColumnFormula>LN(Tabela710125[[#This Row],[ID /A ± 1E-7 A]])</calculatedColumnFormula>
    </tableColumn>
    <tableColumn id="9" xr3:uid="{FD51AA2A-E9ED-4F39-B91C-4CB2D77CFE41}" name="u(ln(ID))" dataDxfId="24">
      <calculatedColumnFormula>1/Tabela710125[[#This Row],[ID /A ± 1E-7 A]]*0.0000001</calculatedColumnFormula>
    </tableColumn>
    <tableColumn id="5" xr3:uid="{B4492ED8-6F1B-4447-8B41-F18C867F5F14}" name="Ajuste 1 de ln(I0)" dataDxfId="23">
      <calculatedColumnFormula>W$35*Tabela710125[[#This Row],[VD /V ± 0.00001 V]]+X$35</calculatedColumnFormula>
    </tableColumn>
    <tableColumn id="6" xr3:uid="{E32F8820-5697-4F83-A984-A80B7C82A166}" name="Resíduos 1 de ln(I0)" dataDxfId="22">
      <calculatedColumnFormula>Tabela710125[[#This Row],[ln(ID)]]-Tabela710125[[#This Row],[Ajuste 1 de ln(I0)]]</calculatedColumnFormula>
    </tableColumn>
    <tableColumn id="7" xr3:uid="{2B43C0C8-4540-4F6B-86DB-6BC8260FB5B7}" name="Ajuste 2 de ln(I0)" dataDxfId="21">
      <calculatedColumnFormula>I$46*Tabela710125[[#This Row],[VD /V ± 0.00001 V]]+J$46</calculatedColumnFormula>
    </tableColumn>
    <tableColumn id="8" xr3:uid="{BF2E20C7-C492-419D-B065-72F6F5B75986}" name="Resíduos 2 de ln(I0)" dataDxfId="17">
      <calculatedColumnFormula>Tabela710125[[#This Row],[ln(ID)]]-Tabela710125[[#This Row],[Ajuste 2 de ln(I0)]]</calculatedColumnFormula>
    </tableColumn>
    <tableColumn id="10" xr3:uid="{2B6F3B4A-6918-4329-9719-975166021FB3}" name="Ajuste de ID /A" dataDxfId="16">
      <calculatedColumnFormula>E$48*(EXP(B$49*Tabela710125[[#This Row],[VD /V ± 0.00001 V]]/(E$45*B$47*B$45))-1)</calculatedColumnFormula>
    </tableColumn>
    <tableColumn id="11" xr3:uid="{56BBDF6D-8746-417A-821C-F7D784CD931A}" name="Resíduos de I0 /A" dataDxfId="15">
      <calculatedColumnFormula>Tabela710125[[#This Row],[ID /A ± 1E-7 A]]-Tabela710125[[#This Row],[Ajuste de ID /A]]</calculatedColumnFormula>
    </tableColumn>
    <tableColumn id="12" xr3:uid="{6F7D0FAA-74EE-43CF-BBEF-7AFFFEB6224E}" name="RDC /Ω" dataDxfId="7">
      <calculatedColumnFormula>Tabela710125[[#This Row],[VD /V ± 0.00001 V]]/Tabela710125[[#This Row],[ID /A ± 1E-7 A]]</calculatedColumnFormula>
    </tableColumn>
    <tableColumn id="13" xr3:uid="{57D1B419-B9AB-4439-B6BD-AD6005133ED8}" name="RAC /Ω" dataDxfId="6">
      <calculatedColumnFormula>((Tabela710125[[#This Row],[VD /V ± 0.00001 V]]-C3)/(Tabela710125[[#This Row],[ID /A ± 1E-7 A]]-B3)+(Tabela710125[[#This Row],[VD /V ± 0.00001 V]]-C5)/(Tabela710125[[#This Row],[ID /A ± 1E-7 A]]-B5))/2</calculatedColumnFormula>
    </tableColumn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C05F58-EB02-471F-9B3B-9E5A609E15EC}" name="Tabela1" displayName="Tabela1" ref="AA3:AE29" totalsRowShown="0" headerRowDxfId="36" dataDxfId="37" headerRowBorderDxfId="38" tableBorderDxfId="39">
  <autoFilter ref="AA3:AE29" xr:uid="{3FC05F58-EB02-471F-9B3B-9E5A609E15EC}"/>
  <tableColumns count="5">
    <tableColumn id="1" xr3:uid="{AAC823F3-A4E5-4A9D-9CD4-C1CD25F01CFD}" name="ID /mA" dataDxfId="14"/>
    <tableColumn id="3" xr3:uid="{F391E3C3-EC2D-49F9-ACC1-1E0E18B3F3FF}" name="ID /A" dataDxfId="12">
      <calculatedColumnFormula>Tabela1[[#This Row],[ID /mA]]*0.000001</calculatedColumnFormula>
    </tableColumn>
    <tableColumn id="2" xr3:uid="{27496659-D3D9-4040-AF8C-AFD22EDCDF2C}" name="VD /V" dataDxfId="13"/>
    <tableColumn id="4" xr3:uid="{1253AD4A-902B-4708-A99E-6FD06E3B76CB}" name="Rdc" dataDxfId="5">
      <calculatedColumnFormula>Tabela1[[#This Row],[VD /V]]/Tabela1[[#This Row],[ID /A]]</calculatedColumnFormula>
    </tableColumn>
    <tableColumn id="5" xr3:uid="{62AA5471-F1E6-4D2F-A348-8BE4D54AE66A}" name="RAC" dataDxfId="4">
      <calculatedColumnFormula>((Tabela1[[#This Row],[VD /V]]-AC3)/(Tabela1[[#This Row],[ID /A]]-AB3)+(Tabela1[[#This Row],[VD /V]]-AC5)/(Tabela1[[#This Row],[ID /A]]-AB6))/2</calculatedColumnFormula>
    </tableColumn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0B4944-27D0-4677-8DF2-9CAAEE088578}" name="Tabela7101259" displayName="Tabela7101259" ref="A3:M45" totalsRowShown="0" dataDxfId="35">
  <autoFilter ref="A3:M45" xr:uid="{403E9737-0156-4963-8CDE-520F07A7F736}"/>
  <tableColumns count="13">
    <tableColumn id="1" xr3:uid="{516615D5-979C-46F6-A9AB-98DE0F32BAEB}" name="ID /mA ± 1E-4 mA" dataDxfId="34"/>
    <tableColumn id="2" xr3:uid="{B57C7241-6AE3-4F7E-A6DA-75F194B843BA}" name="ID /A ± 1E-7 A" dataDxfId="33">
      <calculatedColumnFormula>Tabela7101259[[#This Row],[ID /mA ± 1E-4 mA]]*0.001</calculatedColumnFormula>
    </tableColumn>
    <tableColumn id="3" xr3:uid="{D8AB295D-2EF9-42FA-9AA4-7898A7CF7D8C}" name="VD /V ± 1E-5 V" dataDxfId="30"/>
    <tableColumn id="4" xr3:uid="{192A0D3D-A385-4AFF-9F9E-E0D16D5CDF4B}" name="ln(ID)" dataDxfId="20">
      <calculatedColumnFormula>LN(Tabela7101259[[#This Row],[ID /A ± 1E-7 A]])</calculatedColumnFormula>
    </tableColumn>
    <tableColumn id="9" xr3:uid="{F511B150-5045-40D0-8A98-A0D8BB5E7A60}" name="u(ln(ID))" dataDxfId="18">
      <calculatedColumnFormula>1/B4*0.0000001</calculatedColumnFormula>
    </tableColumn>
    <tableColumn id="5" xr3:uid="{BF2EB3A3-FF72-4828-AFC6-FFB26D69C68D}" name="Ajuste 1 de ln(ID)" dataDxfId="19">
      <calculatedColumnFormula>U$36*Tabela7101259[[#This Row],[VD /V ± 1E-5 V]]+V$36</calculatedColumnFormula>
    </tableColumn>
    <tableColumn id="6" xr3:uid="{4ACA60E2-5FCA-4FBD-BE61-B88116652224}" name="Resíduos 1 de ln(ID)" dataDxfId="29">
      <calculatedColumnFormula>Tabela7101259[[#This Row],[ln(ID)]]-Tabela7101259[[#This Row],[Ajuste 1 de ln(ID)]]</calculatedColumnFormula>
    </tableColumn>
    <tableColumn id="7" xr3:uid="{4FC1907B-1F9B-4A5B-8F7B-245803A38E48}" name="Ajuste 2 de ln(ID)" dataDxfId="28">
      <calculatedColumnFormula>I$49*Tabela7101259[[#This Row],[VD /V ± 1E-5 V]]+J$49</calculatedColumnFormula>
    </tableColumn>
    <tableColumn id="8" xr3:uid="{84176610-5DBE-441D-A6F6-FDD64BF3551B}" name="Resíduos 2 de ln(ID)" dataDxfId="10">
      <calculatedColumnFormula>Tabela7101259[[#This Row],[ln(ID)]]-Tabela7101259[[#This Row],[Ajuste 2 de ln(ID)]]</calculatedColumnFormula>
    </tableColumn>
    <tableColumn id="10" xr3:uid="{E8F46C79-B083-4884-B916-EC5ECC3ABF86}" name="Ajuste de ID /A" dataDxfId="8">
      <calculatedColumnFormula>E$51*(EXP(B$52*Tabela7101259[[#This Row],[VD /V ± 1E-5 V]]/(E$48*B$50*B$48))-1)</calculatedColumnFormula>
    </tableColumn>
    <tableColumn id="11" xr3:uid="{25033F98-B114-4C92-A434-4A894F3F993D}" name="Resíduos de ID /A" dataDxfId="9">
      <calculatedColumnFormula>Tabela7101259[[#This Row],[ID /A ± 1E-7 A]]-Tabela7101259[[#This Row],[Ajuste de ID /A]]</calculatedColumnFormula>
    </tableColumn>
    <tableColumn id="12" xr3:uid="{A865144D-3BF3-4A12-97D3-BE19F0D25AE8}" name="RDC /Ω" dataDxfId="11">
      <calculatedColumnFormula>Tabela7101259[[#This Row],[VD /V ± 1E-5 V]]/Tabela7101259[[#This Row],[ID /A ± 1E-7 A]]</calculatedColumnFormula>
    </tableColumn>
    <tableColumn id="14" xr3:uid="{B48AFBD2-4B8E-4281-B251-B397180F2940}" name="RAC" dataDxfId="3">
      <calculatedColumnFormula>((Tabela7101259[[#This Row],[VD /V ± 1E-5 V]]-C3)/(Tabela7101259[[#This Row],[ID /A ± 1E-7 A]]-B3)+(Tabela7101259[[#This Row],[VD /V ± 1E-5 V]]-C5)/(Tabela7101259[[#This Row],[ID /A ± 1E-7 A]]-B5))/2</calculatedColumnFormula>
    </tableColumn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EEB3134-6B19-4586-AAFE-A517C56FE139}" name="Tabela710124813" displayName="Tabela710124813" ref="X3:AB45" totalsRowShown="0" dataDxfId="40">
  <autoFilter ref="X3:AB45" xr:uid="{0804DF16-DBE2-437A-A88A-7F77A3247AAE}"/>
  <tableColumns count="5">
    <tableColumn id="1" xr3:uid="{23B1410B-F889-418C-AD11-38F982667D2C}" name="ID /mA ± 1E-4 mA" dataDxfId="32"/>
    <tableColumn id="2" xr3:uid="{DD8CA70C-416C-4CB3-8C54-7820FF26EA05}" name="ID /A ± 1E-7 A" dataDxfId="31">
      <calculatedColumnFormula>Tabela710124813[[#This Row],[ID /mA ± 1E-4 mA]]*0.001</calculatedColumnFormula>
    </tableColumn>
    <tableColumn id="3" xr3:uid="{CB08F022-22C4-4F8B-AD61-7F49A3C7E262}" name="VD /V ± 1E-5 V" dataDxfId="2"/>
    <tableColumn id="4" xr3:uid="{DD36BDBF-5430-4E6F-A4AC-90095B097ECA}" name="RDC" dataDxfId="1">
      <calculatedColumnFormula>Tabela710124813[[#This Row],[VD /V ± 1E-5 V]]/Tabela710124813[[#This Row],[ID /A ± 1E-7 A]]</calculatedColumnFormula>
    </tableColumn>
    <tableColumn id="5" xr3:uid="{465DE2CB-99C9-4C1E-BFC5-4C64AB9D39C7}" name="RAC" dataDxfId="0">
      <calculatedColumnFormula>((Tabela710124813[[#This Row],[VD /V ± 1E-5 V]]-Z3)/(Tabela710124813[[#This Row],[ID /A ± 1E-7 A]]-Y3)+(Tabela710124813[[#This Row],[VD /V ± 1E-5 V]]-Z5)/(Tabela710124813[[#This Row],[ID /A ± 1E-7 A]]-Y5))/2</calculatedColumnFormula>
    </tableColumn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2E34-A653-4115-BB9D-D3E0493AACC0}">
  <dimension ref="A1:AJ50"/>
  <sheetViews>
    <sheetView topLeftCell="D1" zoomScale="40" zoomScaleNormal="40" workbookViewId="0">
      <selection activeCell="K48" sqref="H45:K48"/>
    </sheetView>
  </sheetViews>
  <sheetFormatPr defaultRowHeight="14.4" x14ac:dyDescent="0.3"/>
  <cols>
    <col min="1" max="1" width="23.33203125" bestFit="1" customWidth="1"/>
    <col min="2" max="2" width="18.77734375" bestFit="1" customWidth="1"/>
    <col min="3" max="3" width="22.33203125" bestFit="1" customWidth="1"/>
    <col min="4" max="4" width="10.77734375" bestFit="1" customWidth="1"/>
    <col min="5" max="5" width="15.6640625" bestFit="1" customWidth="1"/>
    <col min="6" max="6" width="23.5546875" bestFit="1" customWidth="1"/>
    <col min="7" max="7" width="27" bestFit="1" customWidth="1"/>
    <col min="8" max="8" width="24" bestFit="1" customWidth="1"/>
    <col min="9" max="9" width="18.21875" bestFit="1" customWidth="1"/>
    <col min="10" max="10" width="21.109375" bestFit="1" customWidth="1"/>
    <col min="11" max="11" width="24.109375" bestFit="1" customWidth="1"/>
    <col min="12" max="12" width="13.5546875" customWidth="1"/>
    <col min="13" max="13" width="11.88671875" customWidth="1"/>
    <col min="17" max="17" width="9.77734375" customWidth="1"/>
    <col min="27" max="27" width="13.5546875" bestFit="1" customWidth="1"/>
    <col min="30" max="30" width="10.109375" bestFit="1" customWidth="1"/>
  </cols>
  <sheetData>
    <row r="1" spans="1:31" ht="19.2" thickTop="1" thickBot="1" x14ac:dyDescent="0.4">
      <c r="A1" s="4" t="s">
        <v>0</v>
      </c>
      <c r="B1" s="5"/>
      <c r="C1" s="5"/>
      <c r="D1" s="6"/>
      <c r="AA1" s="4" t="s">
        <v>1</v>
      </c>
      <c r="AB1" s="5"/>
      <c r="AC1" s="5"/>
      <c r="AD1" s="6"/>
    </row>
    <row r="2" spans="1:31" ht="15" thickTop="1" x14ac:dyDescent="0.3"/>
    <row r="3" spans="1:31" ht="15.6" x14ac:dyDescent="0.35">
      <c r="A3" t="s">
        <v>19</v>
      </c>
      <c r="B3" t="s">
        <v>20</v>
      </c>
      <c r="C3" t="s">
        <v>21</v>
      </c>
      <c r="D3" t="s">
        <v>13</v>
      </c>
      <c r="E3" t="s">
        <v>18</v>
      </c>
      <c r="F3" t="s">
        <v>29</v>
      </c>
      <c r="G3" t="s">
        <v>30</v>
      </c>
      <c r="H3" t="s">
        <v>31</v>
      </c>
      <c r="I3" t="s">
        <v>32</v>
      </c>
      <c r="J3" t="s">
        <v>27</v>
      </c>
      <c r="K3" t="s">
        <v>33</v>
      </c>
      <c r="L3" t="s">
        <v>42</v>
      </c>
      <c r="M3" t="s">
        <v>43</v>
      </c>
      <c r="AA3" s="12" t="s">
        <v>28</v>
      </c>
      <c r="AB3" s="12" t="s">
        <v>14</v>
      </c>
      <c r="AC3" s="12" t="s">
        <v>15</v>
      </c>
      <c r="AD3" s="12" t="s">
        <v>44</v>
      </c>
      <c r="AE3" s="12" t="s">
        <v>45</v>
      </c>
    </row>
    <row r="4" spans="1:31" x14ac:dyDescent="0.3">
      <c r="A4" s="2">
        <v>0.97309999999999997</v>
      </c>
      <c r="B4" s="11">
        <f>Tabela710125[[#This Row],[ID /mA ± 0.0001 mA]]*0.001</f>
        <v>9.7309999999999996E-4</v>
      </c>
      <c r="C4" s="53">
        <v>0.55518000000000001</v>
      </c>
      <c r="D4" s="54">
        <f>LN(Tabela710125[[#This Row],[ID /A ± 1E-7 A]])</f>
        <v>-6.9350237061363309</v>
      </c>
      <c r="E4" s="55">
        <f>1/Tabela710125[[#This Row],[ID /A ± 1E-7 A]]*0.0000001</f>
        <v>1.0276436131949439E-4</v>
      </c>
      <c r="F4" s="3">
        <f>W$35*Tabela710125[[#This Row],[VD /V ± 0.00001 V]]+X$35</f>
        <v>-6.8637498287500662</v>
      </c>
      <c r="G4" s="3">
        <f>Tabela710125[[#This Row],[ln(ID)]]-Tabela710125[[#This Row],[Ajuste 1 de ln(I0)]]</f>
        <v>-7.1273877386264672E-2</v>
      </c>
      <c r="H4" s="3">
        <f>I$46*Tabela710125[[#This Row],[VD /V ± 0.00001 V]]+J$46</f>
        <v>-6.9344773805896924</v>
      </c>
      <c r="I4" s="1">
        <f>Tabela710125[[#This Row],[ln(ID)]]-Tabela710125[[#This Row],[Ajuste 2 de ln(I0)]]</f>
        <v>-5.4632554663847088E-4</v>
      </c>
      <c r="J4" s="11">
        <f>E$48*(EXP(B$49*Tabela710125[[#This Row],[VD /V ± 0.00001 V]]/(E$45*B$47*B$45))-1)</f>
        <v>9.7362259612584167E-4</v>
      </c>
      <c r="K4" s="17">
        <f>Tabela710125[[#This Row],[ID /A ± 1E-7 A]]-Tabela710125[[#This Row],[Ajuste de ID /A]]</f>
        <v>-5.2259612584170268E-7</v>
      </c>
      <c r="L4" s="11">
        <f>Tabela710125[[#This Row],[VD /V ± 0.00001 V]]/Tabela710125[[#This Row],[ID /A ± 1E-7 A]]</f>
        <v>570.52718117356903</v>
      </c>
      <c r="M4" s="11" t="e">
        <f>((Tabela710125[[#This Row],[VD /V ± 0.00001 V]]-C3)/(Tabela710125[[#This Row],[ID /A ± 1E-7 A]]-B3)+(Tabela710125[[#This Row],[VD /V ± 0.00001 V]]-C5)/(Tabela710125[[#This Row],[ID /A ± 1E-7 A]]-B5))/2</f>
        <v>#VALUE!</v>
      </c>
      <c r="AA4" s="7">
        <v>-8.0000000000000002E-3</v>
      </c>
      <c r="AB4" s="50">
        <f>Tabela1[[#This Row],[ID /mA]]*0.000001</f>
        <v>-8.0000000000000005E-9</v>
      </c>
      <c r="AC4" s="13">
        <v>-15.071</v>
      </c>
      <c r="AD4" s="57">
        <f>Tabela1[[#This Row],[VD /V]]/Tabela1[[#This Row],[ID /A]]</f>
        <v>1883874999.9999998</v>
      </c>
      <c r="AE4" s="50" t="e">
        <f>((Tabela1[[#This Row],[VD /V]]-AC3)/(Tabela1[[#This Row],[ID /A]]-AB3)+(Tabela1[[#This Row],[VD /V]]-AC5)/(Tabela1[[#This Row],[ID /A]]-AB6))/2</f>
        <v>#VALUE!</v>
      </c>
    </row>
    <row r="5" spans="1:31" x14ac:dyDescent="0.3">
      <c r="A5" s="2">
        <v>0.95479999999999998</v>
      </c>
      <c r="B5" s="11">
        <f>Tabela710125[[#This Row],[ID /mA ± 0.0001 mA]]*0.001</f>
        <v>9.5480000000000001E-4</v>
      </c>
      <c r="C5" s="53">
        <v>0.55423</v>
      </c>
      <c r="D5" s="54">
        <f>LN(Tabela710125[[#This Row],[ID /A ± 1E-7 A]])</f>
        <v>-6.9540086634995992</v>
      </c>
      <c r="E5" s="55">
        <f>1/Tabela710125[[#This Row],[ID /A ± 1E-7 A]]*0.0000001</f>
        <v>1.0473397570171764E-4</v>
      </c>
      <c r="F5" s="3">
        <f>W$35*Tabela710125[[#This Row],[VD /V ± 0.00001 V]]+X$35</f>
        <v>-6.8862700771929219</v>
      </c>
      <c r="G5" s="3">
        <f>Tabela710125[[#This Row],[ln(ID)]]-Tabela710125[[#This Row],[Ajuste 1 de ln(I0)]]</f>
        <v>-6.7738586306677284E-2</v>
      </c>
      <c r="H5" s="3">
        <f>I$46*Tabela710125[[#This Row],[VD /V ± 0.00001 V]]+J$46</f>
        <v>-6.9542787553701917</v>
      </c>
      <c r="I5" s="1">
        <f>Tabela710125[[#This Row],[ln(ID)]]-Tabela710125[[#This Row],[Ajuste 2 de ln(I0)]]</f>
        <v>2.7009187059245932E-4</v>
      </c>
      <c r="J5" s="11">
        <f>E$48*(EXP(B$49*Tabela710125[[#This Row],[VD /V ± 0.00001 V]]/(E$45*B$47*B$45))-1)</f>
        <v>9.5453297259357253E-4</v>
      </c>
      <c r="K5" s="17">
        <f>Tabela710125[[#This Row],[ID /A ± 1E-7 A]]-Tabela710125[[#This Row],[Ajuste de ID /A]]</f>
        <v>2.6702740642747195E-7</v>
      </c>
      <c r="L5" s="11">
        <f>Tabela710125[[#This Row],[VD /V ± 0.00001 V]]/Tabela710125[[#This Row],[ID /A ± 1E-7 A]]</f>
        <v>580.46711353162971</v>
      </c>
      <c r="M5" s="11">
        <f>((Tabela710125[[#This Row],[VD /V ± 0.00001 V]]-C4)/(Tabela710125[[#This Row],[ID /A ± 1E-7 A]]-B4)+(Tabela710125[[#This Row],[VD /V ± 0.00001 V]]-C6)/(Tabela710125[[#This Row],[ID /A ± 1E-7 A]]-B6))/2</f>
        <v>51.529678648418034</v>
      </c>
      <c r="AA5" s="8">
        <v>-8.0000000000000002E-3</v>
      </c>
      <c r="AB5" s="50">
        <f>Tabela1[[#This Row],[ID /mA]]*0.000001</f>
        <v>-8.0000000000000005E-9</v>
      </c>
      <c r="AC5" s="14">
        <v>-14.922000000000001</v>
      </c>
      <c r="AD5" s="50">
        <f>Tabela1[[#This Row],[VD /V]]/Tabela1[[#This Row],[ID /A]]</f>
        <v>1865250000</v>
      </c>
      <c r="AE5" s="50" t="e">
        <f>((Tabela1[[#This Row],[VD /V]]-AC4)/(Tabela1[[#This Row],[ID /A]]-AB4)+(Tabela1[[#This Row],[VD /V]]-AC6)/(Tabela1[[#This Row],[ID /A]]-AB7))/2</f>
        <v>#DIV/0!</v>
      </c>
    </row>
    <row r="6" spans="1:31" x14ac:dyDescent="0.3">
      <c r="A6" s="2">
        <v>0.91120000000000001</v>
      </c>
      <c r="B6" s="11">
        <f>Tabela710125[[#This Row],[ID /mA ± 0.0001 mA]]*0.001</f>
        <v>9.1120000000000003E-4</v>
      </c>
      <c r="C6" s="53">
        <v>0.55200000000000005</v>
      </c>
      <c r="D6" s="54">
        <f>LN(Tabela710125[[#This Row],[ID /A ± 1E-7 A]])</f>
        <v>-7.0007481458313014</v>
      </c>
      <c r="E6" s="55">
        <f>1/Tabela710125[[#This Row],[ID /A ± 1E-7 A]]*0.0000001</f>
        <v>1.0974539069359086E-4</v>
      </c>
      <c r="F6" s="3">
        <f>W$35*Tabela710125[[#This Row],[VD /V ± 0.00001 V]]+X$35</f>
        <v>-6.9391333972219407</v>
      </c>
      <c r="G6" s="3">
        <f>Tabela710125[[#This Row],[ln(ID)]]-Tabela710125[[#This Row],[Ajuste 1 de ln(I0)]]</f>
        <v>-6.1614748609360781E-2</v>
      </c>
      <c r="H6" s="3">
        <f>I$46*Tabela710125[[#This Row],[VD /V ± 0.00001 V]]+J$46</f>
        <v>-7.000759877223361</v>
      </c>
      <c r="I6" s="1">
        <f>Tabela710125[[#This Row],[ln(ID)]]-Tabela710125[[#This Row],[Ajuste 2 de ln(I0)]]</f>
        <v>1.1731392059566303E-5</v>
      </c>
      <c r="J6" s="11">
        <f>E$48*(EXP(B$49*Tabela710125[[#This Row],[VD /V ± 0.00001 V]]/(E$45*B$47*B$45))-1)</f>
        <v>9.1118013190685744E-4</v>
      </c>
      <c r="K6" s="17">
        <f>Tabela710125[[#This Row],[ID /A ± 1E-7 A]]-Tabela710125[[#This Row],[Ajuste de ID /A]]</f>
        <v>1.9868093142591005E-8</v>
      </c>
      <c r="L6" s="11">
        <f>Tabela710125[[#This Row],[VD /V ± 0.00001 V]]/Tabela710125[[#This Row],[ID /A ± 1E-7 A]]</f>
        <v>605.79455662862165</v>
      </c>
      <c r="M6" s="11">
        <f>((Tabela710125[[#This Row],[VD /V ± 0.00001 V]]-C5)/(Tabela710125[[#This Row],[ID /A ± 1E-7 A]]-B5)+(Tabela710125[[#This Row],[VD /V ± 0.00001 V]]-C7)/(Tabela710125[[#This Row],[ID /A ± 1E-7 A]]-B7))/2</f>
        <v>52.635250165515401</v>
      </c>
      <c r="AA6" s="7">
        <v>-8.0000000000000002E-3</v>
      </c>
      <c r="AB6" s="50">
        <f>Tabela1[[#This Row],[ID /mA]]*0.000001</f>
        <v>-8.0000000000000005E-9</v>
      </c>
      <c r="AC6" s="13">
        <v>-14.618</v>
      </c>
      <c r="AD6" s="50">
        <f>Tabela1[[#This Row],[VD /V]]/Tabela1[[#This Row],[ID /A]]</f>
        <v>1827250000</v>
      </c>
      <c r="AE6" s="50" t="e">
        <f>((Tabela1[[#This Row],[VD /V]]-AC5)/(Tabela1[[#This Row],[ID /A]]-AB5)+(Tabela1[[#This Row],[VD /V]]-AC7)/(Tabela1[[#This Row],[ID /A]]-AB8))/2</f>
        <v>#DIV/0!</v>
      </c>
    </row>
    <row r="7" spans="1:31" x14ac:dyDescent="0.3">
      <c r="A7" s="2">
        <v>0.89180000000000004</v>
      </c>
      <c r="B7" s="11">
        <f>Tabela710125[[#This Row],[ID /mA ± 0.0001 mA]]*0.001</f>
        <v>8.918000000000001E-4</v>
      </c>
      <c r="C7" s="53">
        <v>0.55095000000000005</v>
      </c>
      <c r="D7" s="54">
        <f>LN(Tabela710125[[#This Row],[ID /A ± 1E-7 A]])</f>
        <v>-7.0222686657708975</v>
      </c>
      <c r="E7" s="55">
        <f>1/Tabela710125[[#This Row],[ID /A ± 1E-7 A]]*0.0000001</f>
        <v>1.1213276519398966E-4</v>
      </c>
      <c r="F7" s="3">
        <f>W$35*Tabela710125[[#This Row],[VD /V ± 0.00001 V]]+X$35</f>
        <v>-6.9640241981324653</v>
      </c>
      <c r="G7" s="3">
        <f>Tabela710125[[#This Row],[ln(ID)]]-Tabela710125[[#This Row],[Ajuste 1 de ln(I0)]]</f>
        <v>-5.8244467638432162E-2</v>
      </c>
      <c r="H7" s="3">
        <f>I$46*Tabela710125[[#This Row],[VD /V ± 0.00001 V]]+J$46</f>
        <v>-7.0226456072439127</v>
      </c>
      <c r="I7" s="1">
        <f>Tabela710125[[#This Row],[ln(ID)]]-Tabela710125[[#This Row],[Ajuste 2 de ln(I0)]]</f>
        <v>3.769414730152576E-4</v>
      </c>
      <c r="J7" s="11">
        <f>E$48*(EXP(B$49*Tabela710125[[#This Row],[VD /V ± 0.00001 V]]/(E$45*B$47*B$45))-1)</f>
        <v>8.9145472843065246E-4</v>
      </c>
      <c r="K7" s="17">
        <f>Tabela710125[[#This Row],[ID /A ± 1E-7 A]]-Tabela710125[[#This Row],[Ajuste de ID /A]]</f>
        <v>3.4527156934764137E-7</v>
      </c>
      <c r="L7" s="11">
        <f>Tabela710125[[#This Row],[VD /V ± 0.00001 V]]/Tabela710125[[#This Row],[ID /A ± 1E-7 A]]</f>
        <v>617.7954698362862</v>
      </c>
      <c r="M7" s="11">
        <f>((Tabela710125[[#This Row],[VD /V ± 0.00001 V]]-C6)/(Tabela710125[[#This Row],[ID /A ± 1E-7 A]]-B6)+(Tabela710125[[#This Row],[VD /V ± 0.00001 V]]-C8)/(Tabela710125[[#This Row],[ID /A ± 1E-7 A]]-B8))/2</f>
        <v>54.693434617472263</v>
      </c>
      <c r="AA7" s="8">
        <v>-8.0000000000000002E-3</v>
      </c>
      <c r="AB7" s="50">
        <f>Tabela1[[#This Row],[ID /mA]]*0.000001</f>
        <v>-8.0000000000000005E-9</v>
      </c>
      <c r="AC7" s="14">
        <v>-14.407999999999999</v>
      </c>
      <c r="AD7" s="50">
        <f>Tabela1[[#This Row],[VD /V]]/Tabela1[[#This Row],[ID /A]]</f>
        <v>1800999999.9999998</v>
      </c>
      <c r="AE7" s="50" t="e">
        <f>((Tabela1[[#This Row],[VD /V]]-AC6)/(Tabela1[[#This Row],[ID /A]]-AB6)+(Tabela1[[#This Row],[VD /V]]-AC8)/(Tabela1[[#This Row],[ID /A]]-AB9))/2</f>
        <v>#DIV/0!</v>
      </c>
    </row>
    <row r="8" spans="1:31" x14ac:dyDescent="0.3">
      <c r="A8" s="2">
        <v>0.84619999999999995</v>
      </c>
      <c r="B8" s="11">
        <f>Tabela710125[[#This Row],[ID /mA ± 0.0001 mA]]*0.001</f>
        <v>8.4619999999999997E-4</v>
      </c>
      <c r="C8" s="53">
        <v>0.54842999999999997</v>
      </c>
      <c r="D8" s="54">
        <f>LN(Tabela710125[[#This Row],[ID /A ± 1E-7 A]])</f>
        <v>-7.074754819678307</v>
      </c>
      <c r="E8" s="55">
        <f>1/Tabela710125[[#This Row],[ID /A ± 1E-7 A]]*0.0000001</f>
        <v>1.181753722524226E-4</v>
      </c>
      <c r="F8" s="3">
        <f>W$35*Tabela710125[[#This Row],[VD /V ± 0.00001 V]]+X$35</f>
        <v>-7.0237621203177252</v>
      </c>
      <c r="G8" s="3">
        <f>Tabela710125[[#This Row],[ln(ID)]]-Tabela710125[[#This Row],[Ajuste 1 de ln(I0)]]</f>
        <v>-5.0992699360581817E-2</v>
      </c>
      <c r="H8" s="3">
        <f>I$46*Tabela710125[[#This Row],[VD /V ± 0.00001 V]]+J$46</f>
        <v>-7.0751713592932362</v>
      </c>
      <c r="I8" s="1">
        <f>Tabela710125[[#This Row],[ln(ID)]]-Tabela710125[[#This Row],[Ajuste 2 de ln(I0)]]</f>
        <v>4.165396149291567E-4</v>
      </c>
      <c r="J8" s="11">
        <f>E$48*(EXP(B$49*Tabela710125[[#This Row],[VD /V ± 0.00001 V]]/(E$45*B$47*B$45))-1)</f>
        <v>8.4583841906632831E-4</v>
      </c>
      <c r="K8" s="17">
        <f>Tabela710125[[#This Row],[ID /A ± 1E-7 A]]-Tabela710125[[#This Row],[Ajuste de ID /A]]</f>
        <v>3.6158093367165672E-7</v>
      </c>
      <c r="L8" s="11">
        <f>Tabela710125[[#This Row],[VD /V ± 0.00001 V]]/Tabela710125[[#This Row],[ID /A ± 1E-7 A]]</f>
        <v>648.10919404396122</v>
      </c>
      <c r="M8" s="11">
        <f>((Tabela710125[[#This Row],[VD /V ± 0.00001 V]]-C7)/(Tabela710125[[#This Row],[ID /A ± 1E-7 A]]-B7)+(Tabela710125[[#This Row],[VD /V ± 0.00001 V]]-C9)/(Tabela710125[[#This Row],[ID /A ± 1E-7 A]]-B9))/2</f>
        <v>54.928876244665339</v>
      </c>
      <c r="AA8" s="7">
        <v>-8.0000000000000002E-3</v>
      </c>
      <c r="AB8" s="50">
        <f>Tabela1[[#This Row],[ID /mA]]*0.000001</f>
        <v>-8.0000000000000005E-9</v>
      </c>
      <c r="AC8" s="13">
        <v>-14.119</v>
      </c>
      <c r="AD8" s="50">
        <f>Tabela1[[#This Row],[VD /V]]/Tabela1[[#This Row],[ID /A]]</f>
        <v>1764874999.9999998</v>
      </c>
      <c r="AE8" s="50" t="e">
        <f>((Tabela1[[#This Row],[VD /V]]-AC7)/(Tabela1[[#This Row],[ID /A]]-AB7)+(Tabela1[[#This Row],[VD /V]]-AC9)/(Tabela1[[#This Row],[ID /A]]-AB10))/2</f>
        <v>#DIV/0!</v>
      </c>
    </row>
    <row r="9" spans="1:31" x14ac:dyDescent="0.3">
      <c r="A9" s="2">
        <v>0.82769999999999999</v>
      </c>
      <c r="B9" s="11">
        <f>Tabela710125[[#This Row],[ID /mA ± 0.0001 mA]]*0.001</f>
        <v>8.2770000000000001E-4</v>
      </c>
      <c r="C9" s="53">
        <v>0.54742000000000002</v>
      </c>
      <c r="D9" s="54">
        <f>LN(Tabela710125[[#This Row],[ID /A ± 1E-7 A]])</f>
        <v>-7.0968597880729236</v>
      </c>
      <c r="E9" s="55">
        <f>1/Tabela710125[[#This Row],[ID /A ± 1E-7 A]]*0.0000001</f>
        <v>1.2081672103419114E-4</v>
      </c>
      <c r="F9" s="3">
        <f>W$35*Tabela710125[[#This Row],[VD /V ± 0.00001 V]]+X$35</f>
        <v>-7.0477047002411819</v>
      </c>
      <c r="G9" s="3">
        <f>Tabela710125[[#This Row],[ln(ID)]]-Tabela710125[[#This Row],[Ajuste 1 de ln(I0)]]</f>
        <v>-4.9155087831741717E-2</v>
      </c>
      <c r="H9" s="3">
        <f>I$46*Tabela710125[[#This Row],[VD /V ± 0.00001 V]]+J$46</f>
        <v>-7.0962233472177658</v>
      </c>
      <c r="I9" s="1">
        <f>Tabela710125[[#This Row],[ln(ID)]]-Tabela710125[[#This Row],[Ajuste 2 de ln(I0)]]</f>
        <v>-6.3644085515779381E-4</v>
      </c>
      <c r="J9" s="11">
        <f>E$48*(EXP(B$49*Tabela710125[[#This Row],[VD /V ± 0.00001 V]]/(E$45*B$47*B$45))-1)</f>
        <v>8.2821777125280805E-4</v>
      </c>
      <c r="K9" s="17">
        <f>Tabela710125[[#This Row],[ID /A ± 1E-7 A]]-Tabela710125[[#This Row],[Ajuste de ID /A]]</f>
        <v>-5.177712528080464E-7</v>
      </c>
      <c r="L9" s="11">
        <f>Tabela710125[[#This Row],[VD /V ± 0.00001 V]]/Tabela710125[[#This Row],[ID /A ± 1E-7 A]]</f>
        <v>661.37489428536912</v>
      </c>
      <c r="M9" s="11">
        <f>((Tabela710125[[#This Row],[VD /V ± 0.00001 V]]-C8)/(Tabela710125[[#This Row],[ID /A ± 1E-7 A]]-B8)+(Tabela710125[[#This Row],[VD /V ± 0.00001 V]]-C10)/(Tabela710125[[#This Row],[ID /A ± 1E-7 A]]-B10))/2</f>
        <v>57.933135447587048</v>
      </c>
      <c r="AA9" s="8">
        <v>-8.0000000000000002E-3</v>
      </c>
      <c r="AB9" s="50">
        <f>Tabela1[[#This Row],[ID /mA]]*0.000001</f>
        <v>-8.0000000000000005E-9</v>
      </c>
      <c r="AC9" s="14">
        <v>-13.773</v>
      </c>
      <c r="AD9" s="50">
        <f>Tabela1[[#This Row],[VD /V]]/Tabela1[[#This Row],[ID /A]]</f>
        <v>1721624999.9999998</v>
      </c>
      <c r="AE9" s="50" t="e">
        <f>((Tabela1[[#This Row],[VD /V]]-AC8)/(Tabela1[[#This Row],[ID /A]]-AB8)+(Tabela1[[#This Row],[VD /V]]-AC10)/(Tabela1[[#This Row],[ID /A]]-AB11))/2</f>
        <v>#DIV/0!</v>
      </c>
    </row>
    <row r="10" spans="1:31" x14ac:dyDescent="0.3">
      <c r="A10" s="2">
        <v>0.81040000000000001</v>
      </c>
      <c r="B10" s="11">
        <f>Tabela710125[[#This Row],[ID /mA ± 0.0001 mA]]*0.001</f>
        <v>8.1040000000000007E-4</v>
      </c>
      <c r="C10" s="53">
        <v>0.54635999999999996</v>
      </c>
      <c r="D10" s="54">
        <f>LN(Tabela710125[[#This Row],[ID /A ± 1E-7 A]])</f>
        <v>-7.1179826050298001</v>
      </c>
      <c r="E10" s="55">
        <f>1/Tabela710125[[#This Row],[ID /A ± 1E-7 A]]*0.0000001</f>
        <v>1.2339585389930895E-4</v>
      </c>
      <c r="F10" s="3">
        <f>W$35*Tabela710125[[#This Row],[VD /V ± 0.00001 V]]+X$35</f>
        <v>-7.072832556398474</v>
      </c>
      <c r="G10" s="3">
        <f>Tabela710125[[#This Row],[ln(ID)]]-Tabela710125[[#This Row],[Ajuste 1 de ln(I0)]]</f>
        <v>-4.5150048631326101E-2</v>
      </c>
      <c r="H10" s="3">
        <f>I$46*Tabela710125[[#This Row],[VD /V ± 0.00001 V]]+J$46</f>
        <v>-7.1183175127623226</v>
      </c>
      <c r="I10" s="1">
        <f>Tabela710125[[#This Row],[ln(ID)]]-Tabela710125[[#This Row],[Ajuste 2 de ln(I0)]]</f>
        <v>3.3490773252253803E-4</v>
      </c>
      <c r="J10" s="11">
        <f>E$48*(EXP(B$49*Tabela710125[[#This Row],[VD /V ± 0.00001 V]]/(E$45*B$47*B$45))-1)</f>
        <v>8.1011945770561504E-4</v>
      </c>
      <c r="K10" s="17">
        <f>Tabela710125[[#This Row],[ID /A ± 1E-7 A]]-Tabela710125[[#This Row],[Ajuste de ID /A]]</f>
        <v>2.8054229438503366E-7</v>
      </c>
      <c r="L10" s="11">
        <f>Tabela710125[[#This Row],[VD /V ± 0.00001 V]]/Tabela710125[[#This Row],[ID /A ± 1E-7 A]]</f>
        <v>674.18558736426439</v>
      </c>
      <c r="M10" s="11">
        <f>((Tabela710125[[#This Row],[VD /V ± 0.00001 V]]-C9)/(Tabela710125[[#This Row],[ID /A ± 1E-7 A]]-B9)+(Tabela710125[[#This Row],[VD /V ± 0.00001 V]]-C11)/(Tabela710125[[#This Row],[ID /A ± 1E-7 A]]-B11))/2</f>
        <v>59.776942444769588</v>
      </c>
      <c r="AA10" s="7">
        <v>-8.0000000000000002E-3</v>
      </c>
      <c r="AB10" s="50">
        <f>Tabela1[[#This Row],[ID /mA]]*0.000001</f>
        <v>-8.0000000000000005E-9</v>
      </c>
      <c r="AC10" s="13">
        <v>-13.336</v>
      </c>
      <c r="AD10" s="50">
        <f>Tabela1[[#This Row],[VD /V]]/Tabela1[[#This Row],[ID /A]]</f>
        <v>1667000000</v>
      </c>
      <c r="AE10" s="50" t="e">
        <f>((Tabela1[[#This Row],[VD /V]]-AC9)/(Tabela1[[#This Row],[ID /A]]-AB9)+(Tabela1[[#This Row],[VD /V]]-AC11)/(Tabela1[[#This Row],[ID /A]]-AB12))/2</f>
        <v>#DIV/0!</v>
      </c>
    </row>
    <row r="11" spans="1:31" x14ac:dyDescent="0.3">
      <c r="A11" s="2">
        <v>0.79410000000000003</v>
      </c>
      <c r="B11" s="11">
        <f>Tabela710125[[#This Row],[ID /mA ± 0.0001 mA]]*0.001</f>
        <v>7.9410000000000006E-4</v>
      </c>
      <c r="C11" s="53">
        <v>0.54540999999999995</v>
      </c>
      <c r="D11" s="54">
        <f>LN(Tabela710125[[#This Row],[ID /A ± 1E-7 A]])</f>
        <v>-7.1383011600631088</v>
      </c>
      <c r="E11" s="55">
        <f>1/Tabela710125[[#This Row],[ID /A ± 1E-7 A]]*0.0000001</f>
        <v>1.259287243420224E-4</v>
      </c>
      <c r="F11" s="3">
        <f>W$35*Tabela710125[[#This Row],[VD /V ± 0.00001 V]]+X$35</f>
        <v>-7.0953528048413297</v>
      </c>
      <c r="G11" s="3">
        <f>Tabela710125[[#This Row],[ln(ID)]]-Tabela710125[[#This Row],[Ajuste 1 de ln(I0)]]</f>
        <v>-4.2948355221779089E-2</v>
      </c>
      <c r="H11" s="3">
        <f>I$46*Tabela710125[[#This Row],[VD /V ± 0.00001 V]]+J$46</f>
        <v>-7.1381188875428219</v>
      </c>
      <c r="I11" s="1">
        <f>Tabela710125[[#This Row],[ln(ID)]]-Tabela710125[[#This Row],[Ajuste 2 de ln(I0)]]</f>
        <v>-1.8227252028690799E-4</v>
      </c>
      <c r="J11" s="11">
        <f>E$48*(EXP(B$49*Tabela710125[[#This Row],[VD /V ± 0.00001 V]]/(E$45*B$47*B$45))-1)</f>
        <v>7.942355772890613E-4</v>
      </c>
      <c r="K11" s="17">
        <f>Tabela710125[[#This Row],[ID /A ± 1E-7 A]]-Tabela710125[[#This Row],[Ajuste de ID /A]]</f>
        <v>-1.3557728906123806E-7</v>
      </c>
      <c r="L11" s="11">
        <f>Tabela710125[[#This Row],[VD /V ± 0.00001 V]]/Tabela710125[[#This Row],[ID /A ± 1E-7 A]]</f>
        <v>686.82785543382431</v>
      </c>
      <c r="M11" s="11">
        <f>((Tabela710125[[#This Row],[VD /V ± 0.00001 V]]-C10)/(Tabela710125[[#This Row],[ID /A ± 1E-7 A]]-B10)+(Tabela710125[[#This Row],[VD /V ± 0.00001 V]]-C12)/(Tabela710125[[#This Row],[ID /A ± 1E-7 A]]-B12))/2</f>
        <v>60.005301825342997</v>
      </c>
      <c r="AA11" s="8">
        <v>-8.0000000000000002E-3</v>
      </c>
      <c r="AB11" s="50">
        <f>Tabela1[[#This Row],[ID /mA]]*0.000001</f>
        <v>-8.0000000000000005E-9</v>
      </c>
      <c r="AC11" s="14">
        <v>-12.659000000000001</v>
      </c>
      <c r="AD11" s="50">
        <f>Tabela1[[#This Row],[VD /V]]/Tabela1[[#This Row],[ID /A]]</f>
        <v>1582375000</v>
      </c>
      <c r="AE11" s="50" t="e">
        <f>((Tabela1[[#This Row],[VD /V]]-AC10)/(Tabela1[[#This Row],[ID /A]]-AB10)+(Tabela1[[#This Row],[VD /V]]-AC12)/(Tabela1[[#This Row],[ID /A]]-AB13))/2</f>
        <v>#DIV/0!</v>
      </c>
    </row>
    <row r="12" spans="1:31" x14ac:dyDescent="0.3">
      <c r="A12" s="2">
        <v>0.77790000000000004</v>
      </c>
      <c r="B12" s="11">
        <f>Tabela710125[[#This Row],[ID /mA ± 0.0001 mA]]*0.001</f>
        <v>7.779000000000001E-4</v>
      </c>
      <c r="C12" s="53">
        <v>0.54440999999999995</v>
      </c>
      <c r="D12" s="54">
        <f>LN(Tabela710125[[#This Row],[ID /A ± 1E-7 A]])</f>
        <v>-7.158912576751546</v>
      </c>
      <c r="E12" s="55">
        <f>1/Tabela710125[[#This Row],[ID /A ± 1E-7 A]]*0.0000001</f>
        <v>1.2855122766422417E-4</v>
      </c>
      <c r="F12" s="3">
        <f>W$35*Tabela710125[[#This Row],[VD /V ± 0.00001 V]]+X$35</f>
        <v>-7.1190583295180208</v>
      </c>
      <c r="G12" s="3">
        <f>Tabela710125[[#This Row],[ln(ID)]]-Tabela710125[[#This Row],[Ajuste 1 de ln(I0)]]</f>
        <v>-3.9854247233525264E-2</v>
      </c>
      <c r="H12" s="3">
        <f>I$46*Tabela710125[[#This Row],[VD /V ± 0.00001 V]]+J$46</f>
        <v>-7.1589624399433465</v>
      </c>
      <c r="I12" s="1">
        <f>Tabela710125[[#This Row],[ln(ID)]]-Tabela710125[[#This Row],[Ajuste 2 de ln(I0)]]</f>
        <v>4.9863191800447737E-5</v>
      </c>
      <c r="J12" s="11">
        <f>E$48*(EXP(B$49*Tabela710125[[#This Row],[VD /V ± 0.00001 V]]/(E$45*B$47*B$45))-1)</f>
        <v>7.7785203387874453E-4</v>
      </c>
      <c r="K12" s="17">
        <f>Tabela710125[[#This Row],[ID /A ± 1E-7 A]]-Tabela710125[[#This Row],[Ajuste de ID /A]]</f>
        <v>4.7966121255568935E-8</v>
      </c>
      <c r="L12" s="11">
        <f>Tabela710125[[#This Row],[VD /V ± 0.00001 V]]/Tabela710125[[#This Row],[ID /A ± 1E-7 A]]</f>
        <v>699.84573852680273</v>
      </c>
      <c r="M12" s="11">
        <f>((Tabela710125[[#This Row],[VD /V ± 0.00001 V]]-C11)/(Tabela710125[[#This Row],[ID /A ± 1E-7 A]]-B11)+(Tabela710125[[#This Row],[VD /V ± 0.00001 V]]-C13)/(Tabela710125[[#This Row],[ID /A ± 1E-7 A]]-B13))/2</f>
        <v>62.177328843993038</v>
      </c>
      <c r="AA12" s="7">
        <v>-7.0000000000000001E-3</v>
      </c>
      <c r="AB12" s="50">
        <f>Tabela1[[#This Row],[ID /mA]]*0.000001</f>
        <v>-6.9999999999999998E-9</v>
      </c>
      <c r="AC12" s="13">
        <v>-12.507999999999999</v>
      </c>
      <c r="AD12" s="50">
        <f>Tabela1[[#This Row],[VD /V]]/Tabela1[[#This Row],[ID /A]]</f>
        <v>1786857142.8571427</v>
      </c>
      <c r="AE12" s="50" t="e">
        <f>((Tabela1[[#This Row],[VD /V]]-AC11)/(Tabela1[[#This Row],[ID /A]]-AB11)+(Tabela1[[#This Row],[VD /V]]-AC13)/(Tabela1[[#This Row],[ID /A]]-AB14))/2</f>
        <v>#DIV/0!</v>
      </c>
    </row>
    <row r="13" spans="1:31" x14ac:dyDescent="0.3">
      <c r="A13" s="2">
        <v>0.76800000000000002</v>
      </c>
      <c r="B13" s="11">
        <f>Tabela710125[[#This Row],[ID /mA ± 0.0001 mA]]*0.001</f>
        <v>7.6800000000000002E-4</v>
      </c>
      <c r="C13" s="53">
        <v>0.54379</v>
      </c>
      <c r="D13" s="54">
        <f>LN(Tabela710125[[#This Row],[ID /A ± 1E-7 A]])</f>
        <v>-7.1717208248166022</v>
      </c>
      <c r="E13" s="55">
        <f>1/Tabela710125[[#This Row],[ID /A ± 1E-7 A]]*0.0000001</f>
        <v>1.3020833333333333E-4</v>
      </c>
      <c r="F13" s="3">
        <f>W$35*Tabela710125[[#This Row],[VD /V ± 0.00001 V]]+X$35</f>
        <v>-7.1337557548175674</v>
      </c>
      <c r="G13" s="3">
        <f>Tabela710125[[#This Row],[ln(ID)]]-Tabela710125[[#This Row],[Ajuste 1 de ln(I0)]]</f>
        <v>-3.7965069999034817E-2</v>
      </c>
      <c r="H13" s="3">
        <f>I$46*Tabela710125[[#This Row],[VD /V ± 0.00001 V]]+J$46</f>
        <v>-7.1718854424316714</v>
      </c>
      <c r="I13" s="1">
        <f>Tabela710125[[#This Row],[ln(ID)]]-Tabela710125[[#This Row],[Ajuste 2 de ln(I0)]]</f>
        <v>1.646176150691403E-4</v>
      </c>
      <c r="J13" s="11">
        <f>E$48*(EXP(B$49*Tabela710125[[#This Row],[VD /V ± 0.00001 V]]/(E$45*B$47*B$45))-1)</f>
        <v>7.6786440556565598E-4</v>
      </c>
      <c r="K13" s="17">
        <f>Tabela710125[[#This Row],[ID /A ± 1E-7 A]]-Tabela710125[[#This Row],[Ajuste de ID /A]]</f>
        <v>1.355944343440444E-7</v>
      </c>
      <c r="L13" s="11">
        <f>Tabela710125[[#This Row],[VD /V ± 0.00001 V]]/Tabela710125[[#This Row],[ID /A ± 1E-7 A]]</f>
        <v>708.05989583333326</v>
      </c>
      <c r="M13" s="11">
        <f>((Tabela710125[[#This Row],[VD /V ± 0.00001 V]]-C12)/(Tabela710125[[#This Row],[ID /A ± 1E-7 A]]-B12)+(Tabela710125[[#This Row],[VD /V ± 0.00001 V]]-C14)/(Tabela710125[[#This Row],[ID /A ± 1E-7 A]]-B14))/2</f>
        <v>62.495927012054779</v>
      </c>
      <c r="AA13" s="8">
        <v>-7.0000000000000001E-3</v>
      </c>
      <c r="AB13" s="50">
        <f>Tabela1[[#This Row],[ID /mA]]*0.000001</f>
        <v>-6.9999999999999998E-9</v>
      </c>
      <c r="AC13" s="14">
        <v>-12.073</v>
      </c>
      <c r="AD13" s="50">
        <f>Tabela1[[#This Row],[VD /V]]/Tabela1[[#This Row],[ID /A]]</f>
        <v>1724714285.7142859</v>
      </c>
      <c r="AE13" s="50" t="e">
        <f>((Tabela1[[#This Row],[VD /V]]-AC12)/(Tabela1[[#This Row],[ID /A]]-AB12)+(Tabela1[[#This Row],[VD /V]]-AC14)/(Tabela1[[#This Row],[ID /A]]-AB15))/2</f>
        <v>#DIV/0!</v>
      </c>
    </row>
    <row r="14" spans="1:31" x14ac:dyDescent="0.3">
      <c r="A14" s="2">
        <v>0.74939999999999996</v>
      </c>
      <c r="B14" s="11">
        <f>Tabela710125[[#This Row],[ID /mA ± 0.0001 mA]]*0.001</f>
        <v>7.494E-4</v>
      </c>
      <c r="C14" s="53">
        <v>0.54262999999999995</v>
      </c>
      <c r="D14" s="54">
        <f>LN(Tabela710125[[#This Row],[ID /A ± 1E-7 A]])</f>
        <v>-7.1962376716046874</v>
      </c>
      <c r="E14" s="55">
        <f>1/Tabela710125[[#This Row],[ID /A ± 1E-7 A]]*0.0000001</f>
        <v>1.3344008540165466E-4</v>
      </c>
      <c r="F14" s="3">
        <f>W$35*Tabela710125[[#This Row],[VD /V ± 0.00001 V]]+X$35</f>
        <v>-7.1612541634425284</v>
      </c>
      <c r="G14" s="3">
        <f>Tabela710125[[#This Row],[ln(ID)]]-Tabela710125[[#This Row],[Ajuste 1 de ln(I0)]]</f>
        <v>-3.4983508162159005E-2</v>
      </c>
      <c r="H14" s="3">
        <f>I$46*Tabela710125[[#This Row],[VD /V ± 0.00001 V]]+J$46</f>
        <v>-7.1960639632162806</v>
      </c>
      <c r="I14" s="1">
        <f>Tabela710125[[#This Row],[ln(ID)]]-Tabela710125[[#This Row],[Ajuste 2 de ln(I0)]]</f>
        <v>-1.7370838840680136E-4</v>
      </c>
      <c r="J14" s="11">
        <f>E$48*(EXP(B$49*Tabela710125[[#This Row],[VD /V ± 0.00001 V]]/(E$45*B$47*B$45))-1)</f>
        <v>7.4952100986195192E-4</v>
      </c>
      <c r="K14" s="17">
        <f>Tabela710125[[#This Row],[ID /A ± 1E-7 A]]-Tabela710125[[#This Row],[Ajuste de ID /A]]</f>
        <v>-1.2100986195192048E-7</v>
      </c>
      <c r="L14" s="11">
        <f>Tabela710125[[#This Row],[VD /V ± 0.00001 V]]/Tabela710125[[#This Row],[ID /A ± 1E-7 A]]</f>
        <v>724.08593541499863</v>
      </c>
      <c r="M14" s="11">
        <f>((Tabela710125[[#This Row],[VD /V ± 0.00001 V]]-C13)/(Tabela710125[[#This Row],[ID /A ± 1E-7 A]]-B13)+(Tabela710125[[#This Row],[VD /V ± 0.00001 V]]-C15)/(Tabela710125[[#This Row],[ID /A ± 1E-7 A]]-B15))/2</f>
        <v>63.66687213204419</v>
      </c>
      <c r="AA14" s="7">
        <v>-7.0000000000000001E-3</v>
      </c>
      <c r="AB14" s="50">
        <f>Tabela1[[#This Row],[ID /mA]]*0.000001</f>
        <v>-6.9999999999999998E-9</v>
      </c>
      <c r="AC14" s="13">
        <v>-11.1</v>
      </c>
      <c r="AD14" s="50">
        <f>Tabela1[[#This Row],[VD /V]]/Tabela1[[#This Row],[ID /A]]</f>
        <v>1585714285.7142856</v>
      </c>
      <c r="AE14" s="50" t="e">
        <f>((Tabela1[[#This Row],[VD /V]]-AC13)/(Tabela1[[#This Row],[ID /A]]-AB13)+(Tabela1[[#This Row],[VD /V]]-AC15)/(Tabela1[[#This Row],[ID /A]]-AB16))/2</f>
        <v>#DIV/0!</v>
      </c>
    </row>
    <row r="15" spans="1:31" x14ac:dyDescent="0.3">
      <c r="A15" s="2">
        <v>0.73370000000000002</v>
      </c>
      <c r="B15" s="11">
        <f>Tabela710125[[#This Row],[ID /mA ± 0.0001 mA]]*0.001</f>
        <v>7.337E-4</v>
      </c>
      <c r="C15" s="53">
        <v>0.54161000000000004</v>
      </c>
      <c r="D15" s="54">
        <f>LN(Tabela710125[[#This Row],[ID /A ± 1E-7 A]])</f>
        <v>-7.2174103322443255</v>
      </c>
      <c r="E15" s="55">
        <f>1/Tabela710125[[#This Row],[ID /A ± 1E-7 A]]*0.0000001</f>
        <v>1.3629548861932668E-4</v>
      </c>
      <c r="F15" s="3">
        <f>W$35*Tabela710125[[#This Row],[VD /V ± 0.00001 V]]+X$35</f>
        <v>-7.1854337986127508</v>
      </c>
      <c r="G15" s="3">
        <f>Tabela710125[[#This Row],[ln(ID)]]-Tabela710125[[#This Row],[Ajuste 1 de ln(I0)]]</f>
        <v>-3.1976533631574711E-2</v>
      </c>
      <c r="H15" s="3">
        <f>I$46*Tabela710125[[#This Row],[VD /V ± 0.00001 V]]+J$46</f>
        <v>-7.2173243866648136</v>
      </c>
      <c r="I15" s="1">
        <f>Tabela710125[[#This Row],[ln(ID)]]-Tabela710125[[#This Row],[Ajuste 2 de ln(I0)]]</f>
        <v>-8.5945579511914616E-5</v>
      </c>
      <c r="J15" s="11">
        <f>E$48*(EXP(B$49*Tabela710125[[#This Row],[VD /V ± 0.00001 V]]/(E$45*B$47*B$45))-1)</f>
        <v>7.3375388247015529E-4</v>
      </c>
      <c r="K15" s="17">
        <f>Tabela710125[[#This Row],[ID /A ± 1E-7 A]]-Tabela710125[[#This Row],[Ajuste de ID /A]]</f>
        <v>-5.3882470155293925E-8</v>
      </c>
      <c r="L15" s="11">
        <f>Tabela710125[[#This Row],[VD /V ± 0.00001 V]]/Tabela710125[[#This Row],[ID /A ± 1E-7 A]]</f>
        <v>738.18999591113538</v>
      </c>
      <c r="M15" s="11">
        <f>((Tabela710125[[#This Row],[VD /V ± 0.00001 V]]-C14)/(Tabela710125[[#This Row],[ID /A ± 1E-7 A]]-B14)+(Tabela710125[[#This Row],[VD /V ± 0.00001 V]]-C16)/(Tabela710125[[#This Row],[ID /A ± 1E-7 A]]-B16))/2</f>
        <v>65.363453865026287</v>
      </c>
      <c r="AA15" s="8">
        <v>-7.0000000000000001E-3</v>
      </c>
      <c r="AB15" s="50">
        <f>Tabela1[[#This Row],[ID /mA]]*0.000001</f>
        <v>-6.9999999999999998E-9</v>
      </c>
      <c r="AC15" s="14">
        <v>-10.51</v>
      </c>
      <c r="AD15" s="50">
        <f>Tabela1[[#This Row],[VD /V]]/Tabela1[[#This Row],[ID /A]]</f>
        <v>1501428571.4285715</v>
      </c>
      <c r="AE15" s="50" t="e">
        <f>((Tabela1[[#This Row],[VD /V]]-AC14)/(Tabela1[[#This Row],[ID /A]]-AB14)+(Tabela1[[#This Row],[VD /V]]-AC16)/(Tabela1[[#This Row],[ID /A]]-AB17))/2</f>
        <v>#DIV/0!</v>
      </c>
    </row>
    <row r="16" spans="1:31" x14ac:dyDescent="0.3">
      <c r="A16" s="2">
        <v>0.70799999999999996</v>
      </c>
      <c r="B16" s="11">
        <f>Tabela710125[[#This Row],[ID /mA ± 0.0001 mA]]*0.001</f>
        <v>7.0799999999999997E-4</v>
      </c>
      <c r="C16" s="1">
        <v>0.53991999999999996</v>
      </c>
      <c r="D16" s="3">
        <f>LN(Tabela710125[[#This Row],[ID /A ± 1E-7 A]])</f>
        <v>-7.253066464270554</v>
      </c>
      <c r="E16" s="2">
        <f>1/Tabela710125[[#This Row],[ID /A ± 1E-7 A]]*0.0000001</f>
        <v>1.4124293785310735E-4</v>
      </c>
      <c r="F16" s="3">
        <f>W$35*Tabela710125[[#This Row],[VD /V ± 0.00001 V]]+X$35</f>
        <v>-7.2254961353163587</v>
      </c>
      <c r="G16" s="3">
        <f>Tabela710125[[#This Row],[ln(ID)]]-Tabela710125[[#This Row],[Ajuste 1 de ln(I0)]]</f>
        <v>-2.7570328954195311E-2</v>
      </c>
      <c r="H16" s="9" t="s">
        <v>2</v>
      </c>
      <c r="I16" s="9" t="s">
        <v>2</v>
      </c>
      <c r="J16" s="11">
        <f>E$48*(EXP(B$49*Tabela710125[[#This Row],[VD /V ± 0.00001 V]]/(E$45*B$47*B$45))-1)</f>
        <v>7.0835657955933275E-4</v>
      </c>
      <c r="K16" s="38" t="s">
        <v>2</v>
      </c>
      <c r="L16" s="11">
        <f>Tabela710125[[#This Row],[VD /V ± 0.00001 V]]/Tabela710125[[#This Row],[ID /A ± 1E-7 A]]</f>
        <v>762.59887005649716</v>
      </c>
      <c r="M16" s="11">
        <f>((Tabela710125[[#This Row],[VD /V ± 0.00001 V]]-C15)/(Tabela710125[[#This Row],[ID /A ± 1E-7 A]]-B15)+(Tabela710125[[#This Row],[VD /V ± 0.00001 V]]-C17)/(Tabela710125[[#This Row],[ID /A ± 1E-7 A]]-B17))/2</f>
        <v>67.403186955717302</v>
      </c>
      <c r="AA16" s="7">
        <v>-7.0000000000000001E-3</v>
      </c>
      <c r="AB16" s="50">
        <f>Tabela1[[#This Row],[ID /mA]]*0.000001</f>
        <v>-6.9999999999999998E-9</v>
      </c>
      <c r="AC16" s="13">
        <v>-9.641</v>
      </c>
      <c r="AD16" s="50">
        <f>Tabela1[[#This Row],[VD /V]]/Tabela1[[#This Row],[ID /A]]</f>
        <v>1377285714.2857144</v>
      </c>
      <c r="AE16" s="50" t="e">
        <f>((Tabela1[[#This Row],[VD /V]]-AC15)/(Tabela1[[#This Row],[ID /A]]-AB15)+(Tabela1[[#This Row],[VD /V]]-AC17)/(Tabela1[[#This Row],[ID /A]]-AB18))/2</f>
        <v>#DIV/0!</v>
      </c>
    </row>
    <row r="17" spans="1:36" x14ac:dyDescent="0.3">
      <c r="A17" s="2">
        <v>0.67859999999999998</v>
      </c>
      <c r="B17" s="11">
        <f>Tabela710125[[#This Row],[ID /mA ± 0.0001 mA]]*0.001</f>
        <v>6.7860000000000001E-4</v>
      </c>
      <c r="C17" s="1">
        <v>0.53788999999999998</v>
      </c>
      <c r="D17" s="3">
        <f>LN(Tabela710125[[#This Row],[ID /A ± 1E-7 A]])</f>
        <v>-7.2954787056141441</v>
      </c>
      <c r="E17" s="2">
        <f>1/Tabela710125[[#This Row],[ID /A ± 1E-7 A]]*0.0000001</f>
        <v>1.4736221632773356E-4</v>
      </c>
      <c r="F17" s="3">
        <f>W$35*Tabela710125[[#This Row],[VD /V ± 0.00001 V]]+X$35</f>
        <v>-7.2736183504100396</v>
      </c>
      <c r="G17" s="3">
        <f>Tabela710125[[#This Row],[ln(ID)]]-Tabela710125[[#This Row],[Ajuste 1 de ln(I0)]]</f>
        <v>-2.1860355204104565E-2</v>
      </c>
      <c r="H17" s="9" t="s">
        <v>2</v>
      </c>
      <c r="I17" s="9" t="s">
        <v>2</v>
      </c>
      <c r="J17" s="11">
        <f>E$48*(EXP(B$49*Tabela710125[[#This Row],[VD /V ± 0.00001 V]]/(E$45*B$47*B$45))-1)</f>
        <v>6.7900917429916706E-4</v>
      </c>
      <c r="K17" s="38" t="s">
        <v>2</v>
      </c>
      <c r="L17" s="11">
        <f>Tabela710125[[#This Row],[VD /V ± 0.00001 V]]/Tabela710125[[#This Row],[ID /A ± 1E-7 A]]</f>
        <v>792.64662540524603</v>
      </c>
      <c r="M17" s="11">
        <f>((Tabela710125[[#This Row],[VD /V ± 0.00001 V]]-C16)/(Tabela710125[[#This Row],[ID /A ± 1E-7 A]]-B16)+(Tabela710125[[#This Row],[VD /V ± 0.00001 V]]-C18)/(Tabela710125[[#This Row],[ID /A ± 1E-7 A]]-B18))/2</f>
        <v>70.556673373574668</v>
      </c>
      <c r="AA17" s="8">
        <v>-7.0000000000000001E-3</v>
      </c>
      <c r="AB17" s="50">
        <f>Tabela1[[#This Row],[ID /mA]]*0.000001</f>
        <v>-6.9999999999999998E-9</v>
      </c>
      <c r="AC17" s="14">
        <v>-8.984</v>
      </c>
      <c r="AD17" s="50">
        <f>Tabela1[[#This Row],[VD /V]]/Tabela1[[#This Row],[ID /A]]</f>
        <v>1283428571.4285715</v>
      </c>
      <c r="AE17" s="50" t="e">
        <f>((Tabela1[[#This Row],[VD /V]]-AC16)/(Tabela1[[#This Row],[ID /A]]-AB16)+(Tabela1[[#This Row],[VD /V]]-AC18)/(Tabela1[[#This Row],[ID /A]]-AB19))/2</f>
        <v>#DIV/0!</v>
      </c>
    </row>
    <row r="18" spans="1:36" x14ac:dyDescent="0.3">
      <c r="A18" s="2">
        <v>0.63600000000000001</v>
      </c>
      <c r="B18" s="11">
        <f>Tabela710125[[#This Row],[ID /mA ± 0.0001 mA]]*0.001</f>
        <v>6.3600000000000006E-4</v>
      </c>
      <c r="C18" s="1">
        <v>0.53481999999999996</v>
      </c>
      <c r="D18" s="3">
        <f>LN(Tabela710125[[#This Row],[ID /A ± 1E-7 A]])</f>
        <v>-7.3603119946241522</v>
      </c>
      <c r="E18" s="2">
        <f>1/Tabela710125[[#This Row],[ID /A ± 1E-7 A]]*0.0000001</f>
        <v>1.5723270440251569E-4</v>
      </c>
      <c r="F18" s="3">
        <f>W$35*Tabela710125[[#This Row],[VD /V ± 0.00001 V]]+X$35</f>
        <v>-7.3463943111674794</v>
      </c>
      <c r="G18" s="3">
        <f>Tabela710125[[#This Row],[ln(ID)]]-Tabela710125[[#This Row],[Ajuste 1 de ln(I0)]]</f>
        <v>-1.3917683456672769E-2</v>
      </c>
      <c r="H18" s="9" t="s">
        <v>2</v>
      </c>
      <c r="I18" s="9" t="s">
        <v>2</v>
      </c>
      <c r="J18" s="11">
        <f>E$48*(EXP(B$49*Tabela710125[[#This Row],[VD /V ± 0.00001 V]]/(E$45*B$47*B$45))-1)</f>
        <v>6.369199877961718E-4</v>
      </c>
      <c r="K18" s="38" t="s">
        <v>2</v>
      </c>
      <c r="L18" s="11">
        <f>Tabela710125[[#This Row],[VD /V ± 0.00001 V]]/Tabela710125[[#This Row],[ID /A ± 1E-7 A]]</f>
        <v>840.91194968553441</v>
      </c>
      <c r="M18" s="11">
        <f>((Tabela710125[[#This Row],[VD /V ± 0.00001 V]]-C17)/(Tabela710125[[#This Row],[ID /A ± 1E-7 A]]-B17)+(Tabela710125[[#This Row],[VD /V ± 0.00001 V]]-C19)/(Tabela710125[[#This Row],[ID /A ± 1E-7 A]]-B19))/2</f>
        <v>74.039094379360392</v>
      </c>
      <c r="AA18" s="7">
        <v>-7.0000000000000001E-3</v>
      </c>
      <c r="AB18" s="50">
        <f>Tabela1[[#This Row],[ID /mA]]*0.000001</f>
        <v>-6.9999999999999998E-9</v>
      </c>
      <c r="AC18" s="13">
        <v>-8.1449999999999996</v>
      </c>
      <c r="AD18" s="50">
        <f>Tabela1[[#This Row],[VD /V]]/Tabela1[[#This Row],[ID /A]]</f>
        <v>1163571428.5714285</v>
      </c>
      <c r="AE18" s="50" t="e">
        <f>((Tabela1[[#This Row],[VD /V]]-AC17)/(Tabela1[[#This Row],[ID /A]]-AB17)+(Tabela1[[#This Row],[VD /V]]-AC19)/(Tabela1[[#This Row],[ID /A]]-AB20))/2</f>
        <v>#DIV/0!</v>
      </c>
    </row>
    <row r="19" spans="1:36" x14ac:dyDescent="0.3">
      <c r="A19" s="2">
        <v>0.60389999999999999</v>
      </c>
      <c r="B19" s="11">
        <f>Tabela710125[[#This Row],[ID /mA ± 0.0001 mA]]*0.001</f>
        <v>6.0389999999999999E-4</v>
      </c>
      <c r="C19" s="1">
        <v>0.53237999999999996</v>
      </c>
      <c r="D19" s="3">
        <f>LN(Tabela710125[[#This Row],[ID /A ± 1E-7 A]])</f>
        <v>-7.4121019366504184</v>
      </c>
      <c r="E19" s="2">
        <f>1/Tabela710125[[#This Row],[ID /A ± 1E-7 A]]*0.0000001</f>
        <v>1.6559032952475573E-4</v>
      </c>
      <c r="F19" s="3">
        <f>W$35*Tabela710125[[#This Row],[VD /V ± 0.00001 V]]+X$35</f>
        <v>-7.4042357913786034</v>
      </c>
      <c r="G19" s="3">
        <f>Tabela710125[[#This Row],[ln(ID)]]-Tabela710125[[#This Row],[Ajuste 1 de ln(I0)]]</f>
        <v>-7.8661452718149505E-3</v>
      </c>
      <c r="H19" s="9" t="s">
        <v>2</v>
      </c>
      <c r="I19" s="9" t="s">
        <v>2</v>
      </c>
      <c r="J19" s="11">
        <f>E$48*(EXP(B$49*Tabela710125[[#This Row],[VD /V ± 0.00001 V]]/(E$45*B$47*B$45))-1)</f>
        <v>6.0533681377545159E-4</v>
      </c>
      <c r="K19" s="38" t="s">
        <v>2</v>
      </c>
      <c r="L19" s="11">
        <f>Tabela710125[[#This Row],[VD /V ± 0.00001 V]]/Tabela710125[[#This Row],[ID /A ± 1E-7 A]]</f>
        <v>881.56979632389459</v>
      </c>
      <c r="M19" s="11">
        <f>((Tabela710125[[#This Row],[VD /V ± 0.00001 V]]-C18)/(Tabela710125[[#This Row],[ID /A ± 1E-7 A]]-B18)+(Tabela710125[[#This Row],[VD /V ± 0.00001 V]]-C20)/(Tabela710125[[#This Row],[ID /A ± 1E-7 A]]-B20))/2</f>
        <v>76.959718901687097</v>
      </c>
      <c r="AA19" s="8">
        <v>-7.0000000000000001E-3</v>
      </c>
      <c r="AB19" s="50">
        <f>Tabela1[[#This Row],[ID /mA]]*0.000001</f>
        <v>-6.9999999999999998E-9</v>
      </c>
      <c r="AC19" s="14">
        <v>-6.7320000000000002</v>
      </c>
      <c r="AD19" s="50">
        <f>Tabela1[[#This Row],[VD /V]]/Tabela1[[#This Row],[ID /A]]</f>
        <v>961714285.71428573</v>
      </c>
      <c r="AE19" s="50" t="e">
        <f>((Tabela1[[#This Row],[VD /V]]-AC18)/(Tabela1[[#This Row],[ID /A]]-AB18)+(Tabela1[[#This Row],[VD /V]]-AC20)/(Tabela1[[#This Row],[ID /A]]-AB21))/2</f>
        <v>#DIV/0!</v>
      </c>
    </row>
    <row r="20" spans="1:36" x14ac:dyDescent="0.3">
      <c r="A20" s="2">
        <v>0.57809999999999995</v>
      </c>
      <c r="B20" s="11">
        <f>Tabela710125[[#This Row],[ID /mA ± 0.0001 mA]]*0.001</f>
        <v>5.7810000000000001E-4</v>
      </c>
      <c r="C20" s="1">
        <v>0.53037000000000001</v>
      </c>
      <c r="D20" s="3">
        <f>LN(Tabela710125[[#This Row],[ID /A ± 1E-7 A]])</f>
        <v>-7.455763693875844</v>
      </c>
      <c r="E20" s="2">
        <f>1/Tabela710125[[#This Row],[ID /A ± 1E-7 A]]*0.0000001</f>
        <v>1.7298045320878741E-4</v>
      </c>
      <c r="F20" s="3">
        <f>W$35*Tabela710125[[#This Row],[VD /V ± 0.00001 V]]+X$35</f>
        <v>-7.4518838959787495</v>
      </c>
      <c r="G20" s="3">
        <f>Tabela710125[[#This Row],[ln(ID)]]-Tabela710125[[#This Row],[Ajuste 1 de ln(I0)]]</f>
        <v>-3.8797978970945834E-3</v>
      </c>
      <c r="H20" s="9" t="s">
        <v>2</v>
      </c>
      <c r="I20" s="9" t="s">
        <v>2</v>
      </c>
      <c r="J20" s="11">
        <f>E$48*(EXP(B$49*Tabela710125[[#This Row],[VD /V ± 0.00001 V]]/(E$45*B$47*B$45))-1)</f>
        <v>5.8049943685729735E-4</v>
      </c>
      <c r="K20" s="38" t="s">
        <v>2</v>
      </c>
      <c r="L20" s="11">
        <f>Tabela710125[[#This Row],[VD /V ± 0.00001 V]]/Tabela710125[[#This Row],[ID /A ± 1E-7 A]]</f>
        <v>917.43642968344579</v>
      </c>
      <c r="M20" s="11">
        <f>((Tabela710125[[#This Row],[VD /V ± 0.00001 V]]-C19)/(Tabela710125[[#This Row],[ID /A ± 1E-7 A]]-B19)+(Tabela710125[[#This Row],[VD /V ± 0.00001 V]]-C21)/(Tabela710125[[#This Row],[ID /A ± 1E-7 A]]-B21))/2</f>
        <v>79.602343333923457</v>
      </c>
      <c r="AA20" s="7">
        <v>-7.0000000000000001E-3</v>
      </c>
      <c r="AB20" s="50">
        <f>Tabela1[[#This Row],[ID /mA]]*0.000001</f>
        <v>-6.9999999999999998E-9</v>
      </c>
      <c r="AC20" s="13">
        <v>-5.7640000000000002</v>
      </c>
      <c r="AD20" s="50">
        <f>Tabela1[[#This Row],[VD /V]]/Tabela1[[#This Row],[ID /A]]</f>
        <v>823428571.42857146</v>
      </c>
      <c r="AE20" s="50" t="e">
        <f>((Tabela1[[#This Row],[VD /V]]-AC19)/(Tabela1[[#This Row],[ID /A]]-AB19)+(Tabela1[[#This Row],[VD /V]]-AC21)/(Tabela1[[#This Row],[ID /A]]-AB22))/2</f>
        <v>#DIV/0!</v>
      </c>
    </row>
    <row r="21" spans="1:36" x14ac:dyDescent="0.3">
      <c r="A21" s="2">
        <v>0.55189999999999995</v>
      </c>
      <c r="B21" s="11">
        <f>Tabela710125[[#This Row],[ID /mA ± 0.0001 mA]]*0.001</f>
        <v>5.5189999999999992E-4</v>
      </c>
      <c r="C21" s="1">
        <v>0.52824000000000004</v>
      </c>
      <c r="D21" s="3">
        <f>LN(Tabela710125[[#This Row],[ID /A ± 1E-7 A]])</f>
        <v>-7.502143687518819</v>
      </c>
      <c r="E21" s="2">
        <f>1/Tabela710125[[#This Row],[ID /A ± 1E-7 A]]*0.0000001</f>
        <v>1.8119224497191523E-4</v>
      </c>
      <c r="F21" s="3">
        <f>W$35*Tabela710125[[#This Row],[VD /V ± 0.00001 V]]+X$35</f>
        <v>-7.5023766635400975</v>
      </c>
      <c r="G21" s="3">
        <f>Tabela710125[[#This Row],[ln(ID)]]-Tabela710125[[#This Row],[Ajuste 1 de ln(I0)]]</f>
        <v>2.3297602127847483E-4</v>
      </c>
      <c r="H21" s="9" t="s">
        <v>2</v>
      </c>
      <c r="I21" s="9" t="s">
        <v>2</v>
      </c>
      <c r="J21" s="11">
        <f>E$48*(EXP(B$49*Tabela710125[[#This Row],[VD /V ± 0.00001 V]]/(E$45*B$47*B$45))-1)</f>
        <v>5.5529047023751804E-4</v>
      </c>
      <c r="K21" s="38" t="s">
        <v>2</v>
      </c>
      <c r="L21" s="11">
        <f>Tabela710125[[#This Row],[VD /V ± 0.00001 V]]/Tabela710125[[#This Row],[ID /A ± 1E-7 A]]</f>
        <v>957.12991483964504</v>
      </c>
      <c r="M21" s="11">
        <f>((Tabela710125[[#This Row],[VD /V ± 0.00001 V]]-C20)/(Tabela710125[[#This Row],[ID /A ± 1E-7 A]]-B20)+(Tabela710125[[#This Row],[VD /V ± 0.00001 V]]-C22)/(Tabela710125[[#This Row],[ID /A ± 1E-7 A]]-B22))/2</f>
        <v>84.721019910284738</v>
      </c>
      <c r="AA21" s="8">
        <v>-6.0000000000000001E-3</v>
      </c>
      <c r="AB21" s="50">
        <f>Tabela1[[#This Row],[ID /mA]]*0.000001</f>
        <v>-6E-9</v>
      </c>
      <c r="AC21" s="14">
        <v>-4.4420000000000002</v>
      </c>
      <c r="AD21" s="50">
        <f>Tabela1[[#This Row],[VD /V]]/Tabela1[[#This Row],[ID /A]]</f>
        <v>740333333.33333337</v>
      </c>
      <c r="AE21" s="50" t="e">
        <f>((Tabela1[[#This Row],[VD /V]]-AC20)/(Tabela1[[#This Row],[ID /A]]-AB20)+(Tabela1[[#This Row],[VD /V]]-AC22)/(Tabela1[[#This Row],[ID /A]]-AB23))/2</f>
        <v>#DIV/0!</v>
      </c>
    </row>
    <row r="22" spans="1:36" ht="15.6" x14ac:dyDescent="0.35">
      <c r="A22" s="2">
        <v>0.53249999999999997</v>
      </c>
      <c r="B22" s="11">
        <f>Tabela710125[[#This Row],[ID /mA ± 0.0001 mA]]*0.001</f>
        <v>5.3249999999999999E-4</v>
      </c>
      <c r="C22" s="1">
        <v>0.52653000000000005</v>
      </c>
      <c r="D22" s="3">
        <f>LN(Tabela710125[[#This Row],[ID /A ± 1E-7 A]])</f>
        <v>-7.537927660380694</v>
      </c>
      <c r="E22" s="2">
        <f>1/Tabela710125[[#This Row],[ID /A ± 1E-7 A]]*0.0000001</f>
        <v>1.8779342723004695E-4</v>
      </c>
      <c r="F22" s="3">
        <f>W$35*Tabela710125[[#This Row],[VD /V ± 0.00001 V]]+X$35</f>
        <v>-7.5429131107372385</v>
      </c>
      <c r="G22" s="3">
        <f>Tabela710125[[#This Row],[ln(ID)]]-Tabela710125[[#This Row],[Ajuste 1 de ln(I0)]]</f>
        <v>4.9854503565445185E-3</v>
      </c>
      <c r="H22" s="9" t="s">
        <v>2</v>
      </c>
      <c r="I22" s="9" t="s">
        <v>2</v>
      </c>
      <c r="J22" s="11">
        <f>E$48*(EXP(B$49*Tabela710125[[#This Row],[VD /V ± 0.00001 V]]/(E$45*B$47*B$45))-1)</f>
        <v>5.3584678550042846E-4</v>
      </c>
      <c r="K22" s="38" t="s">
        <v>2</v>
      </c>
      <c r="L22" s="11">
        <f>Tabela710125[[#This Row],[VD /V ± 0.00001 V]]/Tabela710125[[#This Row],[ID /A ± 1E-7 A]]</f>
        <v>988.78873239436632</v>
      </c>
      <c r="M22" s="11">
        <f>((Tabela710125[[#This Row],[VD /V ± 0.00001 V]]-C21)/(Tabela710125[[#This Row],[ID /A ± 1E-7 A]]-B21)+(Tabela710125[[#This Row],[VD /V ± 0.00001 V]]-C23)/(Tabela710125[[#This Row],[ID /A ± 1E-7 A]]-B23))/2</f>
        <v>89.980093337201581</v>
      </c>
      <c r="AA22" s="7">
        <v>-6.0000000000000001E-3</v>
      </c>
      <c r="AB22" s="50">
        <f>Tabela1[[#This Row],[ID /mA]]*0.000001</f>
        <v>-6E-9</v>
      </c>
      <c r="AC22" s="13">
        <v>-3.8730000000000002</v>
      </c>
      <c r="AD22" s="50">
        <f>Tabela1[[#This Row],[VD /V]]/Tabela1[[#This Row],[ID /A]]</f>
        <v>645500000</v>
      </c>
      <c r="AE22" s="50" t="e">
        <f>((Tabela1[[#This Row],[VD /V]]-AC21)/(Tabela1[[#This Row],[ID /A]]-AB21)+(Tabela1[[#This Row],[VD /V]]-AC23)/(Tabela1[[#This Row],[ID /A]]-AB24))/2</f>
        <v>#DIV/0!</v>
      </c>
      <c r="AI22" t="s">
        <v>22</v>
      </c>
      <c r="AJ22" s="16">
        <f>AVERAGE(Tabela1[ID /A])</f>
        <v>-6.8461538461538467E-9</v>
      </c>
    </row>
    <row r="23" spans="1:36" ht="15.6" x14ac:dyDescent="0.35">
      <c r="A23" s="2">
        <v>0.49340000000000001</v>
      </c>
      <c r="B23" s="11">
        <f>Tabela710125[[#This Row],[ID /mA ± 0.0001 mA]]*0.001</f>
        <v>4.9340000000000007E-4</v>
      </c>
      <c r="C23" s="1">
        <v>0.52293999999999996</v>
      </c>
      <c r="D23" s="3">
        <f>LN(Tabela710125[[#This Row],[ID /A ± 1E-7 A]])</f>
        <v>-7.6141903538690174</v>
      </c>
      <c r="E23" s="2">
        <f>1/Tabela710125[[#This Row],[ID /A ± 1E-7 A]]*0.0000001</f>
        <v>2.026753141467369E-4</v>
      </c>
      <c r="F23" s="3">
        <f>W$35*Tabela710125[[#This Row],[VD /V ± 0.00001 V]]+X$35</f>
        <v>-7.6280159443265578</v>
      </c>
      <c r="G23" s="3">
        <f>Tabela710125[[#This Row],[ln(ID)]]-Tabela710125[[#This Row],[Ajuste 1 de ln(I0)]]</f>
        <v>1.3825590457540393E-2</v>
      </c>
      <c r="H23" s="9" t="s">
        <v>2</v>
      </c>
      <c r="I23" s="9" t="s">
        <v>2</v>
      </c>
      <c r="J23" s="11">
        <f>E$48*(EXP(B$49*Tabela710125[[#This Row],[VD /V ± 0.00001 V]]/(E$45*B$47*B$45))-1)</f>
        <v>4.9721304103025931E-4</v>
      </c>
      <c r="K23" s="38" t="s">
        <v>2</v>
      </c>
      <c r="L23" s="11">
        <f>Tabela710125[[#This Row],[VD /V ± 0.00001 V]]/Tabela710125[[#This Row],[ID /A ± 1E-7 A]]</f>
        <v>1059.8702877989458</v>
      </c>
      <c r="M23" s="11">
        <f>((Tabela710125[[#This Row],[VD /V ± 0.00001 V]]-C22)/(Tabela710125[[#This Row],[ID /A ± 1E-7 A]]-B22)+(Tabela710125[[#This Row],[VD /V ± 0.00001 V]]-C24)/(Tabela710125[[#This Row],[ID /A ± 1E-7 A]]-B24))/2</f>
        <v>95.478743839391299</v>
      </c>
      <c r="AA23" s="8">
        <v>-6.0000000000000001E-3</v>
      </c>
      <c r="AB23" s="50">
        <f>Tabela1[[#This Row],[ID /mA]]*0.000001</f>
        <v>-6E-9</v>
      </c>
      <c r="AC23" s="14">
        <v>-3.1030000000000002</v>
      </c>
      <c r="AD23" s="50">
        <f>Tabela1[[#This Row],[VD /V]]/Tabela1[[#This Row],[ID /A]]</f>
        <v>517166666.66666669</v>
      </c>
      <c r="AE23" s="50" t="e">
        <f>((Tabela1[[#This Row],[VD /V]]-AC22)/(Tabela1[[#This Row],[ID /A]]-AB22)+(Tabela1[[#This Row],[VD /V]]-AC24)/(Tabela1[[#This Row],[ID /A]]-AB25))/2</f>
        <v>#DIV/0!</v>
      </c>
      <c r="AI23" t="s">
        <v>23</v>
      </c>
      <c r="AJ23" s="17">
        <f>_xlfn.STDEV.S(Tabela1[ID /A])/SQRT(26)</f>
        <v>1.9761896274869432E-10</v>
      </c>
    </row>
    <row r="24" spans="1:36" x14ac:dyDescent="0.3">
      <c r="A24" s="2">
        <v>0.44679999999999997</v>
      </c>
      <c r="B24" s="11">
        <f>Tabela710125[[#This Row],[ID /mA ± 0.0001 mA]]*0.001</f>
        <v>4.4679999999999996E-4</v>
      </c>
      <c r="C24" s="1">
        <v>0.51832</v>
      </c>
      <c r="D24" s="3">
        <f>LN(Tabela710125[[#This Row],[ID /A ± 1E-7 A]])</f>
        <v>-7.7133994907692287</v>
      </c>
      <c r="E24" s="2">
        <f>1/Tabela710125[[#This Row],[ID /A ± 1E-7 A]]*0.0000001</f>
        <v>2.2381378692927487E-4</v>
      </c>
      <c r="F24" s="3">
        <f>W$35*Tabela710125[[#This Row],[VD /V ± 0.00001 V]]+X$35</f>
        <v>-7.7375354683328652</v>
      </c>
      <c r="G24" s="3">
        <f>Tabela710125[[#This Row],[ln(ID)]]-Tabela710125[[#This Row],[Ajuste 1 de ln(I0)]]</f>
        <v>2.4135977563636501E-2</v>
      </c>
      <c r="H24" s="9" t="s">
        <v>2</v>
      </c>
      <c r="I24" s="9" t="s">
        <v>2</v>
      </c>
      <c r="J24" s="11">
        <f>E$48*(EXP(B$49*Tabela710125[[#This Row],[VD /V ± 0.00001 V]]/(E$45*B$47*B$45))-1)</f>
        <v>4.5156508265498086E-4</v>
      </c>
      <c r="K24" s="38" t="s">
        <v>2</v>
      </c>
      <c r="L24" s="11">
        <f>Tabela710125[[#This Row],[VD /V ± 0.00001 V]]/Tabela710125[[#This Row],[ID /A ± 1E-7 A]]</f>
        <v>1160.0716204118175</v>
      </c>
      <c r="M24" s="11">
        <f>((Tabela710125[[#This Row],[VD /V ± 0.00001 V]]-C23)/(Tabela710125[[#This Row],[ID /A ± 1E-7 A]]-B23)+(Tabela710125[[#This Row],[VD /V ± 0.00001 V]]-C25)/(Tabela710125[[#This Row],[ID /A ± 1E-7 A]]-B25))/2</f>
        <v>103.9781102834704</v>
      </c>
      <c r="AA24" s="7">
        <v>-6.0000000000000001E-3</v>
      </c>
      <c r="AB24" s="50">
        <f>Tabela1[[#This Row],[ID /mA]]*0.000001</f>
        <v>-6E-9</v>
      </c>
      <c r="AC24" s="13">
        <v>-2.681</v>
      </c>
      <c r="AD24" s="50">
        <f>Tabela1[[#This Row],[VD /V]]/Tabela1[[#This Row],[ID /A]]</f>
        <v>446833333.33333337</v>
      </c>
      <c r="AE24" s="50" t="e">
        <f>((Tabela1[[#This Row],[VD /V]]-AC23)/(Tabela1[[#This Row],[ID /A]]-AB23)+(Tabela1[[#This Row],[VD /V]]-AC25)/(Tabela1[[#This Row],[ID /A]]-AB26))/2</f>
        <v>#DIV/0!</v>
      </c>
    </row>
    <row r="25" spans="1:36" x14ac:dyDescent="0.3">
      <c r="A25" s="2">
        <v>0.41389999999999999</v>
      </c>
      <c r="B25" s="11">
        <f>Tabela710125[[#This Row],[ID /mA ± 0.0001 mA]]*0.001</f>
        <v>4.1389999999999998E-4</v>
      </c>
      <c r="C25" s="1">
        <v>0.51473999999999998</v>
      </c>
      <c r="D25" s="3">
        <f>LN(Tabela710125[[#This Row],[ID /A ± 1E-7 A]])</f>
        <v>-7.7898861592095878</v>
      </c>
      <c r="E25" s="2">
        <f>1/Tabela710125[[#This Row],[ID /A ± 1E-7 A]]*0.0000001</f>
        <v>2.4160425223483935E-4</v>
      </c>
      <c r="F25" s="3">
        <f>W$35*Tabela710125[[#This Row],[VD /V ± 0.00001 V]]+X$35</f>
        <v>-7.8224012466754171</v>
      </c>
      <c r="G25" s="3">
        <f>Tabela710125[[#This Row],[ln(ID)]]-Tabela710125[[#This Row],[Ajuste 1 de ln(I0)]]</f>
        <v>3.2515087465829318E-2</v>
      </c>
      <c r="H25" s="9" t="s">
        <v>2</v>
      </c>
      <c r="I25" s="9" t="s">
        <v>2</v>
      </c>
      <c r="J25" s="11">
        <f>E$48*(EXP(B$49*Tabela710125[[#This Row],[VD /V ± 0.00001 V]]/(E$45*B$47*B$45))-1)</f>
        <v>4.1909516479793558E-4</v>
      </c>
      <c r="K25" s="38" t="s">
        <v>2</v>
      </c>
      <c r="L25" s="11">
        <f>Tabela710125[[#This Row],[VD /V ± 0.00001 V]]/Tabela710125[[#This Row],[ID /A ± 1E-7 A]]</f>
        <v>1243.6337279536119</v>
      </c>
      <c r="M25" s="11">
        <f>((Tabela710125[[#This Row],[VD /V ± 0.00001 V]]-C24)/(Tabela710125[[#This Row],[ID /A ± 1E-7 A]]-B24)+(Tabela710125[[#This Row],[VD /V ± 0.00001 V]]-C26)/(Tabela710125[[#This Row],[ID /A ± 1E-7 A]]-B26))/2</f>
        <v>111.97610217227705</v>
      </c>
      <c r="AA25" s="8">
        <v>-6.0000000000000001E-3</v>
      </c>
      <c r="AB25" s="50">
        <f>Tabela1[[#This Row],[ID /mA]]*0.000001</f>
        <v>-6E-9</v>
      </c>
      <c r="AC25" s="14">
        <v>-1.8859999999999999</v>
      </c>
      <c r="AD25" s="50">
        <f>Tabela1[[#This Row],[VD /V]]/Tabela1[[#This Row],[ID /A]]</f>
        <v>314333333.33333331</v>
      </c>
      <c r="AE25" s="50" t="e">
        <f>((Tabela1[[#This Row],[VD /V]]-AC24)/(Tabela1[[#This Row],[ID /A]]-AB24)+(Tabela1[[#This Row],[VD /V]]-AC26)/(Tabela1[[#This Row],[ID /A]]-AB27))/2</f>
        <v>#DIV/0!</v>
      </c>
    </row>
    <row r="26" spans="1:36" x14ac:dyDescent="0.3">
      <c r="A26" s="2">
        <v>0.3921</v>
      </c>
      <c r="B26" s="11">
        <f>Tabela710125[[#This Row],[ID /mA ± 0.0001 mA]]*0.001</f>
        <v>3.9209999999999999E-4</v>
      </c>
      <c r="C26" s="1">
        <v>0.51222999999999996</v>
      </c>
      <c r="D26" s="3">
        <f>LN(Tabela710125[[#This Row],[ID /A ± 1E-7 A]])</f>
        <v>-7.8439936486659878</v>
      </c>
      <c r="E26" s="2">
        <f>1/Tabela710125[[#This Row],[ID /A ± 1E-7 A]]*0.0000001</f>
        <v>2.550369803621525E-4</v>
      </c>
      <c r="F26" s="3">
        <f>W$35*Tabela710125[[#This Row],[VD /V ± 0.00001 V]]+X$35</f>
        <v>-7.8819021136139096</v>
      </c>
      <c r="G26" s="3">
        <f>Tabela710125[[#This Row],[ln(ID)]]-Tabela710125[[#This Row],[Ajuste 1 de ln(I0)]]</f>
        <v>3.7908464947921772E-2</v>
      </c>
      <c r="H26" s="9" t="s">
        <v>2</v>
      </c>
      <c r="I26" s="9" t="s">
        <v>2</v>
      </c>
      <c r="J26" s="11">
        <f>E$48*(EXP(B$49*Tabela710125[[#This Row],[VD /V ± 0.00001 V]]/(E$45*B$47*B$45))-1)</f>
        <v>3.9773244279576146E-4</v>
      </c>
      <c r="K26" s="38" t="s">
        <v>2</v>
      </c>
      <c r="L26" s="11">
        <f>Tabela710125[[#This Row],[VD /V ± 0.00001 V]]/Tabela710125[[#This Row],[ID /A ± 1E-7 A]]</f>
        <v>1306.3759245090537</v>
      </c>
      <c r="M26" s="11">
        <f>((Tabela710125[[#This Row],[VD /V ± 0.00001 V]]-C25)/(Tabela710125[[#This Row],[ID /A ± 1E-7 A]]-B25)+(Tabela710125[[#This Row],[VD /V ± 0.00001 V]]-C27)/(Tabela710125[[#This Row],[ID /A ± 1E-7 A]]-B27))/2</f>
        <v>114.15795462627227</v>
      </c>
      <c r="AA26" s="7">
        <v>-6.0000000000000001E-3</v>
      </c>
      <c r="AB26" s="50">
        <f>Tabela1[[#This Row],[ID /mA]]*0.000001</f>
        <v>-6E-9</v>
      </c>
      <c r="AC26" s="13">
        <v>-1.123</v>
      </c>
      <c r="AD26" s="50">
        <f>Tabela1[[#This Row],[VD /V]]/Tabela1[[#This Row],[ID /A]]</f>
        <v>187166666.66666666</v>
      </c>
      <c r="AE26" s="50" t="e">
        <f>((Tabela1[[#This Row],[VD /V]]-AC25)/(Tabela1[[#This Row],[ID /A]]-AB25)+(Tabela1[[#This Row],[VD /V]]-AC27)/(Tabela1[[#This Row],[ID /A]]-AB28))/2</f>
        <v>#DIV/0!</v>
      </c>
    </row>
    <row r="27" spans="1:36" x14ac:dyDescent="0.3">
      <c r="A27" s="2">
        <v>0.37919999999999998</v>
      </c>
      <c r="B27" s="11">
        <f>Tabela710125[[#This Row],[ID /mA ± 0.0001 mA]]*0.001</f>
        <v>3.792E-4</v>
      </c>
      <c r="C27" s="1">
        <v>0.51076999999999995</v>
      </c>
      <c r="D27" s="3">
        <f>LN(Tabela710125[[#This Row],[ID /A ± 1E-7 A]])</f>
        <v>-7.8774467875834073</v>
      </c>
      <c r="E27" s="2">
        <f>1/Tabela710125[[#This Row],[ID /A ± 1E-7 A]]*0.0000001</f>
        <v>2.6371308016877635E-4</v>
      </c>
      <c r="F27" s="3">
        <f>W$35*Tabela710125[[#This Row],[VD /V ± 0.00001 V]]+X$35</f>
        <v>-7.9165121796418774</v>
      </c>
      <c r="G27" s="3">
        <f>Tabela710125[[#This Row],[ln(ID)]]-Tabela710125[[#This Row],[Ajuste 1 de ln(I0)]]</f>
        <v>3.9065392058470039E-2</v>
      </c>
      <c r="H27" s="9" t="s">
        <v>2</v>
      </c>
      <c r="I27" s="9" t="s">
        <v>2</v>
      </c>
      <c r="J27" s="11">
        <f>E$48*(EXP(B$49*Tabela710125[[#This Row],[VD /V ± 0.00001 V]]/(E$45*B$47*B$45))-1)</f>
        <v>3.8581085073666237E-4</v>
      </c>
      <c r="K27" s="38" t="s">
        <v>2</v>
      </c>
      <c r="L27" s="11">
        <f>Tabela710125[[#This Row],[VD /V ± 0.00001 V]]/Tabela710125[[#This Row],[ID /A ± 1E-7 A]]</f>
        <v>1346.9672995780588</v>
      </c>
      <c r="M27" s="11">
        <f>((Tabela710125[[#This Row],[VD /V ± 0.00001 V]]-C26)/(Tabela710125[[#This Row],[ID /A ± 1E-7 A]]-B26)+(Tabela710125[[#This Row],[VD /V ± 0.00001 V]]-C28)/(Tabela710125[[#This Row],[ID /A ± 1E-7 A]]-B28))/2</f>
        <v>119.80052940064259</v>
      </c>
      <c r="AA27" s="8">
        <v>-5.0000000000000001E-3</v>
      </c>
      <c r="AB27" s="50">
        <f>Tabela1[[#This Row],[ID /mA]]*0.000001</f>
        <v>-5.0000000000000001E-9</v>
      </c>
      <c r="AC27" s="14">
        <v>-0.73799999999999999</v>
      </c>
      <c r="AD27" s="50">
        <f>Tabela1[[#This Row],[VD /V]]/Tabela1[[#This Row],[ID /A]]</f>
        <v>147600000</v>
      </c>
      <c r="AE27" s="50" t="e">
        <f>((Tabela1[[#This Row],[VD /V]]-AC26)/(Tabela1[[#This Row],[ID /A]]-AB26)+(Tabela1[[#This Row],[VD /V]]-AC28)/(Tabela1[[#This Row],[ID /A]]-AB29))/2</f>
        <v>#DIV/0!</v>
      </c>
    </row>
    <row r="28" spans="1:36" x14ac:dyDescent="0.3">
      <c r="A28" s="2">
        <v>0.35460000000000003</v>
      </c>
      <c r="B28" s="11">
        <f>Tabela710125[[#This Row],[ID /mA ± 0.0001 mA]]*0.001</f>
        <v>3.5460000000000005E-4</v>
      </c>
      <c r="C28" s="1">
        <v>0.50766</v>
      </c>
      <c r="D28" s="3">
        <f>LN(Tabela710125[[#This Row],[ID /A ± 1E-7 A]])</f>
        <v>-7.9445201643241665</v>
      </c>
      <c r="E28" s="2">
        <f>1/Tabela710125[[#This Row],[ID /A ± 1E-7 A]]*0.0000001</f>
        <v>2.8200789622109411E-4</v>
      </c>
      <c r="F28" s="3">
        <f>W$35*Tabela710125[[#This Row],[VD /V ± 0.00001 V]]+X$35</f>
        <v>-7.9902363613863816</v>
      </c>
      <c r="G28" s="3">
        <f>Tabela710125[[#This Row],[ln(ID)]]-Tabela710125[[#This Row],[Ajuste 1 de ln(I0)]]</f>
        <v>4.571619706221508E-2</v>
      </c>
      <c r="H28" s="9" t="s">
        <v>2</v>
      </c>
      <c r="I28" s="9" t="s">
        <v>2</v>
      </c>
      <c r="J28" s="11">
        <f>E$48*(EXP(B$49*Tabela710125[[#This Row],[VD /V ± 0.00001 V]]/(E$45*B$47*B$45))-1)</f>
        <v>3.615940537672042E-4</v>
      </c>
      <c r="K28" s="38" t="s">
        <v>2</v>
      </c>
      <c r="L28" s="11">
        <f>Tabela710125[[#This Row],[VD /V ± 0.00001 V]]/Tabela710125[[#This Row],[ID /A ± 1E-7 A]]</f>
        <v>1431.6412859560066</v>
      </c>
      <c r="M28" s="11">
        <f>((Tabela710125[[#This Row],[VD /V ± 0.00001 V]]-C27)/(Tabela710125[[#This Row],[ID /A ± 1E-7 A]]-B27)+(Tabela710125[[#This Row],[VD /V ± 0.00001 V]]-C29)/(Tabela710125[[#This Row],[ID /A ± 1E-7 A]]-B29))/2</f>
        <v>128.39462818711831</v>
      </c>
      <c r="AA28" s="7">
        <v>-5.0000000000000001E-3</v>
      </c>
      <c r="AB28" s="50">
        <f>Tabela1[[#This Row],[ID /mA]]*0.000001</f>
        <v>-5.0000000000000001E-9</v>
      </c>
      <c r="AC28" s="13">
        <v>-0.25700000000000001</v>
      </c>
      <c r="AD28" s="50">
        <f>Tabela1[[#This Row],[VD /V]]/Tabela1[[#This Row],[ID /A]]</f>
        <v>51400000</v>
      </c>
      <c r="AE28" s="50" t="e">
        <f>((Tabela1[[#This Row],[VD /V]]-AC27)/(Tabela1[[#This Row],[ID /A]]-AB27)+(Tabela1[[#This Row],[VD /V]]-AC29)/(Tabela1[[#This Row],[ID /A]]-AB30))/2</f>
        <v>#DIV/0!</v>
      </c>
    </row>
    <row r="29" spans="1:36" x14ac:dyDescent="0.3">
      <c r="A29" s="2">
        <v>0.33550000000000002</v>
      </c>
      <c r="B29" s="11">
        <f>Tabela710125[[#This Row],[ID /mA ± 0.0001 mA]]*0.001</f>
        <v>3.3550000000000002E-4</v>
      </c>
      <c r="C29" s="1">
        <v>0.50517000000000001</v>
      </c>
      <c r="D29" s="3">
        <f>LN(Tabela710125[[#This Row],[ID /A ± 1E-7 A]])</f>
        <v>-7.9998886015525379</v>
      </c>
      <c r="E29" s="2">
        <f>1/Tabela710125[[#This Row],[ID /A ± 1E-7 A]]*0.0000001</f>
        <v>2.980625931445603E-4</v>
      </c>
      <c r="F29" s="3">
        <f>W$35*Tabela710125[[#This Row],[VD /V ± 0.00001 V]]+X$35</f>
        <v>-8.049263117831341</v>
      </c>
      <c r="G29" s="3">
        <f>Tabela710125[[#This Row],[ln(ID)]]-Tabela710125[[#This Row],[Ajuste 1 de ln(I0)]]</f>
        <v>4.9374516278803071E-2</v>
      </c>
      <c r="H29" s="9" t="s">
        <v>2</v>
      </c>
      <c r="I29" s="9" t="s">
        <v>2</v>
      </c>
      <c r="J29" s="11">
        <f>E$48*(EXP(B$49*Tabela710125[[#This Row],[VD /V ± 0.00001 V]]/(E$45*B$47*B$45))-1)</f>
        <v>3.4330538505062612E-4</v>
      </c>
      <c r="K29" s="38" t="s">
        <v>2</v>
      </c>
      <c r="L29" s="11">
        <f>Tabela710125[[#This Row],[VD /V ± 0.00001 V]]/Tabela710125[[#This Row],[ID /A ± 1E-7 A]]</f>
        <v>1505.7228017883754</v>
      </c>
      <c r="M29" s="11">
        <f>((Tabela710125[[#This Row],[VD /V ± 0.00001 V]]-C28)/(Tabela710125[[#This Row],[ID /A ± 1E-7 A]]-B28)+(Tabela710125[[#This Row],[VD /V ± 0.00001 V]]-C30)/(Tabela710125[[#This Row],[ID /A ± 1E-7 A]]-B30))/2</f>
        <v>135.55361644367002</v>
      </c>
      <c r="AA29" s="8">
        <v>-5.0000000000000001E-3</v>
      </c>
      <c r="AB29" s="50">
        <f>Tabela1[[#This Row],[ID /mA]]*0.000001</f>
        <v>-5.0000000000000001E-9</v>
      </c>
      <c r="AC29" s="14">
        <v>-0.13300000000000001</v>
      </c>
      <c r="AD29" s="57">
        <f>Tabela1[[#This Row],[VD /V]]/Tabela1[[#This Row],[ID /A]]</f>
        <v>26600000</v>
      </c>
      <c r="AE29" s="50" t="e">
        <f>((Tabela1[[#This Row],[VD /V]]-AC28)/(Tabela1[[#This Row],[ID /A]]-AB28)+(Tabela1[[#This Row],[VD /V]]-AC30)/(Tabela1[[#This Row],[ID /A]]-AB31))/2</f>
        <v>#DIV/0!</v>
      </c>
    </row>
    <row r="30" spans="1:36" x14ac:dyDescent="0.3">
      <c r="A30" s="2">
        <v>0.31929999999999997</v>
      </c>
      <c r="B30" s="11">
        <f>Tabela710125[[#This Row],[ID /mA ± 0.0001 mA]]*0.001</f>
        <v>3.1929999999999995E-4</v>
      </c>
      <c r="C30" s="1">
        <v>0.50288999999999995</v>
      </c>
      <c r="D30" s="3">
        <f>LN(Tabela710125[[#This Row],[ID /A ± 1E-7 A]])</f>
        <v>-8.0493794582435374</v>
      </c>
      <c r="E30" s="2">
        <f>1/Tabela710125[[#This Row],[ID /A ± 1E-7 A]]*0.0000001</f>
        <v>3.1318509238960227E-4</v>
      </c>
      <c r="F30" s="3">
        <f>W$35*Tabela710125[[#This Row],[VD /V ± 0.00001 V]]+X$35</f>
        <v>-8.103311714094195</v>
      </c>
      <c r="G30" s="3">
        <f>Tabela710125[[#This Row],[ln(ID)]]-Tabela710125[[#This Row],[Ajuste 1 de ln(I0)]]</f>
        <v>5.393225585065764E-2</v>
      </c>
      <c r="H30" s="9" t="s">
        <v>2</v>
      </c>
      <c r="I30" s="9" t="s">
        <v>2</v>
      </c>
      <c r="J30" s="11">
        <f>E$48*(EXP(B$49*Tabela710125[[#This Row],[VD /V ± 0.00001 V]]/(E$45*B$47*B$45))-1)</f>
        <v>3.2737155699276974E-4</v>
      </c>
      <c r="K30" s="38" t="s">
        <v>2</v>
      </c>
      <c r="L30" s="11">
        <f>Tabela710125[[#This Row],[VD /V ± 0.00001 V]]/Tabela710125[[#This Row],[ID /A ± 1E-7 A]]</f>
        <v>1574.9765111180709</v>
      </c>
      <c r="M30" s="11">
        <f>((Tabela710125[[#This Row],[VD /V ± 0.00001 V]]-C29)/(Tabela710125[[#This Row],[ID /A ± 1E-7 A]]-B29)+(Tabela710125[[#This Row],[VD /V ± 0.00001 V]]-C31)/(Tabela710125[[#This Row],[ID /A ± 1E-7 A]]-B31))/2</f>
        <v>143.83190883190935</v>
      </c>
    </row>
    <row r="31" spans="1:36" x14ac:dyDescent="0.3">
      <c r="A31" s="2">
        <v>0.29330000000000001</v>
      </c>
      <c r="B31" s="11">
        <f>Tabela710125[[#This Row],[ID /mA ± 0.0001 mA]]*0.001</f>
        <v>2.9330000000000003E-4</v>
      </c>
      <c r="C31" s="1">
        <v>0.49907000000000001</v>
      </c>
      <c r="D31" s="3">
        <f>LN(Tabela710125[[#This Row],[ID /A ± 1E-7 A]])</f>
        <v>-8.1343145819808687</v>
      </c>
      <c r="E31" s="2">
        <f>1/Tabela710125[[#This Row],[ID /A ± 1E-7 A]]*0.0000001</f>
        <v>3.4094783498124785E-4</v>
      </c>
      <c r="F31" s="3">
        <f>W$35*Tabela710125[[#This Row],[VD /V ± 0.00001 V]]+X$35</f>
        <v>-8.1938668183591492</v>
      </c>
      <c r="G31" s="3">
        <f>Tabela710125[[#This Row],[ln(ID)]]-Tabela710125[[#This Row],[Ajuste 1 de ln(I0)]]</f>
        <v>5.9552236378280554E-2</v>
      </c>
      <c r="H31" s="9" t="s">
        <v>2</v>
      </c>
      <c r="I31" s="9" t="s">
        <v>2</v>
      </c>
      <c r="J31" s="11">
        <f>E$48*(EXP(B$49*Tabela710125[[#This Row],[VD /V ± 0.00001 V]]/(E$45*B$47*B$45))-1)</f>
        <v>3.0231547517847252E-4</v>
      </c>
      <c r="K31" s="38" t="s">
        <v>2</v>
      </c>
      <c r="L31" s="11">
        <f>Tabela710125[[#This Row],[VD /V ± 0.00001 V]]/Tabela710125[[#This Row],[ID /A ± 1E-7 A]]</f>
        <v>1701.5683600409136</v>
      </c>
      <c r="M31" s="11">
        <f>((Tabela710125[[#This Row],[VD /V ± 0.00001 V]]-C30)/(Tabela710125[[#This Row],[ID /A ± 1E-7 A]]-B30)+(Tabela710125[[#This Row],[VD /V ± 0.00001 V]]-C32)/(Tabela710125[[#This Row],[ID /A ± 1E-7 A]]-B32))/2</f>
        <v>143.72469635627431</v>
      </c>
    </row>
    <row r="32" spans="1:36" x14ac:dyDescent="0.3">
      <c r="A32" s="2">
        <v>0.27429999999999999</v>
      </c>
      <c r="B32" s="11">
        <f>Tabela710125[[#This Row],[ID /mA ± 0.0001 mA]]*0.001</f>
        <v>2.743E-4</v>
      </c>
      <c r="C32" s="1">
        <v>0.49640000000000001</v>
      </c>
      <c r="D32" s="3">
        <f>LN(Tabela710125[[#This Row],[ID /A ± 1E-7 A]])</f>
        <v>-8.2012881600207166</v>
      </c>
      <c r="E32" s="2">
        <f>1/Tabela710125[[#This Row],[ID /A ± 1E-7 A]]*0.0000001</f>
        <v>3.6456434560699962E-4</v>
      </c>
      <c r="F32" s="3">
        <f>W$35*Tabela710125[[#This Row],[VD /V ± 0.00001 V]]+X$35</f>
        <v>-8.2571605692459134</v>
      </c>
      <c r="G32" s="3">
        <f>Tabela710125[[#This Row],[ln(ID)]]-Tabela710125[[#This Row],[Ajuste 1 de ln(I0)]]</f>
        <v>5.5872409225196762E-2</v>
      </c>
      <c r="H32" s="9" t="s">
        <v>2</v>
      </c>
      <c r="I32" s="9" t="s">
        <v>2</v>
      </c>
      <c r="J32" s="11">
        <f>E$48*(EXP(B$49*Tabela710125[[#This Row],[VD /V ± 0.00001 V]]/(E$45*B$47*B$45))-1)</f>
        <v>2.8595002834334681E-4</v>
      </c>
      <c r="K32" s="38" t="s">
        <v>2</v>
      </c>
      <c r="L32" s="11">
        <f>Tabela710125[[#This Row],[VD /V ± 0.00001 V]]/Tabela710125[[#This Row],[ID /A ± 1E-7 A]]</f>
        <v>1809.6974115931462</v>
      </c>
      <c r="M32" s="11">
        <f>((Tabela710125[[#This Row],[VD /V ± 0.00001 V]]-C31)/(Tabela710125[[#This Row],[ID /A ± 1E-7 A]]-B31)+(Tabela710125[[#This Row],[VD /V ± 0.00001 V]]-C33)/(Tabela710125[[#This Row],[ID /A ± 1E-7 A]]-B33))/2</f>
        <v>160.63672111312792</v>
      </c>
    </row>
    <row r="33" spans="1:25" ht="15" thickBot="1" x14ac:dyDescent="0.35">
      <c r="A33" s="2">
        <v>0.23949999999999999</v>
      </c>
      <c r="B33" s="11">
        <f>Tabela710125[[#This Row],[ID /mA ± 0.0001 mA]]*0.001</f>
        <v>2.3949999999999999E-4</v>
      </c>
      <c r="C33" s="1">
        <v>0.49010999999999999</v>
      </c>
      <c r="D33" s="3">
        <f>LN(Tabela710125[[#This Row],[ID /A ± 1E-7 A]])</f>
        <v>-8.3369571411133041</v>
      </c>
      <c r="E33" s="2">
        <f>1/Tabela710125[[#This Row],[ID /A ± 1E-7 A]]*0.0000001</f>
        <v>4.1753653444676412E-4</v>
      </c>
      <c r="F33" s="3">
        <f>W$35*Tabela710125[[#This Row],[VD /V ± 0.00001 V]]+X$35</f>
        <v>-8.4062683194622938</v>
      </c>
      <c r="G33" s="3">
        <f>Tabela710125[[#This Row],[ln(ID)]]-Tabela710125[[#This Row],[Ajuste 1 de ln(I0)]]</f>
        <v>6.9311178348989699E-2</v>
      </c>
      <c r="H33" s="9" t="s">
        <v>2</v>
      </c>
      <c r="I33" s="9" t="s">
        <v>2</v>
      </c>
      <c r="J33" s="11">
        <f>E$48*(EXP(B$49*Tabela710125[[#This Row],[VD /V ± 0.00001 V]]/(E$45*B$47*B$45))-1)</f>
        <v>2.508127458563811E-4</v>
      </c>
      <c r="K33" s="38" t="s">
        <v>2</v>
      </c>
      <c r="L33" s="11">
        <f>Tabela710125[[#This Row],[VD /V ± 0.00001 V]]/Tabela710125[[#This Row],[ID /A ± 1E-7 A]]</f>
        <v>2046.3883089770354</v>
      </c>
      <c r="M33" s="11">
        <f>((Tabela710125[[#This Row],[VD /V ± 0.00001 V]]-C32)/(Tabela710125[[#This Row],[ID /A ± 1E-7 A]]-B32)+(Tabela710125[[#This Row],[VD /V ± 0.00001 V]]-C34)/(Tabela710125[[#This Row],[ID /A ± 1E-7 A]]-B34))/2</f>
        <v>188.46516627182569</v>
      </c>
    </row>
    <row r="34" spans="1:25" ht="15" thickBot="1" x14ac:dyDescent="0.35">
      <c r="A34" s="2">
        <v>0.21329999999999999</v>
      </c>
      <c r="B34" s="11">
        <f>Tabela710125[[#This Row],[ID /mA ± 0.0001 mA]]*0.001</f>
        <v>2.1329999999999998E-4</v>
      </c>
      <c r="C34" s="1">
        <v>0.48497000000000001</v>
      </c>
      <c r="D34" s="3">
        <f>LN(Tabela710125[[#This Row],[ID /A ± 1E-7 A]])</f>
        <v>-8.4528109324869689</v>
      </c>
      <c r="E34" s="2">
        <f>1/Tabela710125[[#This Row],[ID /A ± 1E-7 A]]*0.0000001</f>
        <v>4.6882325363338019E-4</v>
      </c>
      <c r="F34" s="3">
        <f>W$35*Tabela710125[[#This Row],[VD /V ± 0.00001 V]]+X$35</f>
        <v>-8.5281147163004807</v>
      </c>
      <c r="G34" s="3">
        <f>Tabela710125[[#This Row],[ln(ID)]]-Tabela710125[[#This Row],[Ajuste 1 de ln(I0)]]</f>
        <v>7.5303783813511771E-2</v>
      </c>
      <c r="H34" s="9" t="s">
        <v>2</v>
      </c>
      <c r="I34" s="9" t="s">
        <v>2</v>
      </c>
      <c r="J34" s="11">
        <f>E$48*(EXP(B$49*Tabela710125[[#This Row],[VD /V ± 0.00001 V]]/(E$45*B$47*B$45))-1)</f>
        <v>2.253301433509095E-4</v>
      </c>
      <c r="K34" s="38" t="s">
        <v>2</v>
      </c>
      <c r="L34" s="11">
        <f>Tabela710125[[#This Row],[VD /V ± 0.00001 V]]/Tabela710125[[#This Row],[ID /A ± 1E-7 A]]</f>
        <v>2273.6521331458043</v>
      </c>
      <c r="M34" s="11">
        <f>((Tabela710125[[#This Row],[VD /V ± 0.00001 V]]-C33)/(Tabela710125[[#This Row],[ID /A ± 1E-7 A]]-B33)+(Tabela710125[[#This Row],[VD /V ± 0.00001 V]]-C35)/(Tabela710125[[#This Row],[ID /A ± 1E-7 A]]-B35))/2</f>
        <v>206.07639392795974</v>
      </c>
      <c r="V34" s="47" t="s">
        <v>9</v>
      </c>
      <c r="W34" s="48"/>
      <c r="X34" s="48"/>
      <c r="Y34" s="49"/>
    </row>
    <row r="35" spans="1:25" x14ac:dyDescent="0.3">
      <c r="A35" s="2">
        <v>0.187</v>
      </c>
      <c r="B35" s="11">
        <f>Tabela710125[[#This Row],[ID /mA ± 0.0001 mA]]*0.001</f>
        <v>1.8699999999999999E-4</v>
      </c>
      <c r="C35" s="1">
        <v>0.47928999999999999</v>
      </c>
      <c r="D35" s="3">
        <f>LN(Tabela710125[[#This Row],[ID /A ± 1E-7 A]])</f>
        <v>-8.5844019411096877</v>
      </c>
      <c r="E35" s="2">
        <f>1/Tabela710125[[#This Row],[ID /A ± 1E-7 A]]*0.0000001</f>
        <v>5.3475935828877007E-4</v>
      </c>
      <c r="F35" s="3">
        <f>W$35*Tabela710125[[#This Row],[VD /V ± 0.00001 V]]+X$35</f>
        <v>-8.6627620964640819</v>
      </c>
      <c r="G35" s="3">
        <f>Tabela710125[[#This Row],[ln(ID)]]-Tabela710125[[#This Row],[Ajuste 1 de ln(I0)]]</f>
        <v>7.8360155354394223E-2</v>
      </c>
      <c r="H35" s="9" t="s">
        <v>2</v>
      </c>
      <c r="I35" s="9" t="s">
        <v>2</v>
      </c>
      <c r="J35" s="11">
        <f>E$48*(EXP(B$49*Tabela710125[[#This Row],[VD /V ± 0.00001 V]]/(E$45*B$47*B$45))-1)</f>
        <v>2.0017062609457517E-4</v>
      </c>
      <c r="K35" s="38" t="s">
        <v>2</v>
      </c>
      <c r="L35" s="11">
        <f>Tabela710125[[#This Row],[VD /V ± 0.00001 V]]/Tabela710125[[#This Row],[ID /A ± 1E-7 A]]</f>
        <v>2563.0481283422459</v>
      </c>
      <c r="M35" s="11">
        <f>((Tabela710125[[#This Row],[VD /V ± 0.00001 V]]-C34)/(Tabela710125[[#This Row],[ID /A ± 1E-7 A]]-B34)+(Tabela710125[[#This Row],[VD /V ± 0.00001 V]]-C36)/(Tabela710125[[#This Row],[ID /A ± 1E-7 A]]-B36))/2</f>
        <v>227.93784251771766</v>
      </c>
      <c r="V35" s="18" t="s">
        <v>3</v>
      </c>
      <c r="W35" s="37" cm="1">
        <f t="array" ref="W35:X39">LINEST(Tabela710125[ln(ID)],Tabela710125[VD /V ± 0.00001 V],1,1)</f>
        <v>23.705524676690136</v>
      </c>
      <c r="X35" s="37">
        <v>-20.024583018754896</v>
      </c>
      <c r="Y35" s="22" t="s">
        <v>6</v>
      </c>
    </row>
    <row r="36" spans="1:25" x14ac:dyDescent="0.3">
      <c r="A36" s="2">
        <v>0.16569999999999999</v>
      </c>
      <c r="B36" s="11">
        <f>Tabela710125[[#This Row],[ID /mA ± 0.0001 mA]]*0.001</f>
        <v>1.6569999999999999E-4</v>
      </c>
      <c r="C36" s="1">
        <v>0.47417999999999999</v>
      </c>
      <c r="D36" s="3">
        <f>LN(Tabela710125[[#This Row],[ID /A ± 1E-7 A]])</f>
        <v>-8.7053316335317561</v>
      </c>
      <c r="E36" s="2">
        <f>1/Tabela710125[[#This Row],[ID /A ± 1E-7 A]]*0.0000001</f>
        <v>6.0350030175015089E-4</v>
      </c>
      <c r="F36" s="3">
        <f>W$35*Tabela710125[[#This Row],[VD /V ± 0.00001 V]]+X$35</f>
        <v>-8.7838973275619683</v>
      </c>
      <c r="G36" s="3">
        <f>Tabela710125[[#This Row],[ln(ID)]]-Tabela710125[[#This Row],[Ajuste 1 de ln(I0)]]</f>
        <v>7.8565694030212185E-2</v>
      </c>
      <c r="H36" s="9" t="s">
        <v>2</v>
      </c>
      <c r="I36" s="9" t="s">
        <v>2</v>
      </c>
      <c r="J36" s="11">
        <f>E$48*(EXP(B$49*Tabela710125[[#This Row],[VD /V ± 0.00001 V]]/(E$45*B$47*B$45))-1)</f>
        <v>1.799455719446475E-4</v>
      </c>
      <c r="K36" s="38" t="s">
        <v>2</v>
      </c>
      <c r="L36" s="11">
        <f>Tabela710125[[#This Row],[VD /V ± 0.00001 V]]/Tabela710125[[#This Row],[ID /A ± 1E-7 A]]</f>
        <v>2861.6777308388655</v>
      </c>
      <c r="M36" s="11">
        <f>((Tabela710125[[#This Row],[VD /V ± 0.00001 V]]-C35)/(Tabela710125[[#This Row],[ID /A ± 1E-7 A]]-B35)+(Tabela710125[[#This Row],[VD /V ± 0.00001 V]]-C37)/(Tabela710125[[#This Row],[ID /A ± 1E-7 A]]-B37))/2</f>
        <v>254.21701103405599</v>
      </c>
      <c r="V36" s="41" t="s">
        <v>4</v>
      </c>
      <c r="W36" s="32">
        <v>0.2210483779247833</v>
      </c>
      <c r="X36" s="32">
        <v>0.11307400258390533</v>
      </c>
      <c r="Y36" s="43" t="s">
        <v>7</v>
      </c>
    </row>
    <row r="37" spans="1:25" ht="15" thickBot="1" x14ac:dyDescent="0.35">
      <c r="A37" s="2">
        <v>0.14599999999999999</v>
      </c>
      <c r="B37" s="11">
        <f>Tabela710125[[#This Row],[ID /mA ± 0.0001 mA]]*0.001</f>
        <v>1.46E-4</v>
      </c>
      <c r="C37" s="1">
        <v>0.46888999999999997</v>
      </c>
      <c r="D37" s="3">
        <f>LN(Tabela710125[[#This Row],[ID /A ± 1E-7 A]])</f>
        <v>-8.8319039362559373</v>
      </c>
      <c r="E37" s="2">
        <f>1/Tabela710125[[#This Row],[ID /A ± 1E-7 A]]*0.0000001</f>
        <v>6.8493150684931507E-4</v>
      </c>
      <c r="F37" s="3">
        <f>W$35*Tabela710125[[#This Row],[VD /V ± 0.00001 V]]+X$35</f>
        <v>-8.9092995531016594</v>
      </c>
      <c r="G37" s="3">
        <f>Tabela710125[[#This Row],[ln(ID)]]-Tabela710125[[#This Row],[Ajuste 1 de ln(I0)]]</f>
        <v>7.7395616845722159E-2</v>
      </c>
      <c r="H37" s="9" t="s">
        <v>2</v>
      </c>
      <c r="I37" s="9" t="s">
        <v>2</v>
      </c>
      <c r="J37" s="11">
        <f>E$48*(EXP(B$49*Tabela710125[[#This Row],[VD /V ± 0.00001 V]]/(E$45*B$47*B$45))-1)</f>
        <v>1.6115813516144706E-4</v>
      </c>
      <c r="K37" s="38" t="s">
        <v>2</v>
      </c>
      <c r="L37" s="11">
        <f>Tabela710125[[#This Row],[VD /V ± 0.00001 V]]/Tabela710125[[#This Row],[ID /A ± 1E-7 A]]</f>
        <v>3211.5753424657532</v>
      </c>
      <c r="M37" s="11">
        <f>((Tabela710125[[#This Row],[VD /V ± 0.00001 V]]-C36)/(Tabela710125[[#This Row],[ID /A ± 1E-7 A]]-B36)+(Tabela710125[[#This Row],[VD /V ± 0.00001 V]]-C38)/(Tabela710125[[#This Row],[ID /A ± 1E-7 A]]-B38))/2</f>
        <v>289.07165169855455</v>
      </c>
      <c r="V37" s="19" t="s">
        <v>5</v>
      </c>
      <c r="W37" s="34">
        <v>0.99679312318462743</v>
      </c>
      <c r="X37" s="34">
        <v>6.3096176602058379E-2</v>
      </c>
      <c r="Y37" s="23" t="s">
        <v>8</v>
      </c>
    </row>
    <row r="38" spans="1:25" x14ac:dyDescent="0.3">
      <c r="A38" s="2">
        <v>0.12520000000000001</v>
      </c>
      <c r="B38" s="11">
        <f>Tabela710125[[#This Row],[ID /mA ± 0.0001 mA]]*0.001</f>
        <v>1.2520000000000001E-4</v>
      </c>
      <c r="C38" s="1">
        <v>0.46245000000000003</v>
      </c>
      <c r="D38" s="3">
        <f>LN(Tabela710125[[#This Row],[ID /A ± 1E-7 A]])</f>
        <v>-8.9855980992982758</v>
      </c>
      <c r="E38" s="2">
        <f>1/Tabela710125[[#This Row],[ID /A ± 1E-7 A]]*0.0000001</f>
        <v>7.9872204472843436E-4</v>
      </c>
      <c r="F38" s="3">
        <f>W$35*Tabela710125[[#This Row],[VD /V ± 0.00001 V]]+X$35</f>
        <v>-9.0619631320195424</v>
      </c>
      <c r="G38" s="3">
        <f>Tabela710125[[#This Row],[ln(ID)]]-Tabela710125[[#This Row],[Ajuste 1 de ln(I0)]]</f>
        <v>7.6365032721266601E-2</v>
      </c>
      <c r="H38" s="9" t="s">
        <v>2</v>
      </c>
      <c r="I38" s="9" t="s">
        <v>2</v>
      </c>
      <c r="J38" s="11">
        <f>E$48*(EXP(B$49*Tabela710125[[#This Row],[VD /V ± 0.00001 V]]/(E$45*B$47*B$45))-1)</f>
        <v>1.4091338763710454E-4</v>
      </c>
      <c r="K38" s="38" t="s">
        <v>2</v>
      </c>
      <c r="L38" s="11">
        <f>Tabela710125[[#This Row],[VD /V ± 0.00001 V]]/Tabela710125[[#This Row],[ID /A ± 1E-7 A]]</f>
        <v>3693.6900958466454</v>
      </c>
      <c r="M38" s="11">
        <f>((Tabela710125[[#This Row],[VD /V ± 0.00001 V]]-C37)/(Tabela710125[[#This Row],[ID /A ± 1E-7 A]]-B37)+(Tabela710125[[#This Row],[VD /V ± 0.00001 V]]-C39)/(Tabela710125[[#This Row],[ID /A ± 1E-7 A]]-B39))/2</f>
        <v>337.24012474012375</v>
      </c>
      <c r="W38">
        <v>11500.705415635148</v>
      </c>
      <c r="X38">
        <v>37</v>
      </c>
    </row>
    <row r="39" spans="1:25" x14ac:dyDescent="0.3">
      <c r="A39" s="2">
        <v>9.9299999999999999E-2</v>
      </c>
      <c r="B39" s="10">
        <f>Tabela710125[[#This Row],[ID /mA ± 0.0001 mA]]*0.001</f>
        <v>9.9300000000000001E-5</v>
      </c>
      <c r="C39" s="1">
        <v>0.45300000000000001</v>
      </c>
      <c r="D39" s="3">
        <f>LN(Tabela710125[[#This Row],[ID /A ± 1E-7 A]])</f>
        <v>-9.2173649869131467</v>
      </c>
      <c r="E39" s="2">
        <f>1/Tabela710125[[#This Row],[ID /A ± 1E-7 A]]*0.0000001</f>
        <v>1.0070493454179255E-3</v>
      </c>
      <c r="F39" s="3">
        <f>W$35*Tabela710125[[#This Row],[VD /V ± 0.00001 V]]+X$35</f>
        <v>-9.2859803402142642</v>
      </c>
      <c r="G39" s="3">
        <f>Tabela710125[[#This Row],[ln(ID)]]-Tabela710125[[#This Row],[Ajuste 1 de ln(I0)]]</f>
        <v>6.8615353301117565E-2</v>
      </c>
      <c r="H39" s="9" t="s">
        <v>2</v>
      </c>
      <c r="I39" s="9" t="s">
        <v>2</v>
      </c>
      <c r="J39" s="11">
        <f>E$48*(EXP(B$49*Tabela710125[[#This Row],[VD /V ± 0.00001 V]]/(E$45*B$47*B$45))-1)</f>
        <v>1.1571840289910165E-4</v>
      </c>
      <c r="K39" s="38" t="s">
        <v>2</v>
      </c>
      <c r="L39" s="11">
        <f>Tabela710125[[#This Row],[VD /V ± 0.00001 V]]/Tabela710125[[#This Row],[ID /A ± 1E-7 A]]</f>
        <v>4561.9335347432025</v>
      </c>
      <c r="M39" s="11">
        <f>((Tabela710125[[#This Row],[VD /V ± 0.00001 V]]-C38)/(Tabela710125[[#This Row],[ID /A ± 1E-7 A]]-B38)+(Tabela710125[[#This Row],[VD /V ± 0.00001 V]]-C40)/(Tabela710125[[#This Row],[ID /A ± 1E-7 A]]-B40))/2</f>
        <v>452.95557126543088</v>
      </c>
      <c r="W39">
        <v>45.785774620263894</v>
      </c>
      <c r="X39">
        <v>0.14730171756653115</v>
      </c>
    </row>
    <row r="40" spans="1:25" x14ac:dyDescent="0.3">
      <c r="A40" s="2">
        <v>4.9599999999999998E-2</v>
      </c>
      <c r="B40" s="10">
        <f>Tabela710125[[#This Row],[ID /mA ± 0.0001 mA]]*0.001</f>
        <v>4.9599999999999999E-5</v>
      </c>
      <c r="C40" s="1">
        <v>0.42610999999999999</v>
      </c>
      <c r="D40" s="3">
        <f>LN(Tabela710125[[#This Row],[ID /A ± 1E-7 A]])</f>
        <v>-9.9115197242333917</v>
      </c>
      <c r="E40" s="2">
        <f>1/Tabela710125[[#This Row],[ID /A ± 1E-7 A]]*0.0000001</f>
        <v>2.0161290322580645E-3</v>
      </c>
      <c r="F40" s="3">
        <f>W$35*Tabela710125[[#This Row],[VD /V ± 0.00001 V]]+X$35</f>
        <v>-9.9234218987704619</v>
      </c>
      <c r="G40" s="3">
        <f>Tabela710125[[#This Row],[ln(ID)]]-Tabela710125[[#This Row],[Ajuste 1 de ln(I0)]]</f>
        <v>1.1902174537070209E-2</v>
      </c>
      <c r="H40" s="9" t="s">
        <v>2</v>
      </c>
      <c r="I40" s="9" t="s">
        <v>2</v>
      </c>
      <c r="J40" s="11">
        <f>E$48*(EXP(B$49*Tabela710125[[#This Row],[VD /V ± 0.00001 V]]/(E$45*B$47*B$45))-1)</f>
        <v>6.6063535897972869E-5</v>
      </c>
      <c r="K40" s="38" t="s">
        <v>2</v>
      </c>
      <c r="L40" s="11">
        <f>Tabela710125[[#This Row],[VD /V ± 0.00001 V]]/Tabela710125[[#This Row],[ID /A ± 1E-7 A]]</f>
        <v>8590.927419354839</v>
      </c>
      <c r="M40" s="11">
        <f>((Tabela710125[[#This Row],[VD /V ± 0.00001 V]]-C39)/(Tabela710125[[#This Row],[ID /A ± 1E-7 A]]-B39)+(Tabela710125[[#This Row],[VD /V ± 0.00001 V]]-C41)/(Tabela710125[[#This Row],[ID /A ± 1E-7 A]]-B41))/2</f>
        <v>761.17734444047414</v>
      </c>
    </row>
    <row r="41" spans="1:25" x14ac:dyDescent="0.3">
      <c r="A41" s="2">
        <v>2.8199999999999999E-2</v>
      </c>
      <c r="B41" s="10">
        <f>Tabela710125[[#This Row],[ID /mA ± 0.0001 mA]]*0.001</f>
        <v>2.8200000000000001E-5</v>
      </c>
      <c r="C41" s="1">
        <v>0.40511000000000003</v>
      </c>
      <c r="D41" s="3">
        <f>LN(Tabela710125[[#This Row],[ID /A ± 1E-7 A]])</f>
        <v>-10.476188580020207</v>
      </c>
      <c r="E41" s="2">
        <f>1/Tabela710125[[#This Row],[ID /A ± 1E-7 A]]*0.0000001</f>
        <v>3.5460992907801418E-3</v>
      </c>
      <c r="F41" s="3">
        <f>W$35*Tabela710125[[#This Row],[VD /V ± 0.00001 V]]+X$35</f>
        <v>-10.421237916980955</v>
      </c>
      <c r="G41" s="3">
        <f>Tabela710125[[#This Row],[ln(ID)]]-Tabela710125[[#This Row],[Ajuste 1 de ln(I0)]]</f>
        <v>-5.4950663039251779E-2</v>
      </c>
      <c r="H41" s="9" t="s">
        <v>2</v>
      </c>
      <c r="I41" s="9" t="s">
        <v>2</v>
      </c>
      <c r="J41" s="11">
        <f>E$48*(EXP(B$49*Tabela710125[[#This Row],[VD /V ± 0.00001 V]]/(E$45*B$47*B$45))-1)</f>
        <v>4.2641418366310813E-5</v>
      </c>
      <c r="K41" s="38" t="s">
        <v>2</v>
      </c>
      <c r="L41" s="11">
        <f>Tabela710125[[#This Row],[VD /V ± 0.00001 V]]/Tabela710125[[#This Row],[ID /A ± 1E-7 A]]</f>
        <v>14365.602836879432</v>
      </c>
      <c r="M41" s="11">
        <f>((Tabela710125[[#This Row],[VD /V ± 0.00001 V]]-C40)/(Tabela710125[[#This Row],[ID /A ± 1E-7 A]]-B40)+(Tabela710125[[#This Row],[VD /V ± 0.00001 V]]-C42)/(Tabela710125[[#This Row],[ID /A ± 1E-7 A]]-B42))/2</f>
        <v>1995.0475110468069</v>
      </c>
    </row>
    <row r="42" spans="1:25" x14ac:dyDescent="0.3">
      <c r="A42" s="2">
        <v>4.3E-3</v>
      </c>
      <c r="B42" s="16">
        <f>Tabela710125[[#This Row],[ID /mA ± 0.0001 mA]]*0.001</f>
        <v>4.3000000000000003E-6</v>
      </c>
      <c r="C42" s="1">
        <v>0.3332</v>
      </c>
      <c r="D42" s="3">
        <f>LN(Tabela710125[[#This Row],[ID /A ± 1E-7 A]])</f>
        <v>-12.356895535264757</v>
      </c>
      <c r="E42" s="2">
        <f>1/Tabela710125[[#This Row],[ID /A ± 1E-7 A]]*0.0000001</f>
        <v>2.3255813953488368E-2</v>
      </c>
      <c r="F42" s="3">
        <f>W$35*Tabela710125[[#This Row],[VD /V ± 0.00001 V]]+X$35</f>
        <v>-12.125902196481743</v>
      </c>
      <c r="G42" s="3">
        <f>Tabela710125[[#This Row],[ln(ID)]]-Tabela710125[[#This Row],[Ajuste 1 de ln(I0)]]</f>
        <v>-0.23099333878301387</v>
      </c>
      <c r="H42" s="9" t="s">
        <v>2</v>
      </c>
      <c r="I42" s="9" t="s">
        <v>2</v>
      </c>
      <c r="J42" s="11">
        <f>E$48*(EXP(B$49*Tabela710125[[#This Row],[VD /V ± 0.00001 V]]/(E$45*B$47*B$45))-1)</f>
        <v>9.5183125493339339E-6</v>
      </c>
      <c r="K42" s="38" t="s">
        <v>2</v>
      </c>
      <c r="L42" s="11">
        <f>Tabela710125[[#This Row],[VD /V ± 0.00001 V]]/Tabela710125[[#This Row],[ID /A ± 1E-7 A]]</f>
        <v>77488.372093023252</v>
      </c>
      <c r="M42" s="11">
        <f>((Tabela710125[[#This Row],[VD /V ± 0.00001 V]]-C41)/(Tabela710125[[#This Row],[ID /A ± 1E-7 A]]-B41))</f>
        <v>3008.786610878662</v>
      </c>
    </row>
    <row r="44" spans="1:25" ht="15" thickBot="1" x14ac:dyDescent="0.35"/>
    <row r="45" spans="1:25" ht="15" thickBot="1" x14ac:dyDescent="0.35">
      <c r="A45" s="29" t="s">
        <v>11</v>
      </c>
      <c r="B45" s="31">
        <f>24.5+273.15</f>
        <v>297.64999999999998</v>
      </c>
      <c r="D45" s="27" t="s">
        <v>16</v>
      </c>
      <c r="E45" s="28">
        <f>B49/(I46*B47*B45)</f>
        <v>1.8702583558165708</v>
      </c>
      <c r="H45" s="44" t="s">
        <v>10</v>
      </c>
      <c r="I45" s="45"/>
      <c r="J45" s="45"/>
      <c r="K45" s="46"/>
    </row>
    <row r="46" spans="1:25" ht="15" thickBot="1" x14ac:dyDescent="0.35">
      <c r="D46" s="21" t="s">
        <v>17</v>
      </c>
      <c r="E46" s="35">
        <f>B49/(I46^2*B47*B45)*I47</f>
        <v>2.1645813154244921E-3</v>
      </c>
      <c r="H46" s="40" t="s">
        <v>3</v>
      </c>
      <c r="I46" s="33" cm="1">
        <f t="array" ref="I46:J50">LINEST(D4:D15,C4:C15,1,1)</f>
        <v>20.843552400524789</v>
      </c>
      <c r="J46" s="33">
        <v>-18.506400802313046</v>
      </c>
      <c r="K46" s="42" t="s">
        <v>6</v>
      </c>
    </row>
    <row r="47" spans="1:25" ht="16.2" thickBot="1" x14ac:dyDescent="0.4">
      <c r="A47" s="29" t="s">
        <v>12</v>
      </c>
      <c r="B47" s="30">
        <v>1.3806490000000001E-23</v>
      </c>
      <c r="H47" s="41" t="s">
        <v>4</v>
      </c>
      <c r="I47" s="32">
        <v>2.412370672368875E-2</v>
      </c>
      <c r="J47" s="32">
        <v>1.3213005829169263E-2</v>
      </c>
      <c r="K47" s="43" t="s">
        <v>7</v>
      </c>
    </row>
    <row r="48" spans="1:25" ht="16.2" thickBot="1" x14ac:dyDescent="0.4">
      <c r="D48" s="20" t="s">
        <v>24</v>
      </c>
      <c r="E48" s="24">
        <f>EXP(J46)</f>
        <v>9.1785114001152565E-9</v>
      </c>
      <c r="H48" s="19" t="s">
        <v>5</v>
      </c>
      <c r="I48" s="34">
        <v>0.99998660512127902</v>
      </c>
      <c r="J48" s="34">
        <v>3.6121170231743658E-4</v>
      </c>
      <c r="K48" s="23" t="s">
        <v>8</v>
      </c>
    </row>
    <row r="49" spans="1:10" ht="16.2" thickBot="1" x14ac:dyDescent="0.4">
      <c r="A49" s="29" t="s">
        <v>26</v>
      </c>
      <c r="B49" s="36">
        <v>1.602E-19</v>
      </c>
      <c r="D49" s="21" t="s">
        <v>25</v>
      </c>
      <c r="E49" s="52">
        <f>EXP(J46)*J47</f>
        <v>1.2127572463281941E-10</v>
      </c>
      <c r="I49">
        <v>746543.97844308289</v>
      </c>
      <c r="J49">
        <v>10</v>
      </c>
    </row>
    <row r="50" spans="1:10" x14ac:dyDescent="0.3">
      <c r="I50">
        <v>9.7404499828392901E-2</v>
      </c>
      <c r="J50">
        <v>1.3047389389106044E-6</v>
      </c>
    </row>
  </sheetData>
  <mergeCells count="4">
    <mergeCell ref="V34:Y34"/>
    <mergeCell ref="H45:K45"/>
    <mergeCell ref="A1:D1"/>
    <mergeCell ref="AA1:AD1"/>
  </mergeCells>
  <phoneticPr fontId="6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22D1-1246-453B-B9E9-32813671580A}">
  <dimension ref="A1:AI56"/>
  <sheetViews>
    <sheetView tabSelected="1" zoomScale="10" zoomScaleNormal="10" workbookViewId="0">
      <selection activeCell="T35" sqref="T35:W38"/>
    </sheetView>
  </sheetViews>
  <sheetFormatPr defaultRowHeight="14.4" x14ac:dyDescent="0.3"/>
  <cols>
    <col min="1" max="1" width="18.6640625" bestFit="1" customWidth="1"/>
    <col min="2" max="2" width="15.33203125" bestFit="1" customWidth="1"/>
    <col min="3" max="3" width="16.109375" customWidth="1"/>
    <col min="4" max="4" width="8.5546875" bestFit="1" customWidth="1"/>
    <col min="5" max="5" width="13" bestFit="1" customWidth="1"/>
    <col min="6" max="6" width="18.88671875" bestFit="1" customWidth="1"/>
    <col min="7" max="7" width="20.88671875" customWidth="1"/>
    <col min="8" max="8" width="18.88671875" customWidth="1"/>
    <col min="9" max="9" width="20.88671875" customWidth="1"/>
    <col min="10" max="10" width="17" bestFit="1" customWidth="1"/>
    <col min="11" max="11" width="18.88671875" customWidth="1"/>
    <col min="12" max="12" width="9.77734375" bestFit="1" customWidth="1"/>
    <col min="13" max="13" width="10.77734375" bestFit="1" customWidth="1"/>
    <col min="19" max="19" width="17.33203125" bestFit="1" customWidth="1"/>
    <col min="20" max="20" width="18.6640625" bestFit="1" customWidth="1"/>
    <col min="21" max="21" width="15.33203125" bestFit="1" customWidth="1"/>
    <col min="22" max="22" width="16.109375" bestFit="1" customWidth="1"/>
    <col min="25" max="25" width="15" bestFit="1" customWidth="1"/>
    <col min="26" max="26" width="15.6640625" bestFit="1" customWidth="1"/>
    <col min="27" max="27" width="14.109375" bestFit="1" customWidth="1"/>
    <col min="28" max="28" width="12.88671875" bestFit="1" customWidth="1"/>
  </cols>
  <sheetData>
    <row r="1" spans="1:28" ht="19.2" thickTop="1" thickBot="1" x14ac:dyDescent="0.4">
      <c r="A1" s="4" t="s">
        <v>0</v>
      </c>
      <c r="B1" s="5"/>
      <c r="C1" s="5"/>
      <c r="D1" s="6"/>
      <c r="X1" s="4" t="s">
        <v>1</v>
      </c>
      <c r="Y1" s="5"/>
      <c r="Z1" s="5"/>
      <c r="AA1" s="6"/>
    </row>
    <row r="2" spans="1:28" ht="15" thickTop="1" x14ac:dyDescent="0.3"/>
    <row r="3" spans="1:28" ht="15.6" x14ac:dyDescent="0.35">
      <c r="A3" t="s">
        <v>35</v>
      </c>
      <c r="B3" t="s">
        <v>20</v>
      </c>
      <c r="C3" t="s">
        <v>34</v>
      </c>
      <c r="D3" t="s">
        <v>13</v>
      </c>
      <c r="E3" t="s">
        <v>18</v>
      </c>
      <c r="F3" t="s">
        <v>40</v>
      </c>
      <c r="G3" t="s">
        <v>39</v>
      </c>
      <c r="H3" t="s">
        <v>38</v>
      </c>
      <c r="I3" t="s">
        <v>37</v>
      </c>
      <c r="J3" t="s">
        <v>27</v>
      </c>
      <c r="K3" t="s">
        <v>36</v>
      </c>
      <c r="L3" t="s">
        <v>41</v>
      </c>
      <c r="M3" t="s">
        <v>45</v>
      </c>
      <c r="X3" t="s">
        <v>35</v>
      </c>
      <c r="Y3" t="s">
        <v>20</v>
      </c>
      <c r="Z3" t="s">
        <v>34</v>
      </c>
      <c r="AA3" t="s">
        <v>46</v>
      </c>
      <c r="AB3" t="s">
        <v>45</v>
      </c>
    </row>
    <row r="4" spans="1:28" x14ac:dyDescent="0.3">
      <c r="A4" s="2">
        <v>0.96130000000000004</v>
      </c>
      <c r="B4" s="11">
        <f>Tabela7101259[[#This Row],[ID /mA ± 1E-4 mA]]*0.001</f>
        <v>9.6130000000000011E-4</v>
      </c>
      <c r="C4" s="55">
        <v>0.74841999999999997</v>
      </c>
      <c r="D4" s="54">
        <f>LN(Tabela7101259[[#This Row],[ID /A ± 1E-7 A]])</f>
        <v>-6.9472240228925033</v>
      </c>
      <c r="E4" s="58">
        <f t="shared" ref="E4:E45" si="0">1/B4*0.0000001</f>
        <v>1.0402579839800268E-4</v>
      </c>
      <c r="F4" s="3">
        <f>U$36*Tabela7101259[[#This Row],[VD /V ± 1E-5 V]]+V$36</f>
        <v>-6.9706781531966726</v>
      </c>
      <c r="G4" s="3">
        <f>Tabela7101259[[#This Row],[ln(ID)]]-Tabela7101259[[#This Row],[Ajuste 1 de ln(ID)]]</f>
        <v>2.3454130304169318E-2</v>
      </c>
      <c r="H4" s="3">
        <f>I$49*Tabela7101259[[#This Row],[VD /V ± 1E-5 V]]+J$49</f>
        <v>-6.9461903568391321</v>
      </c>
      <c r="I4" s="3">
        <f>Tabela7101259[[#This Row],[ln(ID)]]-Tabela7101259[[#This Row],[Ajuste 2 de ln(ID)]]</f>
        <v>-1.033666053371185E-3</v>
      </c>
      <c r="J4" s="56">
        <f>E$51*(EXP(B$52*Tabela7101259[[#This Row],[VD /V ± 1E-5 V]]/(E$48*B$50*B$48))-1)</f>
        <v>9.6229417690630269E-4</v>
      </c>
      <c r="K4" s="38">
        <f>Tabela7101259[[#This Row],[ID /A ± 1E-7 A]]-Tabela7101259[[#This Row],[Ajuste de ID /A]]</f>
        <v>-9.9417690630257925E-7</v>
      </c>
      <c r="L4" s="51">
        <f>Tabela7101259[[#This Row],[VD /V ± 1E-5 V]]/Tabela7101259[[#This Row],[ID /A ± 1E-7 A]]</f>
        <v>778.54988037033172</v>
      </c>
      <c r="M4" s="2" t="e">
        <f>((Tabela7101259[[#This Row],[VD /V ± 1E-5 V]]-C3)/(Tabela7101259[[#This Row],[ID /A ± 1E-7 A]]-B3)+(Tabela7101259[[#This Row],[VD /V ± 1E-5 V]]-C5)/(Tabela7101259[[#This Row],[ID /A ± 1E-7 A]]-B5))/2</f>
        <v>#VALUE!</v>
      </c>
      <c r="X4" s="2">
        <v>-0.33589999999999998</v>
      </c>
      <c r="Y4" s="11">
        <f>Tabela710124813[[#This Row],[ID /mA ± 1E-4 mA]]*0.001</f>
        <v>-3.3589999999999998E-4</v>
      </c>
      <c r="Z4" s="2">
        <v>-10.0747</v>
      </c>
      <c r="AA4" s="11">
        <f>Tabela710124813[[#This Row],[VD /V ± 1E-5 V]]/Tabela710124813[[#This Row],[ID /A ± 1E-7 A]]</f>
        <v>29993.152724025011</v>
      </c>
      <c r="AB4" s="2" t="e">
        <f>((Tabela710124813[[#This Row],[VD /V ± 1E-5 V]]-Z3)/(Tabela710124813[[#This Row],[ID /A ± 1E-7 A]]-Y3)+(Tabela710124813[[#This Row],[VD /V ± 1E-5 V]]-Z5)/(Tabela710124813[[#This Row],[ID /A ± 1E-7 A]]-Y5))/2</f>
        <v>#VALUE!</v>
      </c>
    </row>
    <row r="5" spans="1:28" x14ac:dyDescent="0.3">
      <c r="A5" s="2">
        <v>0.94489999999999996</v>
      </c>
      <c r="B5" s="11">
        <f>Tabela7101259[[#This Row],[ID /mA ± 1E-4 mA]]*0.001</f>
        <v>9.4489999999999993E-4</v>
      </c>
      <c r="C5" s="55">
        <v>0.74787999999999999</v>
      </c>
      <c r="D5" s="54">
        <f>LN(Tabela7101259[[#This Row],[ID /A ± 1E-7 A]])</f>
        <v>-6.9644314561756939</v>
      </c>
      <c r="E5" s="58">
        <f t="shared" si="0"/>
        <v>1.0583130489998941E-4</v>
      </c>
      <c r="F5" s="3">
        <f>U$36*Tabela7101259[[#This Row],[VD /V ± 1E-5 V]]+V$36</f>
        <v>-6.9883734295128299</v>
      </c>
      <c r="G5" s="3">
        <f>Tabela7101259[[#This Row],[ln(ID)]]-Tabela7101259[[#This Row],[Ajuste 1 de ln(ID)]]</f>
        <v>2.3941973337135991E-2</v>
      </c>
      <c r="H5" s="3">
        <f>I$49*Tabela7101259[[#This Row],[VD /V ± 1E-5 V]]+J$49</f>
        <v>-6.9648374385661356</v>
      </c>
      <c r="I5" s="3">
        <f>Tabela7101259[[#This Row],[ln(ID)]]-Tabela7101259[[#This Row],[Ajuste 2 de ln(ID)]]</f>
        <v>4.0598239044165041E-4</v>
      </c>
      <c r="J5" s="56">
        <f>E$51*(EXP(B$52*Tabela7101259[[#This Row],[VD /V ± 1E-5 V]]/(E$48*B$50*B$48))-1)</f>
        <v>9.4451646509300193E-4</v>
      </c>
      <c r="K5" s="38">
        <f>Tabela7101259[[#This Row],[ID /A ± 1E-7 A]]-Tabela7101259[[#This Row],[Ajuste de ID /A]]</f>
        <v>3.8353490699799455E-7</v>
      </c>
      <c r="L5" s="51">
        <f>Tabela7101259[[#This Row],[VD /V ± 1E-5 V]]/Tabela7101259[[#This Row],[ID /A ± 1E-7 A]]</f>
        <v>791.49116308604096</v>
      </c>
      <c r="M5" s="2">
        <f>((Tabela7101259[[#This Row],[VD /V ± 1E-5 V]]-C4)/(Tabela7101259[[#This Row],[ID /A ± 1E-7 A]]-B4)+(Tabela7101259[[#This Row],[VD /V ± 1E-5 V]]-C6)/(Tabela7101259[[#This Row],[ID /A ± 1E-7 A]]-B6))/2</f>
        <v>32.691484809583557</v>
      </c>
      <c r="X5" s="2">
        <v>-0.32579999999999998</v>
      </c>
      <c r="Y5" s="11">
        <f>Tabela710124813[[#This Row],[ID /mA ± 1E-4 mA]]*0.001</f>
        <v>-3.258E-4</v>
      </c>
      <c r="Z5" s="2">
        <v>-10.073399999999999</v>
      </c>
      <c r="AA5" s="10">
        <f>Tabela710124813[[#This Row],[VD /V ± 1E-5 V]]/Tabela710124813[[#This Row],[ID /A ± 1E-7 A]]</f>
        <v>30918.968692449354</v>
      </c>
      <c r="AB5" s="2">
        <f>((Tabela710124813[[#This Row],[VD /V ± 1E-5 V]]-Z4)/(Tabela710124813[[#This Row],[ID /A ± 1E-7 A]]-Y4)+(Tabela710124813[[#This Row],[VD /V ± 1E-5 V]]-Z6)/(Tabela710124813[[#This Row],[ID /A ± 1E-7 A]]-Y6))/2</f>
        <v>110.13108353087014</v>
      </c>
    </row>
    <row r="6" spans="1:28" x14ac:dyDescent="0.3">
      <c r="A6" s="2">
        <v>0.9335</v>
      </c>
      <c r="B6" s="11">
        <f>Tabela7101259[[#This Row],[ID /mA ± 1E-4 mA]]*0.001</f>
        <v>9.3349999999999998E-4</v>
      </c>
      <c r="C6" s="55">
        <v>0.74751000000000001</v>
      </c>
      <c r="D6" s="54">
        <f>LN(Tabela7101259[[#This Row],[ID /A ± 1E-7 A]])</f>
        <v>-6.9765695949824966</v>
      </c>
      <c r="E6" s="58">
        <f t="shared" si="0"/>
        <v>1.0712372790573113E-4</v>
      </c>
      <c r="F6" s="3">
        <f>U$36*Tabela7101259[[#This Row],[VD /V ± 1E-5 V]]+V$36</f>
        <v>-7.0004979706924182</v>
      </c>
      <c r="G6" s="3">
        <f>Tabela7101259[[#This Row],[ln(ID)]]-Tabela7101259[[#This Row],[Ajuste 1 de ln(ID)]]</f>
        <v>2.3928375709921568E-2</v>
      </c>
      <c r="H6" s="3">
        <f>I$49*Tabela7101259[[#This Row],[VD /V ± 1E-5 V]]+J$49</f>
        <v>-6.9776141427124152</v>
      </c>
      <c r="I6" s="3">
        <f>Tabela7101259[[#This Row],[ln(ID)]]-Tabela7101259[[#This Row],[Ajuste 2 de ln(ID)]]</f>
        <v>1.0445477299185768E-3</v>
      </c>
      <c r="J6" s="56">
        <f>E$51*(EXP(B$52*Tabela7101259[[#This Row],[VD /V ± 1E-5 V]]/(E$48*B$50*B$48))-1)</f>
        <v>9.325254237726807E-4</v>
      </c>
      <c r="K6" s="38">
        <f>Tabela7101259[[#This Row],[ID /A ± 1E-7 A]]-Tabela7101259[[#This Row],[Ajuste de ID /A]]</f>
        <v>9.7457622731927235E-7</v>
      </c>
      <c r="L6" s="51">
        <f>Tabela7101259[[#This Row],[VD /V ± 1E-5 V]]/Tabela7101259[[#This Row],[ID /A ± 1E-7 A]]</f>
        <v>800.76057846813069</v>
      </c>
      <c r="M6" s="2">
        <f>((Tabela7101259[[#This Row],[VD /V ± 1E-5 V]]-C5)/(Tabela7101259[[#This Row],[ID /A ± 1E-7 A]]-B5)+(Tabela7101259[[#This Row],[VD /V ± 1E-5 V]]-C7)/(Tabela7101259[[#This Row],[ID /A ± 1E-7 A]]-B7))/2</f>
        <v>30.780308981408176</v>
      </c>
      <c r="X6" s="2">
        <v>-0.31159999999999999</v>
      </c>
      <c r="Y6" s="11">
        <f>Tabela710124813[[#This Row],[ID /mA ± 1E-4 mA]]*0.001</f>
        <v>-3.1159999999999998E-4</v>
      </c>
      <c r="Z6" s="2">
        <v>-10.072100000000001</v>
      </c>
      <c r="AA6" s="10">
        <f>Tabela710124813[[#This Row],[VD /V ± 1E-5 V]]/Tabela710124813[[#This Row],[ID /A ± 1E-7 A]]</f>
        <v>32323.812580231068</v>
      </c>
      <c r="AB6" s="2">
        <f>((Tabela710124813[[#This Row],[VD /V ± 1E-5 V]]-Z5)/(Tabela710124813[[#This Row],[ID /A ± 1E-7 A]]-Y5)+(Tabela710124813[[#This Row],[VD /V ± 1E-5 V]]-Z7)/(Tabela710124813[[#This Row],[ID /A ± 1E-7 A]]-Y7))/2</f>
        <v>123.09423551614893</v>
      </c>
    </row>
    <row r="7" spans="1:28" x14ac:dyDescent="0.3">
      <c r="A7" s="2">
        <v>0.92010000000000003</v>
      </c>
      <c r="B7" s="11">
        <f>Tabela7101259[[#This Row],[ID /mA ± 1E-4 mA]]*0.001</f>
        <v>9.2010000000000008E-4</v>
      </c>
      <c r="C7" s="55">
        <v>0.74712000000000001</v>
      </c>
      <c r="D7" s="54">
        <f>LN(Tabela7101259[[#This Row],[ID /A ± 1E-7 A]])</f>
        <v>-6.9910281981759583</v>
      </c>
      <c r="E7" s="58">
        <f t="shared" si="0"/>
        <v>1.0868383871318333E-4</v>
      </c>
      <c r="F7" s="3">
        <f>U$36*Tabela7101259[[#This Row],[VD /V ± 1E-5 V]]+V$36</f>
        <v>-7.0132778924763102</v>
      </c>
      <c r="G7" s="3">
        <f>Tabela7101259[[#This Row],[ln(ID)]]-Tabela7101259[[#This Row],[Ajuste 1 de ln(ID)]]</f>
        <v>2.2249694300351841E-2</v>
      </c>
      <c r="H7" s="3">
        <f>I$49*Tabela7101259[[#This Row],[VD /V ± 1E-5 V]]+J$49</f>
        <v>-6.9910814795152483</v>
      </c>
      <c r="I7" s="3">
        <f>Tabela7101259[[#This Row],[ln(ID)]]-Tabela7101259[[#This Row],[Ajuste 2 de ln(ID)]]</f>
        <v>5.3281339289945606E-5</v>
      </c>
      <c r="J7" s="56">
        <f>E$51*(EXP(B$52*Tabela7101259[[#This Row],[VD /V ± 1E-5 V]]/(E$48*B$50*B$48))-1)</f>
        <v>9.20050977139984E-4</v>
      </c>
      <c r="K7" s="38">
        <f>Tabela7101259[[#This Row],[ID /A ± 1E-7 A]]-Tabela7101259[[#This Row],[Ajuste de ID /A]]</f>
        <v>4.9022860016084517E-8</v>
      </c>
      <c r="L7" s="51">
        <f>Tabela7101259[[#This Row],[VD /V ± 1E-5 V]]/Tabela7101259[[#This Row],[ID /A ± 1E-7 A]]</f>
        <v>811.99869579393533</v>
      </c>
      <c r="M7" s="2">
        <f>((Tabela7101259[[#This Row],[VD /V ± 1E-5 V]]-C6)/(Tabela7101259[[#This Row],[ID /A ± 1E-7 A]]-B6)+(Tabela7101259[[#This Row],[VD /V ± 1E-5 V]]-C8)/(Tabela7101259[[#This Row],[ID /A ± 1E-7 A]]-B8))/2</f>
        <v>28.368028279657253</v>
      </c>
      <c r="X7" s="2">
        <v>-0.3019</v>
      </c>
      <c r="Y7" s="11">
        <f>Tabela710124813[[#This Row],[ID /mA ± 1E-4 mA]]*0.001</f>
        <v>-3.0190000000000002E-4</v>
      </c>
      <c r="Z7" s="2">
        <v>-10.070600000000001</v>
      </c>
      <c r="AA7" s="10">
        <f>Tabela710124813[[#This Row],[VD /V ± 1E-5 V]]/Tabela710124813[[#This Row],[ID /A ± 1E-7 A]]</f>
        <v>33357.403113613778</v>
      </c>
      <c r="AB7" s="2">
        <f>((Tabela710124813[[#This Row],[VD /V ± 1E-5 V]]-Z6)/(Tabela710124813[[#This Row],[ID /A ± 1E-7 A]]-Y6)+(Tabela710124813[[#This Row],[VD /V ± 1E-5 V]]-Z8)/(Tabela710124813[[#This Row],[ID /A ± 1E-7 A]]-Y8))/2</f>
        <v>135.57201481337202</v>
      </c>
    </row>
    <row r="8" spans="1:28" x14ac:dyDescent="0.3">
      <c r="A8" s="2">
        <v>0.91249999999999998</v>
      </c>
      <c r="B8" s="11">
        <f>Tabela7101259[[#This Row],[ID /mA ± 1E-4 mA]]*0.001</f>
        <v>9.1250000000000001E-4</v>
      </c>
      <c r="C8" s="55">
        <v>0.74690999999999996</v>
      </c>
      <c r="D8" s="54">
        <f>LN(Tabela7101259[[#This Row],[ID /A ± 1E-7 A]])</f>
        <v>-6.999322472507628</v>
      </c>
      <c r="E8" s="58">
        <f t="shared" si="0"/>
        <v>1.095890410958904E-4</v>
      </c>
      <c r="F8" s="3">
        <f>U$36*Tabela7101259[[#This Row],[VD /V ± 1E-5 V]]+V$36</f>
        <v>-7.020159388821483</v>
      </c>
      <c r="G8" s="3">
        <f>Tabela7101259[[#This Row],[ln(ID)]]-Tabela7101259[[#This Row],[Ajuste 1 de ln(ID)]]</f>
        <v>2.0836916313855092E-2</v>
      </c>
      <c r="H8" s="3">
        <f>I$49*Tabela7101259[[#This Row],[VD /V ± 1E-5 V]]+J$49</f>
        <v>-6.9983331224090861</v>
      </c>
      <c r="I8" s="3">
        <f>Tabela7101259[[#This Row],[ln(ID)]]-Tabela7101259[[#This Row],[Ajuste 2 de ln(ID)]]</f>
        <v>-9.8935009854184131E-4</v>
      </c>
      <c r="J8" s="56">
        <f>E$51*(EXP(B$52*Tabela7101259[[#This Row],[VD /V ± 1E-5 V]]/(E$48*B$50*B$48))-1)</f>
        <v>9.1340322869019549E-4</v>
      </c>
      <c r="K8" s="38">
        <f>Tabela7101259[[#This Row],[ID /A ± 1E-7 A]]-Tabela7101259[[#This Row],[Ajuste de ID /A]]</f>
        <v>-9.0322869019548481E-7</v>
      </c>
      <c r="L8" s="51">
        <f>Tabela7101259[[#This Row],[VD /V ± 1E-5 V]]/Tabela7101259[[#This Row],[ID /A ± 1E-7 A]]</f>
        <v>818.53150684931506</v>
      </c>
      <c r="M8" s="2">
        <f>((Tabela7101259[[#This Row],[VD /V ± 1E-5 V]]-C7)/(Tabela7101259[[#This Row],[ID /A ± 1E-7 A]]-B7)+(Tabela7101259[[#This Row],[VD /V ± 1E-5 V]]-C9)/(Tabela7101259[[#This Row],[ID /A ± 1E-7 A]]-B9))/2</f>
        <v>31.015789473684251</v>
      </c>
      <c r="X8" s="2">
        <v>-0.29160000000000003</v>
      </c>
      <c r="Y8" s="11">
        <f>Tabela710124813[[#This Row],[ID /mA ± 1E-4 mA]]*0.001</f>
        <v>-2.9160000000000004E-4</v>
      </c>
      <c r="Z8" s="2">
        <v>-10.0694</v>
      </c>
      <c r="AA8" s="10">
        <f>Tabela710124813[[#This Row],[VD /V ± 1E-5 V]]/Tabela710124813[[#This Row],[ID /A ± 1E-7 A]]</f>
        <v>34531.550068587101</v>
      </c>
      <c r="AB8" s="2">
        <f>((Tabela710124813[[#This Row],[VD /V ± 1E-5 V]]-Z7)/(Tabela710124813[[#This Row],[ID /A ± 1E-7 A]]-Y7)+(Tabela710124813[[#This Row],[VD /V ± 1E-5 V]]-Z9)/(Tabela710124813[[#This Row],[ID /A ± 1E-7 A]]-Y9))/2</f>
        <v>142.58977658211026</v>
      </c>
    </row>
    <row r="9" spans="1:28" x14ac:dyDescent="0.3">
      <c r="A9" s="2">
        <v>0.9</v>
      </c>
      <c r="B9" s="11">
        <f>Tabela7101259[[#This Row],[ID /mA ± 1E-4 mA]]*0.001</f>
        <v>9.0000000000000008E-4</v>
      </c>
      <c r="C9" s="55">
        <v>0.74648000000000003</v>
      </c>
      <c r="D9" s="54">
        <f>LN(Tabela7101259[[#This Row],[ID /A ± 1E-7 A]])</f>
        <v>-7.0131157946399636</v>
      </c>
      <c r="E9" s="58">
        <f t="shared" si="0"/>
        <v>1.111111111111111E-4</v>
      </c>
      <c r="F9" s="3">
        <f>U$36*Tabela7101259[[#This Row],[VD /V ± 1E-5 V]]+V$36</f>
        <v>-7.0342500718139789</v>
      </c>
      <c r="G9" s="3">
        <f>Tabela7101259[[#This Row],[ln(ID)]]-Tabela7101259[[#This Row],[Ajuste 1 de ln(ID)]]</f>
        <v>2.1134277174015281E-2</v>
      </c>
      <c r="H9" s="3">
        <f>I$49*Tabela7101259[[#This Row],[VD /V ± 1E-5 V]]+J$49</f>
        <v>-7.0131817245250296</v>
      </c>
      <c r="I9" s="3">
        <f>Tabela7101259[[#This Row],[ln(ID)]]-Tabela7101259[[#This Row],[Ajuste 2 de ln(ID)]]</f>
        <v>6.5929885066040583E-5</v>
      </c>
      <c r="J9" s="56">
        <f>E$51*(EXP(B$52*Tabela7101259[[#This Row],[VD /V ± 1E-5 V]]/(E$48*B$50*B$48))-1)</f>
        <v>8.9994066505368921E-4</v>
      </c>
      <c r="K9" s="38">
        <f>Tabela7101259[[#This Row],[ID /A ± 1E-7 A]]-Tabela7101259[[#This Row],[Ajuste de ID /A]]</f>
        <v>5.9334946310874576E-8</v>
      </c>
      <c r="L9" s="51">
        <f>Tabela7101259[[#This Row],[VD /V ± 1E-5 V]]/Tabela7101259[[#This Row],[ID /A ± 1E-7 A]]</f>
        <v>829.42222222222222</v>
      </c>
      <c r="M9" s="2">
        <f>((Tabela7101259[[#This Row],[VD /V ± 1E-5 V]]-C8)/(Tabela7101259[[#This Row],[ID /A ± 1E-7 A]]-B8)+(Tabela7101259[[#This Row],[VD /V ± 1E-5 V]]-C10)/(Tabela7101259[[#This Row],[ID /A ± 1E-7 A]]-B10))/2</f>
        <v>34.164285714285043</v>
      </c>
      <c r="X9" s="2">
        <v>-0.2833</v>
      </c>
      <c r="Y9" s="11">
        <f>Tabela710124813[[#This Row],[ID /mA ± 1E-4 mA]]*0.001</f>
        <v>-2.833E-4</v>
      </c>
      <c r="Z9" s="2">
        <v>-10.068</v>
      </c>
      <c r="AA9" s="10">
        <f>Tabela710124813[[#This Row],[VD /V ± 1E-5 V]]/Tabela710124813[[#This Row],[ID /A ± 1E-7 A]]</f>
        <v>35538.298623367453</v>
      </c>
      <c r="AB9" s="2">
        <f>((Tabela710124813[[#This Row],[VD /V ± 1E-5 V]]-Z8)/(Tabela710124813[[#This Row],[ID /A ± 1E-7 A]]-Y8)+(Tabela710124813[[#This Row],[VD /V ± 1E-5 V]]-Z10)/(Tabela710124813[[#This Row],[ID /A ± 1E-7 A]]-Y10))/2</f>
        <v>125.24644030668375</v>
      </c>
    </row>
    <row r="10" spans="1:28" x14ac:dyDescent="0.3">
      <c r="A10" s="2">
        <v>0.88880000000000003</v>
      </c>
      <c r="B10" s="11">
        <f>Tabela7101259[[#This Row],[ID /mA ± 1E-4 mA]]*0.001</f>
        <v>8.8880000000000003E-4</v>
      </c>
      <c r="C10" s="55">
        <v>0.74609999999999999</v>
      </c>
      <c r="D10" s="54">
        <f>LN(Tabela7101259[[#This Row],[ID /A ± 1E-7 A]])</f>
        <v>-7.0256383196388539</v>
      </c>
      <c r="E10" s="58">
        <f t="shared" si="0"/>
        <v>1.1251125112511251E-4</v>
      </c>
      <c r="F10" s="3">
        <f>U$36*Tabela7101259[[#This Row],[VD /V ± 1E-5 V]]+V$36</f>
        <v>-7.0467023032957208</v>
      </c>
      <c r="G10" s="3">
        <f>Tabela7101259[[#This Row],[ln(ID)]]-Tabela7101259[[#This Row],[Ajuste 1 de ln(ID)]]</f>
        <v>2.1063983656866903E-2</v>
      </c>
      <c r="H10" s="3">
        <f>I$49*Tabela7101259[[#This Row],[VD /V ± 1E-5 V]]+J$49</f>
        <v>-7.0263037449995913</v>
      </c>
      <c r="I10" s="3">
        <f>Tabela7101259[[#This Row],[ln(ID)]]-Tabela7101259[[#This Row],[Ajuste 2 de ln(ID)]]</f>
        <v>6.6542536073743719E-4</v>
      </c>
      <c r="J10" s="56">
        <f>E$51*(EXP(B$52*Tabela7101259[[#This Row],[VD /V ± 1E-5 V]]/(E$48*B$50*B$48))-1)</f>
        <v>8.8820876666627238E-4</v>
      </c>
      <c r="K10" s="38">
        <f>Tabela7101259[[#This Row],[ID /A ± 1E-7 A]]-Tabela7101259[[#This Row],[Ajuste de ID /A]]</f>
        <v>5.9123333372764625E-7</v>
      </c>
      <c r="L10" s="51">
        <f>Tabela7101259[[#This Row],[VD /V ± 1E-5 V]]/Tabela7101259[[#This Row],[ID /A ± 1E-7 A]]</f>
        <v>839.44644464446435</v>
      </c>
      <c r="M10" s="2">
        <f>((Tabela7101259[[#This Row],[VD /V ± 1E-5 V]]-C9)/(Tabela7101259[[#This Row],[ID /A ± 1E-7 A]]-B9)+(Tabela7101259[[#This Row],[VD /V ± 1E-5 V]]-C11)/(Tabela7101259[[#This Row],[ID /A ± 1E-7 A]]-B11))/2</f>
        <v>33.207940536622097</v>
      </c>
      <c r="X10" s="2">
        <v>-0.27229999999999999</v>
      </c>
      <c r="Y10" s="11">
        <f>Tabela710124813[[#This Row],[ID /mA ± 1E-4 mA]]*0.001</f>
        <v>-2.7230000000000001E-4</v>
      </c>
      <c r="Z10" s="2">
        <v>-10.0671</v>
      </c>
      <c r="AA10" s="10">
        <f>Tabela710124813[[#This Row],[VD /V ± 1E-5 V]]/Tabela710124813[[#This Row],[ID /A ± 1E-7 A]]</f>
        <v>36970.620639001099</v>
      </c>
      <c r="AB10" s="2">
        <f>((Tabela710124813[[#This Row],[VD /V ± 1E-5 V]]-Z9)/(Tabela710124813[[#This Row],[ID /A ± 1E-7 A]]-Y9)+(Tabela710124813[[#This Row],[VD /V ± 1E-5 V]]-Z11)/(Tabela710124813[[#This Row],[ID /A ± 1E-7 A]]-Y11))/2</f>
        <v>101.88470066517633</v>
      </c>
    </row>
    <row r="11" spans="1:28" x14ac:dyDescent="0.3">
      <c r="A11" s="2">
        <v>0.86909999999999998</v>
      </c>
      <c r="B11" s="11">
        <f>Tabela7101259[[#This Row],[ID /mA ± 1E-4 mA]]*0.001</f>
        <v>8.6910000000000004E-4</v>
      </c>
      <c r="C11" s="55">
        <v>0.74546000000000001</v>
      </c>
      <c r="D11" s="54">
        <f>LN(Tabela7101259[[#This Row],[ID /A ± 1E-7 A]])</f>
        <v>-7.0480523645208599</v>
      </c>
      <c r="E11" s="58">
        <f t="shared" si="0"/>
        <v>1.1506155793349441E-4</v>
      </c>
      <c r="F11" s="3">
        <f>U$36*Tabela7101259[[#This Row],[VD /V ± 1E-5 V]]+V$36</f>
        <v>-7.0676744826333859</v>
      </c>
      <c r="G11" s="3">
        <f>Tabela7101259[[#This Row],[ln(ID)]]-Tabela7101259[[#This Row],[Ajuste 1 de ln(ID)]]</f>
        <v>1.962211811252601E-2</v>
      </c>
      <c r="H11" s="3">
        <f>I$49*Tabela7101259[[#This Row],[VD /V ± 1E-5 V]]+J$49</f>
        <v>-7.0484039900093691</v>
      </c>
      <c r="I11" s="3">
        <f>Tabela7101259[[#This Row],[ln(ID)]]-Tabela7101259[[#This Row],[Ajuste 2 de ln(ID)]]</f>
        <v>3.5162548850919961E-4</v>
      </c>
      <c r="J11" s="56">
        <f>E$51*(EXP(B$52*Tabela7101259[[#This Row],[VD /V ± 1E-5 V]]/(E$48*B$50*B$48))-1)</f>
        <v>8.6879445600386335E-4</v>
      </c>
      <c r="K11" s="38">
        <f>Tabela7101259[[#This Row],[ID /A ± 1E-7 A]]-Tabela7101259[[#This Row],[Ajuste de ID /A]]</f>
        <v>3.0554399613668889E-7</v>
      </c>
      <c r="L11" s="51">
        <f>Tabela7101259[[#This Row],[VD /V ± 1E-5 V]]/Tabela7101259[[#This Row],[ID /A ± 1E-7 A]]</f>
        <v>857.73788977102743</v>
      </c>
      <c r="M11" s="2">
        <f>((Tabela7101259[[#This Row],[VD /V ± 1E-5 V]]-C10)/(Tabela7101259[[#This Row],[ID /A ± 1E-7 A]]-B10)+(Tabela7101259[[#This Row],[VD /V ± 1E-5 V]]-C12)/(Tabela7101259[[#This Row],[ID /A ± 1E-7 A]]-B12))/2</f>
        <v>32.389488155669369</v>
      </c>
      <c r="X11" s="2">
        <v>-0.26</v>
      </c>
      <c r="Y11" s="11">
        <f>Tabela710124813[[#This Row],[ID /mA ± 1E-4 mA]]*0.001</f>
        <v>-2.6000000000000003E-4</v>
      </c>
      <c r="Z11" s="2">
        <v>-10.0656</v>
      </c>
      <c r="AA11" s="10">
        <f>Tabela710124813[[#This Row],[VD /V ± 1E-5 V]]/Tabela710124813[[#This Row],[ID /A ± 1E-7 A]]</f>
        <v>38713.846153846149</v>
      </c>
      <c r="AB11" s="2">
        <f>((Tabela710124813[[#This Row],[VD /V ± 1E-5 V]]-Z10)/(Tabela710124813[[#This Row],[ID /A ± 1E-7 A]]-Y10)+(Tabela710124813[[#This Row],[VD /V ± 1E-5 V]]-Z12)/(Tabela710124813[[#This Row],[ID /A ± 1E-7 A]]-Y12))/2</f>
        <v>122.99111363206195</v>
      </c>
    </row>
    <row r="12" spans="1:28" x14ac:dyDescent="0.3">
      <c r="A12" s="2">
        <v>0.84989999999999999</v>
      </c>
      <c r="B12" s="11">
        <f>Tabela7101259[[#This Row],[ID /mA ± 1E-4 mA]]*0.001</f>
        <v>8.499E-4</v>
      </c>
      <c r="C12" s="55">
        <v>0.74483999999999995</v>
      </c>
      <c r="D12" s="54">
        <f>LN(Tabela7101259[[#This Row],[ID /A ± 1E-7 A]])</f>
        <v>-7.0703918624596938</v>
      </c>
      <c r="E12" s="58">
        <f t="shared" si="0"/>
        <v>1.1766090128250382E-4</v>
      </c>
      <c r="F12" s="3">
        <f>U$36*Tabela7101259[[#This Row],[VD /V ± 1E-5 V]]+V$36</f>
        <v>-7.0879912813667545</v>
      </c>
      <c r="G12" s="3">
        <f>Tabela7101259[[#This Row],[ln(ID)]]-Tabela7101259[[#This Row],[Ajuste 1 de ln(ID)]]</f>
        <v>1.7599418907060738E-2</v>
      </c>
      <c r="H12" s="3">
        <f>I$49*Tabela7101259[[#This Row],[VD /V ± 1E-5 V]]+J$49</f>
        <v>-7.0698136023626006</v>
      </c>
      <c r="I12" s="3">
        <f>Tabela7101259[[#This Row],[ln(ID)]]-Tabela7101259[[#This Row],[Ajuste 2 de ln(ID)]]</f>
        <v>-5.7826009709316395E-4</v>
      </c>
      <c r="J12" s="56">
        <f>E$51*(EXP(B$52*Tabela7101259[[#This Row],[VD /V ± 1E-5 V]]/(E$48*B$50*B$48))-1)</f>
        <v>8.5039160537496254E-4</v>
      </c>
      <c r="K12" s="38">
        <f>Tabela7101259[[#This Row],[ID /A ± 1E-7 A]]-Tabela7101259[[#This Row],[Ajuste de ID /A]]</f>
        <v>-4.9160537496254018E-7</v>
      </c>
      <c r="L12" s="51">
        <f>Tabela7101259[[#This Row],[VD /V ± 1E-5 V]]/Tabela7101259[[#This Row],[ID /A ± 1E-7 A]]</f>
        <v>876.38545711260144</v>
      </c>
      <c r="M12" s="2">
        <f>((Tabela7101259[[#This Row],[VD /V ± 1E-5 V]]-C11)/(Tabela7101259[[#This Row],[ID /A ± 1E-7 A]]-B11)+(Tabela7101259[[#This Row],[VD /V ± 1E-5 V]]-C13)/(Tabela7101259[[#This Row],[ID /A ± 1E-7 A]]-B13))/2</f>
        <v>33.333333333333599</v>
      </c>
      <c r="X12" s="2">
        <v>-0.24709999999999999</v>
      </c>
      <c r="Y12" s="11">
        <f>Tabela710124813[[#This Row],[ID /mA ± 1E-4 mA]]*0.001</f>
        <v>-2.4709999999999999E-4</v>
      </c>
      <c r="Z12" s="2">
        <v>-10.064</v>
      </c>
      <c r="AA12" s="10">
        <f>Tabela710124813[[#This Row],[VD /V ± 1E-5 V]]/Tabela710124813[[#This Row],[ID /A ± 1E-7 A]]</f>
        <v>40728.450020234726</v>
      </c>
      <c r="AB12" s="2">
        <f>((Tabela710124813[[#This Row],[VD /V ± 1E-5 V]]-Z11)/(Tabela710124813[[#This Row],[ID /A ± 1E-7 A]]-Y11)+(Tabela710124813[[#This Row],[VD /V ± 1E-5 V]]-Z13)/(Tabela710124813[[#This Row],[ID /A ± 1E-7 A]]-Y13))/2</f>
        <v>122.70914549447167</v>
      </c>
    </row>
    <row r="13" spans="1:28" x14ac:dyDescent="0.3">
      <c r="A13" s="2">
        <v>0.82750000000000001</v>
      </c>
      <c r="B13" s="11">
        <f>Tabela7101259[[#This Row],[ID /mA ± 1E-4 mA]]*0.001</f>
        <v>8.275E-4</v>
      </c>
      <c r="C13" s="55">
        <v>0.74407000000000001</v>
      </c>
      <c r="D13" s="54">
        <f>LN(Tabela7101259[[#This Row],[ID /A ± 1E-7 A]])</f>
        <v>-7.0971014507130565</v>
      </c>
      <c r="E13" s="58">
        <f t="shared" si="0"/>
        <v>1.2084592145015106E-4</v>
      </c>
      <c r="F13" s="3">
        <f>U$36*Tabela7101259[[#This Row],[VD /V ± 1E-5 V]]+V$36</f>
        <v>-7.1132234346323848</v>
      </c>
      <c r="G13" s="3">
        <f>Tabela7101259[[#This Row],[ln(ID)]]-Tabela7101259[[#This Row],[Ajuste 1 de ln(ID)]]</f>
        <v>1.6121983919328287E-2</v>
      </c>
      <c r="H13" s="3">
        <f>I$49*Tabela7101259[[#This Row],[VD /V ± 1E-5 V]]+J$49</f>
        <v>-7.0964029596399918</v>
      </c>
      <c r="I13" s="3">
        <f>Tabela7101259[[#This Row],[ln(ID)]]-Tabela7101259[[#This Row],[Ajuste 2 de ln(ID)]]</f>
        <v>-6.9849107306474423E-4</v>
      </c>
      <c r="J13" s="56">
        <f>E$51*(EXP(B$52*Tabela7101259[[#This Row],[VD /V ± 1E-5 V]]/(E$48*B$50*B$48))-1)</f>
        <v>8.2807820326861971E-4</v>
      </c>
      <c r="K13" s="38">
        <f>Tabela7101259[[#This Row],[ID /A ± 1E-7 A]]-Tabela7101259[[#This Row],[Ajuste de ID /A]]</f>
        <v>-5.7820326861970309E-7</v>
      </c>
      <c r="L13" s="51">
        <f>Tabela7101259[[#This Row],[VD /V ± 1E-5 V]]/Tabela7101259[[#This Row],[ID /A ± 1E-7 A]]</f>
        <v>899.17824773413895</v>
      </c>
      <c r="M13" s="2">
        <f>((Tabela7101259[[#This Row],[VD /V ± 1E-5 V]]-C12)/(Tabela7101259[[#This Row],[ID /A ± 1E-7 A]]-B12)+(Tabela7101259[[#This Row],[VD /V ± 1E-5 V]]-C14)/(Tabela7101259[[#This Row],[ID /A ± 1E-7 A]]-B14))/2</f>
        <v>36.664244186046858</v>
      </c>
      <c r="X13" s="2">
        <v>-0.2298</v>
      </c>
      <c r="Y13" s="11">
        <f>Tabela710124813[[#This Row],[ID /mA ± 1E-4 mA]]*0.001</f>
        <v>-2.298E-4</v>
      </c>
      <c r="Z13" s="2">
        <v>-10.0619</v>
      </c>
      <c r="AA13" s="10">
        <f>Tabela710124813[[#This Row],[VD /V ± 1E-5 V]]/Tabela710124813[[#This Row],[ID /A ± 1E-7 A]]</f>
        <v>43785.465622280244</v>
      </c>
      <c r="AB13" s="2">
        <f>((Tabela710124813[[#This Row],[VD /V ± 1E-5 V]]-Z12)/(Tabela710124813[[#This Row],[ID /A ± 1E-7 A]]-Y12)+(Tabela710124813[[#This Row],[VD /V ± 1E-5 V]]-Z14)/(Tabela710124813[[#This Row],[ID /A ± 1E-7 A]]-Y14))/2</f>
        <v>117.10389802877127</v>
      </c>
    </row>
    <row r="14" spans="1:28" x14ac:dyDescent="0.3">
      <c r="A14" s="2">
        <v>0.81030000000000002</v>
      </c>
      <c r="B14" s="11">
        <f>Tabela7101259[[#This Row],[ID /mA ± 1E-4 mA]]*0.001</f>
        <v>8.1030000000000002E-4</v>
      </c>
      <c r="C14" s="55">
        <v>0.74339999999999995</v>
      </c>
      <c r="D14" s="54">
        <f>LN(Tabela7101259[[#This Row],[ID /A ± 1E-7 A]])</f>
        <v>-7.1181060084975947</v>
      </c>
      <c r="E14" s="58">
        <f t="shared" si="0"/>
        <v>1.2341108231519191E-4</v>
      </c>
      <c r="F14" s="3">
        <f>U$36*Tabela7101259[[#This Row],[VD /V ± 1E-5 V]]+V$36</f>
        <v>-7.1351786848765073</v>
      </c>
      <c r="G14" s="3">
        <f>Tabela7101259[[#This Row],[ln(ID)]]-Tabela7101259[[#This Row],[Ajuste 1 de ln(ID)]]</f>
        <v>1.7072676378912632E-2</v>
      </c>
      <c r="H14" s="3">
        <f>I$49*Tabela7101259[[#This Row],[VD /V ± 1E-5 V]]+J$49</f>
        <v>-7.1195391536346087</v>
      </c>
      <c r="I14" s="3">
        <f>Tabela7101259[[#This Row],[ln(ID)]]-Tabela7101259[[#This Row],[Ajuste 2 de ln(ID)]]</f>
        <v>1.4331451370139803E-3</v>
      </c>
      <c r="J14" s="56">
        <f>E$51*(EXP(B$52*Tabela7101259[[#This Row],[VD /V ± 1E-5 V]]/(E$48*B$50*B$48))-1)</f>
        <v>8.0913955423195575E-4</v>
      </c>
      <c r="K14" s="38">
        <f>Tabela7101259[[#This Row],[ID /A ± 1E-7 A]]-Tabela7101259[[#This Row],[Ajuste de ID /A]]</f>
        <v>1.1604457680442718E-6</v>
      </c>
      <c r="L14" s="51">
        <f>Tabela7101259[[#This Row],[VD /V ± 1E-5 V]]/Tabela7101259[[#This Row],[ID /A ± 1E-7 A]]</f>
        <v>917.4379859311365</v>
      </c>
      <c r="M14" s="2">
        <f>((Tabela7101259[[#This Row],[VD /V ± 1E-5 V]]-C13)/(Tabela7101259[[#This Row],[ID /A ± 1E-7 A]]-B13)+(Tabela7101259[[#This Row],[VD /V ± 1E-5 V]]-C15)/(Tabela7101259[[#This Row],[ID /A ± 1E-7 A]]-B15))/2</f>
        <v>35.039658093332058</v>
      </c>
      <c r="X14" s="2">
        <v>-0.21029999999999999</v>
      </c>
      <c r="Y14" s="11">
        <f>Tabela710124813[[#This Row],[ID /mA ± 1E-4 mA]]*0.001</f>
        <v>-2.1029999999999999E-4</v>
      </c>
      <c r="Z14" s="2">
        <v>-10.059699999999999</v>
      </c>
      <c r="AA14" s="10">
        <f>Tabela710124813[[#This Row],[VD /V ± 1E-5 V]]/Tabela710124813[[#This Row],[ID /A ± 1E-7 A]]</f>
        <v>47834.997622444127</v>
      </c>
      <c r="AB14" s="2">
        <f>((Tabela710124813[[#This Row],[VD /V ± 1E-5 V]]-Z13)/(Tabela710124813[[#This Row],[ID /A ± 1E-7 A]]-Y13)+(Tabela710124813[[#This Row],[VD /V ± 1E-5 V]]-Z15)/(Tabela710124813[[#This Row],[ID /A ± 1E-7 A]]-Y15))/2</f>
        <v>122.63542197313893</v>
      </c>
    </row>
    <row r="15" spans="1:28" x14ac:dyDescent="0.3">
      <c r="A15" s="2">
        <v>0.79520000000000002</v>
      </c>
      <c r="B15" s="11">
        <f>Tabela7101259[[#This Row],[ID /mA ± 1E-4 mA]]*0.001</f>
        <v>7.9520000000000003E-4</v>
      </c>
      <c r="C15" s="55">
        <v>0.74292999999999998</v>
      </c>
      <c r="D15" s="54">
        <f>LN(Tabela7101259[[#This Row],[ID /A ± 1E-7 A]])</f>
        <v>-7.1369169026219099</v>
      </c>
      <c r="E15" s="58">
        <f t="shared" si="0"/>
        <v>1.2575452716297785E-4</v>
      </c>
      <c r="F15" s="3">
        <f>U$36*Tabela7101259[[#This Row],[VD /V ± 1E-5 V]]+V$36</f>
        <v>-7.150580129077607</v>
      </c>
      <c r="G15" s="3">
        <f>Tabela7101259[[#This Row],[ln(ID)]]-Tabela7101259[[#This Row],[Ajuste 1 de ln(ID)]]</f>
        <v>1.3663226455697064E-2</v>
      </c>
      <c r="H15" s="3">
        <f>I$49*Tabela7101259[[#This Row],[VD /V ± 1E-5 V]]+J$49</f>
        <v>-7.1357690210636662</v>
      </c>
      <c r="I15" s="3">
        <f>Tabela7101259[[#This Row],[ln(ID)]]-Tabela7101259[[#This Row],[Ajuste 2 de ln(ID)]]</f>
        <v>-1.1478815582437463E-3</v>
      </c>
      <c r="J15" s="56">
        <f>E$51*(EXP(B$52*Tabela7101259[[#This Row],[VD /V ± 1E-5 V]]/(E$48*B$50*B$48))-1)</f>
        <v>7.9611331950039661E-4</v>
      </c>
      <c r="K15" s="38">
        <f>Tabela7101259[[#This Row],[ID /A ± 1E-7 A]]-Tabela7101259[[#This Row],[Ajuste de ID /A]]</f>
        <v>-9.1331950039658105E-7</v>
      </c>
      <c r="L15" s="51">
        <f>Tabela7101259[[#This Row],[VD /V ± 1E-5 V]]/Tabela7101259[[#This Row],[ID /A ± 1E-7 A]]</f>
        <v>934.26810865191146</v>
      </c>
      <c r="M15" s="2">
        <f>((Tabela7101259[[#This Row],[VD /V ± 1E-5 V]]-C14)/(Tabela7101259[[#This Row],[ID /A ± 1E-7 A]]-B14)+(Tabela7101259[[#This Row],[VD /V ± 1E-5 V]]-C16)/(Tabela7101259[[#This Row],[ID /A ± 1E-7 A]]-B16))/2</f>
        <v>34.63805841595422</v>
      </c>
      <c r="X15" s="2">
        <v>-0.19520000000000001</v>
      </c>
      <c r="Y15" s="11">
        <f>Tabela710124813[[#This Row],[ID /mA ± 1E-4 mA]]*0.001</f>
        <v>-1.9520000000000003E-4</v>
      </c>
      <c r="Z15" s="2">
        <v>-10.057700000000001</v>
      </c>
      <c r="AA15" s="10">
        <f>Tabela710124813[[#This Row],[VD /V ± 1E-5 V]]/Tabela710124813[[#This Row],[ID /A ± 1E-7 A]]</f>
        <v>51525.102459016387</v>
      </c>
      <c r="AB15" s="2">
        <f>((Tabela710124813[[#This Row],[VD /V ± 1E-5 V]]-Z14)/(Tabela710124813[[#This Row],[ID /A ± 1E-7 A]]-Y14)+(Tabela710124813[[#This Row],[VD /V ± 1E-5 V]]-Z16)/(Tabela710124813[[#This Row],[ID /A ± 1E-7 A]]-Y16))/2</f>
        <v>123.91747325518718</v>
      </c>
    </row>
    <row r="16" spans="1:28" x14ac:dyDescent="0.3">
      <c r="A16" s="2">
        <v>0.77790000000000004</v>
      </c>
      <c r="B16" s="11">
        <f>Tabela7101259[[#This Row],[ID /mA ± 1E-4 mA]]*0.001</f>
        <v>7.779000000000001E-4</v>
      </c>
      <c r="C16" s="55">
        <v>0.74226999999999999</v>
      </c>
      <c r="D16" s="54">
        <f>LN(Tabela7101259[[#This Row],[ID /A ± 1E-7 A]])</f>
        <v>-7.158912576751546</v>
      </c>
      <c r="E16" s="58">
        <f t="shared" si="0"/>
        <v>1.2855122766422417E-4</v>
      </c>
      <c r="F16" s="3">
        <f>U$36*Tabela7101259[[#This Row],[VD /V ± 1E-5 V]]+V$36</f>
        <v>-7.1722076890195758</v>
      </c>
      <c r="G16" s="3">
        <f>Tabela7101259[[#This Row],[ln(ID)]]-Tabela7101259[[#This Row],[Ajuste 1 de ln(ID)]]</f>
        <v>1.3295112268029818E-2</v>
      </c>
      <c r="H16" s="3">
        <f>I$49*Tabela7101259[[#This Row],[VD /V ± 1E-5 V]]+J$49</f>
        <v>-7.158559898730001</v>
      </c>
      <c r="I16" s="3">
        <f>Tabela7101259[[#This Row],[ln(ID)]]-Tabela7101259[[#This Row],[Ajuste 2 de ln(ID)]]</f>
        <v>-3.5267802154503869E-4</v>
      </c>
      <c r="J16" s="56">
        <f>E$51*(EXP(B$52*Tabela7101259[[#This Row],[VD /V ± 1E-5 V]]/(E$48*B$50*B$48))-1)</f>
        <v>7.7817439661119795E-4</v>
      </c>
      <c r="K16" s="38">
        <f>Tabela7101259[[#This Row],[ID /A ± 1E-7 A]]-Tabela7101259[[#This Row],[Ajuste de ID /A]]</f>
        <v>-2.7439661119785415E-7</v>
      </c>
      <c r="L16" s="51">
        <f>Tabela7101259[[#This Row],[VD /V ± 1E-5 V]]/Tabela7101259[[#This Row],[ID /A ± 1E-7 A]]</f>
        <v>954.19719758323674</v>
      </c>
      <c r="M16" s="2">
        <f>((Tabela7101259[[#This Row],[VD /V ± 1E-5 V]]-C15)/(Tabela7101259[[#This Row],[ID /A ± 1E-7 A]]-B15)+(Tabela7101259[[#This Row],[VD /V ± 1E-5 V]]-C17)/(Tabela7101259[[#This Row],[ID /A ± 1E-7 A]]-B17))/2</f>
        <v>38.486909214552497</v>
      </c>
      <c r="X16" s="2">
        <v>-0.1822</v>
      </c>
      <c r="Y16" s="11">
        <f>Tabela710124813[[#This Row],[ID /mA ± 1E-4 mA]]*0.001</f>
        <v>-1.8220000000000001E-4</v>
      </c>
      <c r="Z16" s="2">
        <v>-10.0562</v>
      </c>
      <c r="AA16" s="10">
        <f>Tabela710124813[[#This Row],[VD /V ± 1E-5 V]]/Tabela710124813[[#This Row],[ID /A ± 1E-7 A]]</f>
        <v>55193.194291986831</v>
      </c>
      <c r="AB16" s="2">
        <f>((Tabela710124813[[#This Row],[VD /V ± 1E-5 V]]-Z15)/(Tabela710124813[[#This Row],[ID /A ± 1E-7 A]]-Y15)+(Tabela710124813[[#This Row],[VD /V ± 1E-5 V]]-Z17)/(Tabela710124813[[#This Row],[ID /A ± 1E-7 A]]-Y17))/2</f>
        <v>113.24786324789376</v>
      </c>
    </row>
    <row r="17" spans="1:35" x14ac:dyDescent="0.3">
      <c r="A17" s="2">
        <v>0.76090000000000002</v>
      </c>
      <c r="B17" s="11">
        <f>Tabela7101259[[#This Row],[ID /mA ± 1E-4 mA]]*0.001</f>
        <v>7.6090000000000001E-4</v>
      </c>
      <c r="C17" s="55">
        <v>0.74160999999999999</v>
      </c>
      <c r="D17" s="54">
        <f>LN(Tabela7101259[[#This Row],[ID /A ± 1E-7 A]])</f>
        <v>-7.1810086147817973</v>
      </c>
      <c r="E17" s="58">
        <f t="shared" si="0"/>
        <v>1.3142331449599156E-4</v>
      </c>
      <c r="F17" s="3">
        <f>U$36*Tabela7101259[[#This Row],[VD /V ± 1E-5 V]]+V$36</f>
        <v>-7.1938352489615482</v>
      </c>
      <c r="G17" s="3">
        <f>Tabela7101259[[#This Row],[ln(ID)]]-Tabela7101259[[#This Row],[Ajuste 1 de ln(ID)]]</f>
        <v>1.282663417975094E-2</v>
      </c>
      <c r="H17" s="3">
        <f>I$49*Tabela7101259[[#This Row],[VD /V ± 1E-5 V]]+J$49</f>
        <v>-7.1813507763963393</v>
      </c>
      <c r="I17" s="3">
        <f>Tabela7101259[[#This Row],[ln(ID)]]-Tabela7101259[[#This Row],[Ajuste 2 de ln(ID)]]</f>
        <v>3.4216161454203586E-4</v>
      </c>
      <c r="J17" s="56">
        <f>E$51*(EXP(B$52*Tabela7101259[[#This Row],[VD /V ± 1E-5 V]]/(E$48*B$50*B$48))-1)</f>
        <v>7.6063969375768999E-4</v>
      </c>
      <c r="K17" s="38">
        <f>Tabela7101259[[#This Row],[ID /A ± 1E-7 A]]-Tabela7101259[[#This Row],[Ajuste de ID /A]]</f>
        <v>2.6030624231002195E-7</v>
      </c>
      <c r="L17" s="51">
        <f>Tabela7101259[[#This Row],[VD /V ± 1E-5 V]]/Tabela7101259[[#This Row],[ID /A ± 1E-7 A]]</f>
        <v>974.64844263372322</v>
      </c>
      <c r="M17" s="2">
        <f>((Tabela7101259[[#This Row],[VD /V ± 1E-5 V]]-C16)/(Tabela7101259[[#This Row],[ID /A ± 1E-7 A]]-B16)+(Tabela7101259[[#This Row],[VD /V ± 1E-5 V]]-C18)/(Tabela7101259[[#This Row],[ID /A ± 1E-7 A]]-B18))/2</f>
        <v>39.503088906795092</v>
      </c>
      <c r="X17" s="2">
        <v>-0.15970000000000001</v>
      </c>
      <c r="Y17" s="11">
        <f>Tabela710124813[[#This Row],[ID /mA ± 1E-4 mA]]*0.001</f>
        <v>-1.5970000000000001E-4</v>
      </c>
      <c r="Z17" s="2">
        <v>-10.053699999999999</v>
      </c>
      <c r="AA17" s="10">
        <f>Tabela710124813[[#This Row],[VD /V ± 1E-5 V]]/Tabela710124813[[#This Row],[ID /A ± 1E-7 A]]</f>
        <v>62953.663118346893</v>
      </c>
      <c r="AB17" s="2">
        <f>((Tabela710124813[[#This Row],[VD /V ± 1E-5 V]]-Z16)/(Tabela710124813[[#This Row],[ID /A ± 1E-7 A]]-Y16)+(Tabela710124813[[#This Row],[VD /V ± 1E-5 V]]-Z18)/(Tabela710124813[[#This Row],[ID /A ± 1E-7 A]]-Y18))/2</f>
        <v>112.63318112634889</v>
      </c>
    </row>
    <row r="18" spans="1:35" x14ac:dyDescent="0.3">
      <c r="A18" s="2">
        <v>0.73899999999999999</v>
      </c>
      <c r="B18" s="11">
        <f>Tabela7101259[[#This Row],[ID /mA ± 1E-4 mA]]*0.001</f>
        <v>7.3899999999999997E-4</v>
      </c>
      <c r="C18" s="55">
        <v>0.74073</v>
      </c>
      <c r="D18" s="54">
        <f>LN(Tabela7101259[[#This Row],[ID /A ± 1E-7 A]])</f>
        <v>-7.2102126370160722</v>
      </c>
      <c r="E18" s="58">
        <f t="shared" si="0"/>
        <v>1.3531799729364006E-4</v>
      </c>
      <c r="F18" s="3">
        <f>U$36*Tabela7101259[[#This Row],[VD /V ± 1E-5 V]]+V$36</f>
        <v>-7.2226719955508401</v>
      </c>
      <c r="G18" s="3">
        <f>Tabela7101259[[#This Row],[ln(ID)]]-Tabela7101259[[#This Row],[Ajuste 1 de ln(ID)]]</f>
        <v>1.2459358534767873E-2</v>
      </c>
      <c r="H18" s="3">
        <f>I$49*Tabela7101259[[#This Row],[VD /V ± 1E-5 V]]+J$49</f>
        <v>-7.2117386132847905</v>
      </c>
      <c r="I18" s="3">
        <f>Tabela7101259[[#This Row],[ln(ID)]]-Tabela7101259[[#This Row],[Ajuste 2 de ln(ID)]]</f>
        <v>1.5259762687183098E-3</v>
      </c>
      <c r="J18" s="56">
        <f>E$51*(EXP(B$52*Tabela7101259[[#This Row],[VD /V ± 1E-5 V]]/(E$48*B$50*B$48))-1)</f>
        <v>7.3787316351320168E-4</v>
      </c>
      <c r="K18" s="38">
        <f>Tabela7101259[[#This Row],[ID /A ± 1E-7 A]]-Tabela7101259[[#This Row],[Ajuste de ID /A]]</f>
        <v>1.1268364867982874E-6</v>
      </c>
      <c r="L18" s="51">
        <f>Tabela7101259[[#This Row],[VD /V ± 1E-5 V]]/Tabela7101259[[#This Row],[ID /A ± 1E-7 A]]</f>
        <v>1002.34100135318</v>
      </c>
      <c r="M18" s="2">
        <f>((Tabela7101259[[#This Row],[VD /V ± 1E-5 V]]-C17)/(Tabela7101259[[#This Row],[ID /A ± 1E-7 A]]-B17)+(Tabela7101259[[#This Row],[VD /V ± 1E-5 V]]-C19)/(Tabela7101259[[#This Row],[ID /A ± 1E-7 A]]-B19))/2</f>
        <v>38.814728456232018</v>
      </c>
      <c r="X18" s="2">
        <v>-0.13780000000000001</v>
      </c>
      <c r="Y18" s="11">
        <f>Tabela710124813[[#This Row],[ID /mA ± 1E-4 mA]]*0.001</f>
        <v>-1.3780000000000002E-4</v>
      </c>
      <c r="Z18" s="2">
        <v>-10.0512</v>
      </c>
      <c r="AA18" s="10">
        <f>Tabela710124813[[#This Row],[VD /V ± 1E-5 V]]/Tabela710124813[[#This Row],[ID /A ± 1E-7 A]]</f>
        <v>72940.49346879535</v>
      </c>
      <c r="AB18" s="2">
        <f>((Tabela710124813[[#This Row],[VD /V ± 1E-5 V]]-Z17)/(Tabela710124813[[#This Row],[ID /A ± 1E-7 A]]-Y17)+(Tabela710124813[[#This Row],[VD /V ± 1E-5 V]]-Z19)/(Tabela710124813[[#This Row],[ID /A ± 1E-7 A]]-Y19))/2</f>
        <v>98.17351598168888</v>
      </c>
    </row>
    <row r="19" spans="1:35" x14ac:dyDescent="0.3">
      <c r="A19" s="2">
        <v>0.71550000000000002</v>
      </c>
      <c r="B19" s="11">
        <f>Tabela7101259[[#This Row],[ID /mA ± 1E-4 mA]]*0.001</f>
        <v>7.1549999999999999E-4</v>
      </c>
      <c r="C19" s="55">
        <v>0.73985000000000001</v>
      </c>
      <c r="D19" s="54">
        <f>LN(Tabela7101259[[#This Row],[ID /A ± 1E-7 A]])</f>
        <v>-7.2425289589677684</v>
      </c>
      <c r="E19" s="58">
        <f t="shared" si="0"/>
        <v>1.397624039133473E-4</v>
      </c>
      <c r="F19" s="3">
        <f>U$36*Tabela7101259[[#This Row],[VD /V ± 1E-5 V]]+V$36</f>
        <v>-7.2515087421401354</v>
      </c>
      <c r="G19" s="3">
        <f>Tabela7101259[[#This Row],[ln(ID)]]-Tabela7101259[[#This Row],[Ajuste 1 de ln(ID)]]</f>
        <v>8.9797831723670285E-3</v>
      </c>
      <c r="H19" s="3">
        <f>I$49*Tabela7101259[[#This Row],[VD /V ± 1E-5 V]]+J$49</f>
        <v>-7.2421264501732381</v>
      </c>
      <c r="I19" s="3">
        <f>Tabela7101259[[#This Row],[ln(ID)]]-Tabela7101259[[#This Row],[Ajuste 2 de ln(ID)]]</f>
        <v>-4.0250879453029853E-4</v>
      </c>
      <c r="J19" s="56">
        <f>E$51*(EXP(B$52*Tabela7101259[[#This Row],[VD /V ± 1E-5 V]]/(E$48*B$50*B$48))-1)</f>
        <v>7.1578805300478445E-4</v>
      </c>
      <c r="K19" s="38">
        <f>Tabela7101259[[#This Row],[ID /A ± 1E-7 A]]-Tabela7101259[[#This Row],[Ajuste de ID /A]]</f>
        <v>-2.8805300478446181E-7</v>
      </c>
      <c r="L19" s="51">
        <f>Tabela7101259[[#This Row],[VD /V ± 1E-5 V]]/Tabela7101259[[#This Row],[ID /A ± 1E-7 A]]</f>
        <v>1034.0321453529</v>
      </c>
      <c r="M19" s="2">
        <f>((Tabela7101259[[#This Row],[VD /V ± 1E-5 V]]-C18)/(Tabela7101259[[#This Row],[ID /A ± 1E-7 A]]-B18)+(Tabela7101259[[#This Row],[VD /V ± 1E-5 V]]-C20)/(Tabela7101259[[#This Row],[ID /A ± 1E-7 A]]-B20))/2</f>
        <v>39.2406456346298</v>
      </c>
      <c r="X19" s="2">
        <v>-0.1232</v>
      </c>
      <c r="Y19" s="11">
        <f>Tabela710124813[[#This Row],[ID /mA ± 1E-4 mA]]*0.001</f>
        <v>-1.2320000000000001E-4</v>
      </c>
      <c r="Z19" s="2">
        <v>-10.050000000000001</v>
      </c>
      <c r="AA19" s="10">
        <f>Tabela710124813[[#This Row],[VD /V ± 1E-5 V]]/Tabela710124813[[#This Row],[ID /A ± 1E-7 A]]</f>
        <v>81574.675324675321</v>
      </c>
      <c r="AB19" s="2">
        <f>((Tabela710124813[[#This Row],[VD /V ± 1E-5 V]]-Z18)/(Tabela710124813[[#This Row],[ID /A ± 1E-7 A]]-Y18)+(Tabela710124813[[#This Row],[VD /V ± 1E-5 V]]-Z20)/(Tabela710124813[[#This Row],[ID /A ± 1E-7 A]]-Y20))/2</f>
        <v>80.89688543579517</v>
      </c>
    </row>
    <row r="20" spans="1:35" x14ac:dyDescent="0.3">
      <c r="A20" s="2">
        <v>0.6865</v>
      </c>
      <c r="B20" s="11">
        <f>Tabela7101259[[#This Row],[ID /mA ± 1E-4 mA]]*0.001</f>
        <v>6.8650000000000004E-4</v>
      </c>
      <c r="C20" s="55">
        <v>0.73865999999999998</v>
      </c>
      <c r="D20" s="54">
        <f>LN(Tabela7101259[[#This Row],[ID /A ± 1E-7 A]])</f>
        <v>-7.283904332756248</v>
      </c>
      <c r="E20" s="58">
        <f t="shared" si="0"/>
        <v>1.4566642388929351E-4</v>
      </c>
      <c r="F20" s="3">
        <f>U$36*Tabela7101259[[#This Row],[VD /V ± 1E-5 V]]+V$36</f>
        <v>-7.2905038880961115</v>
      </c>
      <c r="G20" s="3">
        <f>Tabela7101259[[#This Row],[ln(ID)]]-Tabela7101259[[#This Row],[Ajuste 1 de ln(ID)]]</f>
        <v>6.5995553398634499E-3</v>
      </c>
      <c r="H20" s="3">
        <f>I$49*Tabela7101259[[#This Row],[VD /V ± 1E-5 V]]+J$49</f>
        <v>-7.2832190932383014</v>
      </c>
      <c r="I20" s="3">
        <f>Tabela7101259[[#This Row],[ln(ID)]]-Tabela7101259[[#This Row],[Ajuste 2 de ln(ID)]]</f>
        <v>-6.8523951794663418E-4</v>
      </c>
      <c r="J20" s="56">
        <f>E$51*(EXP(B$52*Tabela7101259[[#This Row],[VD /V ± 1E-5 V]]/(E$48*B$50*B$48))-1)</f>
        <v>6.8697057813427804E-4</v>
      </c>
      <c r="K20" s="38">
        <f>Tabela7101259[[#This Row],[ID /A ± 1E-7 A]]-Tabela7101259[[#This Row],[Ajuste de ID /A]]</f>
        <v>-4.7057813427800032E-7</v>
      </c>
      <c r="L20" s="51">
        <f>Tabela7101259[[#This Row],[VD /V ± 1E-5 V]]/Tabela7101259[[#This Row],[ID /A ± 1E-7 A]]</f>
        <v>1075.9796067006555</v>
      </c>
      <c r="M20" s="2">
        <f>((Tabela7101259[[#This Row],[VD /V ± 1E-5 V]]-C19)/(Tabela7101259[[#This Row],[ID /A ± 1E-7 A]]-B19)+(Tabela7101259[[#This Row],[VD /V ± 1E-5 V]]-C21)/(Tabela7101259[[#This Row],[ID /A ± 1E-7 A]]-B21))/2</f>
        <v>42.061956826464304</v>
      </c>
      <c r="X20" s="2">
        <v>-0.1031</v>
      </c>
      <c r="Y20" s="11">
        <f>Tabela710124813[[#This Row],[ID /mA ± 1E-4 mA]]*0.001</f>
        <v>-1.031E-4</v>
      </c>
      <c r="Z20" s="2">
        <v>-10.048400000000001</v>
      </c>
      <c r="AA20" s="10">
        <f>Tabela710124813[[#This Row],[VD /V ± 1E-5 V]]/Tabela710124813[[#This Row],[ID /A ± 1E-7 A]]</f>
        <v>97462.657613967036</v>
      </c>
      <c r="AB20" s="2">
        <f>((Tabela710124813[[#This Row],[VD /V ± 1E-5 V]]-Z19)/(Tabela710124813[[#This Row],[ID /A ± 1E-7 A]]-Y19)+(Tabela710124813[[#This Row],[VD /V ± 1E-5 V]]-Z21)/(Tabela710124813[[#This Row],[ID /A ± 1E-7 A]]-Y21))/2</f>
        <v>119.44701272403651</v>
      </c>
    </row>
    <row r="21" spans="1:35" x14ac:dyDescent="0.3">
      <c r="A21" s="2">
        <v>0.66190000000000004</v>
      </c>
      <c r="B21" s="11">
        <f>Tabela7101259[[#This Row],[ID /mA ± 1E-4 mA]]*0.001</f>
        <v>6.619000000000001E-4</v>
      </c>
      <c r="C21" s="2">
        <v>0.73760000000000003</v>
      </c>
      <c r="D21" s="3">
        <f>LN(Tabela7101259[[#This Row],[ID /A ± 1E-7 A]])</f>
        <v>-7.3203960708393971</v>
      </c>
      <c r="E21" s="39">
        <f t="shared" si="0"/>
        <v>1.5108022359873092E-4</v>
      </c>
      <c r="F21" s="3">
        <f>U$36*Tabela7101259[[#This Row],[VD /V ± 1E-5 V]]+V$36</f>
        <v>-7.3252390601241224</v>
      </c>
      <c r="G21" s="3">
        <f>Tabela7101259[[#This Row],[ln(ID)]]-Tabela7101259[[#This Row],[Ajuste 1 de ln(ID)]]</f>
        <v>4.8429892847252631E-3</v>
      </c>
      <c r="H21" s="26" t="s">
        <v>2</v>
      </c>
      <c r="I21" s="26" t="s">
        <v>2</v>
      </c>
      <c r="J21" s="56">
        <f>E$51*(EXP(B$52*Tabela7101259[[#This Row],[VD /V ± 1E-5 V]]/(E$48*B$50*B$48))-1)</f>
        <v>6.6227967328439817E-4</v>
      </c>
      <c r="K21" s="9" t="s">
        <v>2</v>
      </c>
      <c r="L21" s="51">
        <f>Tabela7101259[[#This Row],[VD /V ± 1E-5 V]]/Tabela7101259[[#This Row],[ID /A ± 1E-7 A]]</f>
        <v>1114.3677292642392</v>
      </c>
      <c r="M21" s="2">
        <f>((Tabela7101259[[#This Row],[VD /V ± 1E-5 V]]-C20)/(Tabela7101259[[#This Row],[ID /A ± 1E-7 A]]-B20)+(Tabela7101259[[#This Row],[VD /V ± 1E-5 V]]-C22)/(Tabela7101259[[#This Row],[ID /A ± 1E-7 A]]-B22))/2</f>
        <v>44.271988174426355</v>
      </c>
      <c r="X21" s="2">
        <v>-9.1800000000000007E-2</v>
      </c>
      <c r="Y21" s="10">
        <f>Tabela710124813[[#This Row],[ID /mA ± 1E-4 mA]]*0.001</f>
        <v>-9.1800000000000009E-5</v>
      </c>
      <c r="Z21" s="2">
        <v>-10.0466</v>
      </c>
      <c r="AA21" s="10">
        <f>Tabela710124813[[#This Row],[VD /V ± 1E-5 V]]/Tabela710124813[[#This Row],[ID /A ± 1E-7 A]]</f>
        <v>109440.08714596949</v>
      </c>
      <c r="AB21" s="2">
        <f>((Tabela710124813[[#This Row],[VD /V ± 1E-5 V]]-Z20)/(Tabela710124813[[#This Row],[ID /A ± 1E-7 A]]-Y20)+(Tabela710124813[[#This Row],[VD /V ± 1E-5 V]]-Z22)/(Tabela710124813[[#This Row],[ID /A ± 1E-7 A]]-Y22))/2</f>
        <v>116.00965406279762</v>
      </c>
    </row>
    <row r="22" spans="1:35" x14ac:dyDescent="0.3">
      <c r="A22" s="2">
        <v>0.64100000000000001</v>
      </c>
      <c r="B22" s="11">
        <f>Tabela7101259[[#This Row],[ID /mA ± 1E-4 mA]]*0.001</f>
        <v>6.4100000000000008E-4</v>
      </c>
      <c r="C22" s="2">
        <v>0.73665000000000003</v>
      </c>
      <c r="D22" s="3">
        <f>LN(Tabela7101259[[#This Row],[ID /A ± 1E-7 A]])</f>
        <v>-7.3524811010436038</v>
      </c>
      <c r="E22" s="39">
        <f t="shared" si="0"/>
        <v>1.5600624024960996E-4</v>
      </c>
      <c r="F22" s="3">
        <f>U$36*Tabela7101259[[#This Row],[VD /V ± 1E-5 V]]+V$36</f>
        <v>-7.3563696388284754</v>
      </c>
      <c r="G22" s="3">
        <f>Tabela7101259[[#This Row],[ln(ID)]]-Tabela7101259[[#This Row],[Ajuste 1 de ln(ID)]]</f>
        <v>3.8885377848716374E-3</v>
      </c>
      <c r="H22" s="26" t="s">
        <v>2</v>
      </c>
      <c r="I22" s="26" t="s">
        <v>2</v>
      </c>
      <c r="J22" s="56">
        <f>E$51*(EXP(B$52*Tabela7101259[[#This Row],[VD /V ± 1E-5 V]]/(E$48*B$50*B$48))-1)</f>
        <v>6.4090605283108988E-4</v>
      </c>
      <c r="K22" s="9" t="s">
        <v>2</v>
      </c>
      <c r="L22" s="51">
        <f>Tabela7101259[[#This Row],[VD /V ± 1E-5 V]]/Tabela7101259[[#This Row],[ID /A ± 1E-7 A]]</f>
        <v>1149.2199687987518</v>
      </c>
      <c r="M22" s="2">
        <f>((Tabela7101259[[#This Row],[VD /V ± 1E-5 V]]-C21)/(Tabela7101259[[#This Row],[ID /A ± 1E-7 A]]-B21)+(Tabela7101259[[#This Row],[VD /V ± 1E-5 V]]-C23)/(Tabela7101259[[#This Row],[ID /A ± 1E-7 A]]-B23))/2</f>
        <v>45.715778474399968</v>
      </c>
      <c r="X22" s="2">
        <v>-8.0799999999999997E-2</v>
      </c>
      <c r="Y22" s="10">
        <f>Tabela710124813[[#This Row],[ID /mA ± 1E-4 mA]]*0.001</f>
        <v>-8.0799999999999999E-5</v>
      </c>
      <c r="Z22" s="2">
        <v>-10.0458</v>
      </c>
      <c r="AA22" s="10">
        <f>Tabela710124813[[#This Row],[VD /V ± 1E-5 V]]/Tabela710124813[[#This Row],[ID /A ± 1E-7 A]]</f>
        <v>124329.20792079208</v>
      </c>
      <c r="AB22" s="2">
        <f>((Tabela710124813[[#This Row],[VD /V ± 1E-5 V]]-Z21)/(Tabela710124813[[#This Row],[ID /A ± 1E-7 A]]-Y21)+(Tabela710124813[[#This Row],[VD /V ± 1E-5 V]]-Z23)/(Tabela710124813[[#This Row],[ID /A ± 1E-7 A]]-Y23))/2</f>
        <v>78.916827852989343</v>
      </c>
    </row>
    <row r="23" spans="1:35" x14ac:dyDescent="0.3">
      <c r="A23" s="2">
        <v>0.62360000000000004</v>
      </c>
      <c r="B23" s="11">
        <f>Tabela7101259[[#This Row],[ID /mA ± 1E-4 mA]]*0.001</f>
        <v>6.2360000000000009E-4</v>
      </c>
      <c r="C23" s="2">
        <v>0.73585</v>
      </c>
      <c r="D23" s="3">
        <f>LN(Tabela7101259[[#This Row],[ID /A ± 1E-7 A]])</f>
        <v>-7.3800014207806521</v>
      </c>
      <c r="E23" s="39">
        <f t="shared" si="0"/>
        <v>1.6035920461834505E-4</v>
      </c>
      <c r="F23" s="3">
        <f>U$36*Tabela7101259[[#This Row],[VD /V ± 1E-5 V]]+V$36</f>
        <v>-7.3825848630005595</v>
      </c>
      <c r="G23" s="3">
        <f>Tabela7101259[[#This Row],[ln(ID)]]-Tabela7101259[[#This Row],[Ajuste 1 de ln(ID)]]</f>
        <v>2.5834422199073614E-3</v>
      </c>
      <c r="H23" s="26" t="s">
        <v>2</v>
      </c>
      <c r="I23" s="26" t="s">
        <v>2</v>
      </c>
      <c r="J23" s="56">
        <f>E$51*(EXP(B$52*Tabela7101259[[#This Row],[VD /V ± 1E-5 V]]/(E$48*B$50*B$48))-1)</f>
        <v>6.2344314646933189E-4</v>
      </c>
      <c r="K23" s="9" t="s">
        <v>2</v>
      </c>
      <c r="L23" s="51">
        <f>Tabela7101259[[#This Row],[VD /V ± 1E-5 V]]/Tabela7101259[[#This Row],[ID /A ± 1E-7 A]]</f>
        <v>1180.0032071840922</v>
      </c>
      <c r="M23" s="2">
        <f>((Tabela7101259[[#This Row],[VD /V ± 1E-5 V]]-C22)/(Tabela7101259[[#This Row],[ID /A ± 1E-7 A]]-B22)+(Tabela7101259[[#This Row],[VD /V ± 1E-5 V]]-C24)/(Tabela7101259[[#This Row],[ID /A ± 1E-7 A]]-B24))/2</f>
        <v>46.762090652788082</v>
      </c>
      <c r="X23" s="2">
        <v>-7.1400000000000005E-2</v>
      </c>
      <c r="Y23" s="10">
        <f>Tabela710124813[[#This Row],[ID /mA ± 1E-4 mA]]*0.001</f>
        <v>-7.1400000000000001E-5</v>
      </c>
      <c r="Z23" s="2">
        <v>-10.045</v>
      </c>
      <c r="AA23" s="10">
        <f>Tabela710124813[[#This Row],[VD /V ± 1E-5 V]]/Tabela710124813[[#This Row],[ID /A ± 1E-7 A]]</f>
        <v>140686.27450980392</v>
      </c>
      <c r="AB23" s="2">
        <f>((Tabela710124813[[#This Row],[VD /V ± 1E-5 V]]-Z22)/(Tabela710124813[[#This Row],[ID /A ± 1E-7 A]]-Y22)+(Tabela710124813[[#This Row],[VD /V ± 1E-5 V]]-Z24)/(Tabela710124813[[#This Row],[ID /A ± 1E-7 A]]-Y24))/2</f>
        <v>107.77058279368165</v>
      </c>
    </row>
    <row r="24" spans="1:35" x14ac:dyDescent="0.3">
      <c r="A24" s="2">
        <v>0.59709999999999996</v>
      </c>
      <c r="B24" s="11">
        <f>Tabela7101259[[#This Row],[ID /mA ± 1E-4 mA]]*0.001</f>
        <v>5.9709999999999993E-4</v>
      </c>
      <c r="C24" s="2">
        <v>0.73458999999999997</v>
      </c>
      <c r="D24" s="3">
        <f>LN(Tabela7101259[[#This Row],[ID /A ± 1E-7 A]])</f>
        <v>-7.4234259544113277</v>
      </c>
      <c r="E24" s="39">
        <f t="shared" si="0"/>
        <v>1.6747613465081229E-4</v>
      </c>
      <c r="F24" s="3">
        <f>U$36*Tabela7101259[[#This Row],[VD /V ± 1E-5 V]]+V$36</f>
        <v>-7.4238738410715932</v>
      </c>
      <c r="G24" s="3">
        <f>Tabela7101259[[#This Row],[ln(ID)]]-Tabela7101259[[#This Row],[Ajuste 1 de ln(ID)]]</f>
        <v>4.4788666026551738E-4</v>
      </c>
      <c r="H24" s="26" t="s">
        <v>2</v>
      </c>
      <c r="I24" s="26" t="s">
        <v>2</v>
      </c>
      <c r="J24" s="56">
        <f>E$51*(EXP(B$52*Tabela7101259[[#This Row],[VD /V ± 1E-5 V]]/(E$48*B$50*B$48))-1)</f>
        <v>5.9689888017645516E-4</v>
      </c>
      <c r="K24" s="9" t="s">
        <v>2</v>
      </c>
      <c r="L24" s="51">
        <f>Tabela7101259[[#This Row],[VD /V ± 1E-5 V]]/Tabela7101259[[#This Row],[ID /A ± 1E-7 A]]</f>
        <v>1230.2629375314018</v>
      </c>
      <c r="M24" s="2">
        <f>((Tabela7101259[[#This Row],[VD /V ± 1E-5 V]]-C23)/(Tabela7101259[[#This Row],[ID /A ± 1E-7 A]]-B23)+(Tabela7101259[[#This Row],[VD /V ± 1E-5 V]]-C25)/(Tabela7101259[[#This Row],[ID /A ± 1E-7 A]]-B25))/2</f>
        <v>49.094097726172429</v>
      </c>
      <c r="X24" s="2">
        <v>-6.4500000000000002E-2</v>
      </c>
      <c r="Y24" s="10">
        <f>Tabela710124813[[#This Row],[ID /mA ± 1E-4 mA]]*0.001</f>
        <v>-6.4500000000000009E-5</v>
      </c>
      <c r="Z24" s="2">
        <v>-10.0441</v>
      </c>
      <c r="AA24" s="10">
        <f>Tabela710124813[[#This Row],[VD /V ± 1E-5 V]]/Tabela710124813[[#This Row],[ID /A ± 1E-7 A]]</f>
        <v>155722.48062015502</v>
      </c>
      <c r="AB24" s="2">
        <f>((Tabela710124813[[#This Row],[VD /V ± 1E-5 V]]-Z23)/(Tabela710124813[[#This Row],[ID /A ± 1E-7 A]]-Y23)+(Tabela710124813[[#This Row],[VD /V ± 1E-5 V]]-Z25)/(Tabela710124813[[#This Row],[ID /A ± 1E-7 A]]-Y25))/2</f>
        <v>83.967391304336445</v>
      </c>
    </row>
    <row r="25" spans="1:35" x14ac:dyDescent="0.3">
      <c r="A25" s="2">
        <v>0.56589999999999996</v>
      </c>
      <c r="B25" s="11">
        <f>Tabela7101259[[#This Row],[ID /mA ± 1E-4 mA]]*0.001</f>
        <v>5.6589999999999993E-4</v>
      </c>
      <c r="C25" s="2">
        <v>0.73301000000000005</v>
      </c>
      <c r="D25" s="3">
        <f>LN(Tabela7101259[[#This Row],[ID /A ± 1E-7 A]])</f>
        <v>-7.4770931738157964</v>
      </c>
      <c r="E25" s="39">
        <f t="shared" si="0"/>
        <v>1.7670966601873123E-4</v>
      </c>
      <c r="F25" s="3">
        <f>U$36*Tabela7101259[[#This Row],[VD /V ± 1E-5 V]]+V$36</f>
        <v>-7.4756489088114613</v>
      </c>
      <c r="G25" s="3">
        <f>Tabela7101259[[#This Row],[ln(ID)]]-Tabela7101259[[#This Row],[Ajuste 1 de ln(ID)]]</f>
        <v>-1.4442650043351435E-3</v>
      </c>
      <c r="H25" s="26" t="s">
        <v>2</v>
      </c>
      <c r="I25" s="26" t="s">
        <v>2</v>
      </c>
      <c r="J25" s="56">
        <f>E$51*(EXP(B$52*Tabela7101259[[#This Row],[VD /V ± 1E-5 V]]/(E$48*B$50*B$48))-1)</f>
        <v>5.6520457159825357E-4</v>
      </c>
      <c r="K25" s="9" t="s">
        <v>2</v>
      </c>
      <c r="L25" s="51">
        <f>Tabela7101259[[#This Row],[VD /V ± 1E-5 V]]/Tabela7101259[[#This Row],[ID /A ± 1E-7 A]]</f>
        <v>1295.299522883902</v>
      </c>
      <c r="M25" s="2">
        <f>((Tabela7101259[[#This Row],[VD /V ± 1E-5 V]]-C24)/(Tabela7101259[[#This Row],[ID /A ± 1E-7 A]]-B24)+(Tabela7101259[[#This Row],[VD /V ± 1E-5 V]]-C26)/(Tabela7101259[[#This Row],[ID /A ± 1E-7 A]]-B26))/2</f>
        <v>51.415403331461221</v>
      </c>
      <c r="X25" s="2">
        <v>-4.8500000000000001E-2</v>
      </c>
      <c r="Y25" s="10">
        <f>Tabela710124813[[#This Row],[ID /mA ± 1E-4 mA]]*0.001</f>
        <v>-4.85E-5</v>
      </c>
      <c r="Z25" s="2">
        <v>-10.0435</v>
      </c>
      <c r="AA25" s="10">
        <f>Tabela710124813[[#This Row],[VD /V ± 1E-5 V]]/Tabela710124813[[#This Row],[ID /A ± 1E-7 A]]</f>
        <v>207082.47422680413</v>
      </c>
      <c r="AB25" s="2">
        <f>((Tabela710124813[[#This Row],[VD /V ± 1E-5 V]]-Z24)/(Tabela710124813[[#This Row],[ID /A ± 1E-7 A]]-Y24)+(Tabela710124813[[#This Row],[VD /V ± 1E-5 V]]-Z26)/(Tabela710124813[[#This Row],[ID /A ± 1E-7 A]]-Y26))/2</f>
        <v>108.95618556704079</v>
      </c>
    </row>
    <row r="26" spans="1:35" x14ac:dyDescent="0.3">
      <c r="A26" s="2">
        <v>0.53849999999999998</v>
      </c>
      <c r="B26" s="11">
        <f>Tabela7101259[[#This Row],[ID /mA ± 1E-4 mA]]*0.001</f>
        <v>5.3850000000000002E-4</v>
      </c>
      <c r="C26" s="2">
        <v>0.73158000000000001</v>
      </c>
      <c r="D26" s="3">
        <f>LN(Tabela7101259[[#This Row],[ID /A ± 1E-7 A]])</f>
        <v>-7.5267230613678304</v>
      </c>
      <c r="E26" s="39">
        <f t="shared" si="0"/>
        <v>1.8570102135561745E-4</v>
      </c>
      <c r="F26" s="3">
        <f>U$36*Tabela7101259[[#This Row],[VD /V ± 1E-5 V]]+V$36</f>
        <v>-7.522508622019064</v>
      </c>
      <c r="G26" s="3">
        <f>Tabela7101259[[#This Row],[ln(ID)]]-Tabela7101259[[#This Row],[Ajuste 1 de ln(ID)]]</f>
        <v>-4.2144393487664189E-3</v>
      </c>
      <c r="H26" s="26" t="s">
        <v>2</v>
      </c>
      <c r="I26" s="26" t="s">
        <v>2</v>
      </c>
      <c r="J26" s="56">
        <f>E$51*(EXP(B$52*Tabela7101259[[#This Row],[VD /V ± 1E-5 V]]/(E$48*B$50*B$48))-1)</f>
        <v>5.3797253264463679E-4</v>
      </c>
      <c r="K26" s="9" t="s">
        <v>2</v>
      </c>
      <c r="L26" s="51">
        <f>Tabela7101259[[#This Row],[VD /V ± 1E-5 V]]/Tabela7101259[[#This Row],[ID /A ± 1E-7 A]]</f>
        <v>1358.5515320334262</v>
      </c>
      <c r="M26" s="2">
        <f>((Tabela7101259[[#This Row],[VD /V ± 1E-5 V]]-C25)/(Tabela7101259[[#This Row],[ID /A ± 1E-7 A]]-B25)+(Tabela7101259[[#This Row],[VD /V ± 1E-5 V]]-C27)/(Tabela7101259[[#This Row],[ID /A ± 1E-7 A]]-B27))/2</f>
        <v>53.617826290765812</v>
      </c>
      <c r="X26" s="2">
        <v>-2.9100000000000001E-2</v>
      </c>
      <c r="Y26" s="10">
        <f>Tabela710124813[[#This Row],[ID /mA ± 1E-4 mA]]*0.001</f>
        <v>-2.9100000000000003E-5</v>
      </c>
      <c r="Z26" s="2">
        <v>-10.039999999999999</v>
      </c>
      <c r="AA26" s="10">
        <f>Tabela710124813[[#This Row],[VD /V ± 1E-5 V]]/Tabela710124813[[#This Row],[ID /A ± 1E-7 A]]</f>
        <v>345017.18213058414</v>
      </c>
      <c r="AB26" s="2">
        <f>((Tabela710124813[[#This Row],[VD /V ± 1E-5 V]]-Z25)/(Tabela710124813[[#This Row],[ID /A ± 1E-7 A]]-Y25)+(Tabela710124813[[#This Row],[VD /V ± 1E-5 V]]-Z27)/(Tabela710124813[[#This Row],[ID /A ± 1E-7 A]]-Y27))/2</f>
        <v>283.18864170731962</v>
      </c>
    </row>
    <row r="27" spans="1:35" x14ac:dyDescent="0.3">
      <c r="A27" s="2">
        <v>0.51670000000000005</v>
      </c>
      <c r="B27" s="11">
        <f>Tabela7101259[[#This Row],[ID /mA ± 1E-4 mA]]*0.001</f>
        <v>5.1670000000000004E-4</v>
      </c>
      <c r="C27" s="2">
        <v>0.73038000000000003</v>
      </c>
      <c r="D27" s="3">
        <f>LN(Tabela7101259[[#This Row],[ID /A ± 1E-7 A]])</f>
        <v>-7.5680481226711347</v>
      </c>
      <c r="E27" s="39">
        <f t="shared" si="0"/>
        <v>1.9353590090961871E-4</v>
      </c>
      <c r="F27" s="3">
        <f>U$36*Tabela7101259[[#This Row],[VD /V ± 1E-5 V]]+V$36</f>
        <v>-7.5618314582771902</v>
      </c>
      <c r="G27" s="3">
        <f>Tabela7101259[[#This Row],[ln(ID)]]-Tabela7101259[[#This Row],[Ajuste 1 de ln(ID)]]</f>
        <v>-6.2166643939445265E-3</v>
      </c>
      <c r="H27" s="26" t="s">
        <v>2</v>
      </c>
      <c r="I27" s="26" t="s">
        <v>2</v>
      </c>
      <c r="J27" s="56">
        <f>E$51*(EXP(B$52*Tabela7101259[[#This Row],[VD /V ± 1E-5 V]]/(E$48*B$50*B$48))-1)</f>
        <v>5.1613561199756193E-4</v>
      </c>
      <c r="K27" s="9" t="s">
        <v>2</v>
      </c>
      <c r="L27" s="51">
        <f>Tabela7101259[[#This Row],[VD /V ± 1E-5 V]]/Tabela7101259[[#This Row],[ID /A ± 1E-7 A]]</f>
        <v>1413.5475130636733</v>
      </c>
      <c r="M27" s="2">
        <f>((Tabela7101259[[#This Row],[VD /V ± 1E-5 V]]-C26)/(Tabela7101259[[#This Row],[ID /A ± 1E-7 A]]-B26)+(Tabela7101259[[#This Row],[VD /V ± 1E-5 V]]-C28)/(Tabela7101259[[#This Row],[ID /A ± 1E-7 A]]-B28))/2</f>
        <v>56.216117597999755</v>
      </c>
      <c r="X27" s="2">
        <v>-1.77E-2</v>
      </c>
      <c r="Y27" s="10">
        <f>Tabela710124813[[#This Row],[ID /mA ± 1E-4 mA]]*0.001</f>
        <v>-1.77E-5</v>
      </c>
      <c r="Z27" s="2">
        <v>-10.035600000000001</v>
      </c>
      <c r="AA27" s="10">
        <f>Tabela710124813[[#This Row],[VD /V ± 1E-5 V]]/Tabela710124813[[#This Row],[ID /A ± 1E-7 A]]</f>
        <v>566983.05084745761</v>
      </c>
      <c r="AB27" s="2">
        <f>((Tabela710124813[[#This Row],[VD /V ± 1E-5 V]]-Z26)/(Tabela710124813[[#This Row],[ID /A ± 1E-7 A]]-Y26)+(Tabela710124813[[#This Row],[VD /V ± 1E-5 V]]-Z28)/(Tabela710124813[[#This Row],[ID /A ± 1E-7 A]]-Y28))/2</f>
        <v>632.7414922849141</v>
      </c>
    </row>
    <row r="28" spans="1:35" x14ac:dyDescent="0.3">
      <c r="A28" s="2">
        <v>0.49909999999999999</v>
      </c>
      <c r="B28" s="11">
        <f>Tabela7101259[[#This Row],[ID /mA ± 1E-4 mA]]*0.001</f>
        <v>4.9910000000000004E-4</v>
      </c>
      <c r="C28" s="2">
        <v>0.72936999999999996</v>
      </c>
      <c r="D28" s="3">
        <f>LN(Tabela7101259[[#This Row],[ID /A ± 1E-7 A]])</f>
        <v>-7.6027040814887101</v>
      </c>
      <c r="E28" s="39">
        <f t="shared" si="0"/>
        <v>2.0036064916850328E-4</v>
      </c>
      <c r="F28" s="3">
        <f>U$36*Tabela7101259[[#This Row],[VD /V ± 1E-5 V]]+V$36</f>
        <v>-7.5949281787944507</v>
      </c>
      <c r="G28" s="3">
        <f>Tabela7101259[[#This Row],[ln(ID)]]-Tabela7101259[[#This Row],[Ajuste 1 de ln(ID)]]</f>
        <v>-7.7759026942594289E-3</v>
      </c>
      <c r="H28" s="26" t="s">
        <v>2</v>
      </c>
      <c r="I28" s="26" t="s">
        <v>2</v>
      </c>
      <c r="J28" s="56">
        <f>E$51*(EXP(B$52*Tabela7101259[[#This Row],[VD /V ± 1E-5 V]]/(E$48*B$50*B$48))-1)</f>
        <v>4.9844467273224807E-4</v>
      </c>
      <c r="K28" s="9" t="s">
        <v>2</v>
      </c>
      <c r="L28" s="51">
        <f>Tabela7101259[[#This Row],[VD /V ± 1E-5 V]]/Tabela7101259[[#This Row],[ID /A ± 1E-7 A]]</f>
        <v>1461.3704668403125</v>
      </c>
      <c r="M28" s="2">
        <f>((Tabela7101259[[#This Row],[VD /V ± 1E-5 V]]-C27)/(Tabela7101259[[#This Row],[ID /A ± 1E-7 A]]-B27)+(Tabela7101259[[#This Row],[VD /V ± 1E-5 V]]-C29)/(Tabela7101259[[#This Row],[ID /A ± 1E-7 A]]-B29))/2</f>
        <v>58.907905744562768</v>
      </c>
      <c r="X28" s="2">
        <v>-9.4000000000000004E-3</v>
      </c>
      <c r="Y28" s="16">
        <f>Tabela710124813[[#This Row],[ID /mA ± 1E-4 mA]]*0.001</f>
        <v>-9.3999999999999998E-6</v>
      </c>
      <c r="Z28" s="2">
        <v>-10.0283</v>
      </c>
      <c r="AA28" s="11">
        <f>Tabela710124813[[#This Row],[VD /V ± 1E-5 V]]/Tabela710124813[[#This Row],[ID /A ± 1E-7 A]]</f>
        <v>1066840.4255319149</v>
      </c>
      <c r="AB28" s="2">
        <f>((Tabela710124813[[#This Row],[VD /V ± 1E-5 V]]-Z27)/(Tabela710124813[[#This Row],[ID /A ± 1E-7 A]]-Y27)+(Tabela710124813[[#This Row],[VD /V ± 1E-5 V]]-Z29)/(Tabela710124813[[#This Row],[ID /A ± 1E-7 A]]-Y29))/2</f>
        <v>2847.6537729867268</v>
      </c>
    </row>
    <row r="29" spans="1:35" x14ac:dyDescent="0.3">
      <c r="A29" s="2">
        <v>0.46650000000000003</v>
      </c>
      <c r="B29" s="11">
        <f>Tabela7101259[[#This Row],[ID /mA ± 1E-4 mA]]*0.001</f>
        <v>4.6650000000000001E-4</v>
      </c>
      <c r="C29" s="2">
        <v>0.72740000000000005</v>
      </c>
      <c r="D29" s="3">
        <f>LN(Tabela7101259[[#This Row],[ID /A ± 1E-7 A]])</f>
        <v>-7.670252537676876</v>
      </c>
      <c r="E29" s="39">
        <f t="shared" si="0"/>
        <v>2.1436227224008576E-4</v>
      </c>
      <c r="F29" s="3">
        <f>U$36*Tabela7101259[[#This Row],[VD /V ± 1E-5 V]]+V$36</f>
        <v>-7.6594831683182072</v>
      </c>
      <c r="G29" s="3">
        <f>Tabela7101259[[#This Row],[ln(ID)]]-Tabela7101259[[#This Row],[Ajuste 1 de ln(ID)]]</f>
        <v>-1.076936935866879E-2</v>
      </c>
      <c r="H29" s="26" t="s">
        <v>2</v>
      </c>
      <c r="I29" s="26" t="s">
        <v>2</v>
      </c>
      <c r="J29" s="56">
        <f>E$51*(EXP(B$52*Tabela7101259[[#This Row],[VD /V ± 1E-5 V]]/(E$48*B$50*B$48))-1)</f>
        <v>4.6566443542269732E-4</v>
      </c>
      <c r="K29" s="9" t="s">
        <v>2</v>
      </c>
      <c r="L29" s="51">
        <f>Tabela7101259[[#This Row],[VD /V ± 1E-5 V]]/Tabela7101259[[#This Row],[ID /A ± 1E-7 A]]</f>
        <v>1559.2711682743839</v>
      </c>
      <c r="M29" s="2">
        <f>((Tabela7101259[[#This Row],[VD /V ± 1E-5 V]]-C28)/(Tabela7101259[[#This Row],[ID /A ± 1E-7 A]]-B28)+(Tabela7101259[[#This Row],[VD /V ± 1E-5 V]]-C30)/(Tabela7101259[[#This Row],[ID /A ± 1E-7 A]]-B30))/2</f>
        <v>63.040810882901013</v>
      </c>
      <c r="X29" s="2">
        <v>-1.8E-3</v>
      </c>
      <c r="Y29" s="16">
        <f>Tabela710124813[[#This Row],[ID /mA ± 1E-4 mA]]*0.001</f>
        <v>-1.7999999999999999E-6</v>
      </c>
      <c r="Z29" s="2">
        <v>-9.9916999999999998</v>
      </c>
      <c r="AA29" s="10">
        <f>Tabela710124813[[#This Row],[VD /V ± 1E-5 V]]/Tabela710124813[[#This Row],[ID /A ± 1E-7 A]]</f>
        <v>5550944.444444445</v>
      </c>
      <c r="AB29" s="2">
        <f>((Tabela710124813[[#This Row],[VD /V ± 1E-5 V]]-Z28)/(Tabela710124813[[#This Row],[ID /A ± 1E-7 A]]-Y28)+(Tabela710124813[[#This Row],[VD /V ± 1E-5 V]]-Z30)/(Tabela710124813[[#This Row],[ID /A ± 1E-7 A]]-Y30))/2</f>
        <v>12157.894736841585</v>
      </c>
    </row>
    <row r="30" spans="1:35" x14ac:dyDescent="0.3">
      <c r="A30" s="2">
        <v>0.44350000000000001</v>
      </c>
      <c r="B30" s="11">
        <f>Tabela7101259[[#This Row],[ID /mA ± 1E-4 mA]]*0.001</f>
        <v>4.4349999999999999E-4</v>
      </c>
      <c r="C30" s="2">
        <v>0.72589000000000004</v>
      </c>
      <c r="D30" s="3">
        <f>LN(Tabela7101259[[#This Row],[ID /A ± 1E-7 A]])</f>
        <v>-7.7208127562146398</v>
      </c>
      <c r="E30" s="39">
        <f t="shared" si="0"/>
        <v>2.2547914317925591E-4</v>
      </c>
      <c r="F30" s="3">
        <f>U$36*Tabela7101259[[#This Row],[VD /V ± 1E-5 V]]+V$36</f>
        <v>-7.7089644039430176</v>
      </c>
      <c r="G30" s="3">
        <f>Tabela7101259[[#This Row],[ln(ID)]]-Tabela7101259[[#This Row],[Ajuste 1 de ln(ID)]]</f>
        <v>-1.1848352271622176E-2</v>
      </c>
      <c r="H30" s="26" t="s">
        <v>2</v>
      </c>
      <c r="I30" s="26" t="s">
        <v>2</v>
      </c>
      <c r="J30" s="56">
        <f>E$51*(EXP(B$52*Tabela7101259[[#This Row],[VD /V ± 1E-5 V]]/(E$48*B$50*B$48))-1)</f>
        <v>4.420055831248786E-4</v>
      </c>
      <c r="K30" s="9" t="s">
        <v>2</v>
      </c>
      <c r="L30" s="51">
        <f>Tabela7101259[[#This Row],[VD /V ± 1E-5 V]]/Tabela7101259[[#This Row],[ID /A ± 1E-7 A]]</f>
        <v>1636.7305524239009</v>
      </c>
      <c r="M30" s="2">
        <f>((Tabela7101259[[#This Row],[VD /V ± 1E-5 V]]-C29)/(Tabela7101259[[#This Row],[ID /A ± 1E-7 A]]-B29)+(Tabela7101259[[#This Row],[VD /V ± 1E-5 V]]-C31)/(Tabela7101259[[#This Row],[ID /A ± 1E-7 A]]-B31))/2</f>
        <v>67.587991718427176</v>
      </c>
      <c r="X30" s="2">
        <v>-1.1999999999999999E-3</v>
      </c>
      <c r="Y30" s="16">
        <f>Tabela710124813[[#This Row],[ID /mA ± 1E-4 mA]]*0.001</f>
        <v>-1.1999999999999999E-6</v>
      </c>
      <c r="Z30" s="2">
        <v>-9.98</v>
      </c>
      <c r="AA30" s="10">
        <f>Tabela710124813[[#This Row],[VD /V ± 1E-5 V]]/Tabela710124813[[#This Row],[ID /A ± 1E-7 A]]</f>
        <v>8316666.666666667</v>
      </c>
      <c r="AB30" s="2"/>
      <c r="AI30" s="16">
        <f>AVERAGE(Y31:Y45)</f>
        <v>-1.2666666666666672E-7</v>
      </c>
    </row>
    <row r="31" spans="1:35" x14ac:dyDescent="0.3">
      <c r="A31" s="2">
        <v>0.40150000000000002</v>
      </c>
      <c r="B31" s="11">
        <f>Tabela7101259[[#This Row],[ID /mA ± 1E-4 mA]]*0.001</f>
        <v>4.0150000000000006E-4</v>
      </c>
      <c r="C31" s="2">
        <v>0.72297</v>
      </c>
      <c r="D31" s="3">
        <f>LN(Tabela7101259[[#This Row],[ID /A ± 1E-7 A]])</f>
        <v>-7.8203030245774574</v>
      </c>
      <c r="E31" s="39">
        <f t="shared" si="0"/>
        <v>2.4906600249066001E-4</v>
      </c>
      <c r="F31" s="3">
        <f>U$36*Tabela7101259[[#This Row],[VD /V ± 1E-5 V]]+V$36</f>
        <v>-7.8046499721711307</v>
      </c>
      <c r="G31" s="3">
        <f>Tabela7101259[[#This Row],[ln(ID)]]-Tabela7101259[[#This Row],[Ajuste 1 de ln(ID)]]</f>
        <v>-1.5653052406326751E-2</v>
      </c>
      <c r="H31" s="26" t="s">
        <v>2</v>
      </c>
      <c r="I31" s="26" t="s">
        <v>2</v>
      </c>
      <c r="J31" s="56">
        <f>E$51*(EXP(B$52*Tabela7101259[[#This Row],[VD /V ± 1E-5 V]]/(E$48*B$50*B$48))-1)</f>
        <v>3.9961042924425299E-4</v>
      </c>
      <c r="K31" s="9" t="s">
        <v>2</v>
      </c>
      <c r="L31" s="51">
        <f>Tabela7101259[[#This Row],[VD /V ± 1E-5 V]]/Tabela7101259[[#This Row],[ID /A ± 1E-7 A]]</f>
        <v>1800.6724782067245</v>
      </c>
      <c r="M31" s="2">
        <f>((Tabela7101259[[#This Row],[VD /V ± 1E-5 V]]-C30)/(Tabela7101259[[#This Row],[ID /A ± 1E-7 A]]-B30)+(Tabela7101259[[#This Row],[VD /V ± 1E-5 V]]-C32)/(Tabela7101259[[#This Row],[ID /A ± 1E-7 A]]-B32))/2</f>
        <v>71.852068696330917</v>
      </c>
      <c r="X31" s="2">
        <v>-2.9999999999999997E-4</v>
      </c>
      <c r="Y31" s="17">
        <f>Tabela710124813[[#This Row],[ID /mA ± 1E-4 mA]]*0.001</f>
        <v>-2.9999999999999999E-7</v>
      </c>
      <c r="Z31" s="2">
        <v>-9.9140999999999995</v>
      </c>
      <c r="AA31" s="11">
        <f>Tabela710124813[[#This Row],[VD /V ± 1E-5 V]]/Tabela710124813[[#This Row],[ID /A ± 1E-7 A]]</f>
        <v>33047000</v>
      </c>
      <c r="AB31" s="2"/>
      <c r="AI31" s="17">
        <f>_xlfn.STDEV.S(Y31:Y45)/SQRT(15)</f>
        <v>1.5327120894696269E-8</v>
      </c>
    </row>
    <row r="32" spans="1:35" x14ac:dyDescent="0.3">
      <c r="A32" s="2">
        <v>0.37709999999999999</v>
      </c>
      <c r="B32" s="11">
        <f>Tabela7101259[[#This Row],[ID /mA ± 1E-4 mA]]*0.001</f>
        <v>3.771E-4</v>
      </c>
      <c r="C32" s="2">
        <v>0.72116000000000002</v>
      </c>
      <c r="D32" s="3">
        <f>LN(Tabela7101259[[#This Row],[ID /A ± 1E-7 A]])</f>
        <v>-7.883000153699963</v>
      </c>
      <c r="E32" s="39">
        <f t="shared" si="0"/>
        <v>2.6518164942985947E-4</v>
      </c>
      <c r="F32" s="3">
        <f>U$36*Tabela7101259[[#This Row],[VD /V ± 1E-5 V]]+V$36</f>
        <v>-7.8639619168604717</v>
      </c>
      <c r="G32" s="3">
        <f>Tabela7101259[[#This Row],[ln(ID)]]-Tabela7101259[[#This Row],[Ajuste 1 de ln(ID)]]</f>
        <v>-1.903823683949124E-2</v>
      </c>
      <c r="H32" s="26" t="s">
        <v>2</v>
      </c>
      <c r="I32" s="26" t="s">
        <v>2</v>
      </c>
      <c r="J32" s="56">
        <f>E$51*(EXP(B$52*Tabela7101259[[#This Row],[VD /V ± 1E-5 V]]/(E$48*B$50*B$48))-1)</f>
        <v>3.7539841058680814E-4</v>
      </c>
      <c r="K32" s="9" t="s">
        <v>2</v>
      </c>
      <c r="L32" s="51">
        <f>Tabela7101259[[#This Row],[VD /V ± 1E-5 V]]/Tabela7101259[[#This Row],[ID /A ± 1E-7 A]]</f>
        <v>1912.3839830283746</v>
      </c>
      <c r="M32" s="2">
        <f>((Tabela7101259[[#This Row],[VD /V ± 1E-5 V]]-C31)/(Tabela7101259[[#This Row],[ID /A ± 1E-7 A]]-B31)+(Tabela7101259[[#This Row],[VD /V ± 1E-5 V]]-C33)/(Tabela7101259[[#This Row],[ID /A ± 1E-7 A]]-B33))/2</f>
        <v>78.093624142037882</v>
      </c>
      <c r="X32" s="2">
        <v>-2.0000000000000001E-4</v>
      </c>
      <c r="Y32" s="17">
        <f>Tabela710124813[[#This Row],[ID /mA ± 1E-4 mA]]*0.001</f>
        <v>-2.0000000000000002E-7</v>
      </c>
      <c r="Z32" s="2">
        <v>-8.7733000000000008</v>
      </c>
      <c r="AA32" s="10">
        <f>Tabela710124813[[#This Row],[VD /V ± 1E-5 V]]/Tabela710124813[[#This Row],[ID /A ± 1E-7 A]]</f>
        <v>43866500</v>
      </c>
      <c r="AB32" s="2" t="e">
        <f>((Tabela710124813[[#This Row],[VD /V ± 1E-5 V]]-Z31)/(Tabela710124813[[#This Row],[ID /A ± 1E-7 A]]-Y31)+(Tabela710124813[[#This Row],[VD /V ± 1E-5 V]]-Z33)/(Tabela710124813[[#This Row],[ID /A ± 1E-7 A]]-Y33))/2</f>
        <v>#DIV/0!</v>
      </c>
    </row>
    <row r="33" spans="1:28" x14ac:dyDescent="0.3">
      <c r="A33" s="2">
        <v>0.34820000000000001</v>
      </c>
      <c r="B33" s="11">
        <f>Tabela7101259[[#This Row],[ID /mA ± 1E-4 mA]]*0.001</f>
        <v>3.4820000000000001E-4</v>
      </c>
      <c r="C33" s="2">
        <v>0.71879000000000004</v>
      </c>
      <c r="D33" s="3">
        <f>LN(Tabela7101259[[#This Row],[ID /A ± 1E-7 A]])</f>
        <v>-7.9627335306301852</v>
      </c>
      <c r="E33" s="39">
        <f t="shared" si="0"/>
        <v>2.8719126938541063E-4</v>
      </c>
      <c r="F33" s="3">
        <f>U$36*Tabela7101259[[#This Row],[VD /V ± 1E-5 V]]+V$36</f>
        <v>-7.9416245184702738</v>
      </c>
      <c r="G33" s="3">
        <f>Tabela7101259[[#This Row],[ln(ID)]]-Tabela7101259[[#This Row],[Ajuste 1 de ln(ID)]]</f>
        <v>-2.1109012159911344E-2</v>
      </c>
      <c r="H33" s="26" t="s">
        <v>2</v>
      </c>
      <c r="I33" s="26" t="s">
        <v>2</v>
      </c>
      <c r="J33" s="56">
        <f>E$51*(EXP(B$52*Tabela7101259[[#This Row],[VD /V ± 1E-5 V]]/(E$48*B$50*B$48))-1)</f>
        <v>3.4589937892955813E-4</v>
      </c>
      <c r="K33" s="9" t="s">
        <v>2</v>
      </c>
      <c r="L33" s="51">
        <f>Tabela7101259[[#This Row],[VD /V ± 1E-5 V]]/Tabela7101259[[#This Row],[ID /A ± 1E-7 A]]</f>
        <v>2064.3021252153935</v>
      </c>
      <c r="M33" s="2">
        <f>((Tabela7101259[[#This Row],[VD /V ± 1E-5 V]]-C32)/(Tabela7101259[[#This Row],[ID /A ± 1E-7 A]]-B32)+(Tabela7101259[[#This Row],[VD /V ± 1E-5 V]]-C34)/(Tabela7101259[[#This Row],[ID /A ± 1E-7 A]]-B34))/2</f>
        <v>85.432808033699104</v>
      </c>
      <c r="X33" s="2">
        <v>-2.0000000000000001E-4</v>
      </c>
      <c r="Y33" s="17">
        <f>Tabela710124813[[#This Row],[ID /mA ± 1E-4 mA]]*0.001</f>
        <v>-2.0000000000000002E-7</v>
      </c>
      <c r="Z33" s="2">
        <v>-7.2455999999999996</v>
      </c>
      <c r="AA33" s="10">
        <f>Tabela710124813[[#This Row],[VD /V ± 1E-5 V]]/Tabela710124813[[#This Row],[ID /A ± 1E-7 A]]</f>
        <v>36227999.999999993</v>
      </c>
      <c r="AB33" s="2" t="e">
        <f>((Tabela710124813[[#This Row],[VD /V ± 1E-5 V]]-Z32)/(Tabela710124813[[#This Row],[ID /A ± 1E-7 A]]-Y32)+(Tabela710124813[[#This Row],[VD /V ± 1E-5 V]]-Z34)/(Tabela710124813[[#This Row],[ID /A ± 1E-7 A]]-Y34))/2</f>
        <v>#DIV/0!</v>
      </c>
    </row>
    <row r="34" spans="1:28" ht="15" thickBot="1" x14ac:dyDescent="0.35">
      <c r="A34" s="2">
        <v>0.31140000000000001</v>
      </c>
      <c r="B34" s="11">
        <f>Tabela7101259[[#This Row],[ID /mA ± 1E-4 mA]]*0.001</f>
        <v>3.1140000000000003E-4</v>
      </c>
      <c r="C34" s="2">
        <v>0.71552000000000004</v>
      </c>
      <c r="D34" s="3">
        <f>LN(Tabela7101259[[#This Row],[ID /A ± 1E-7 A]])</f>
        <v>-8.0744322985643766</v>
      </c>
      <c r="E34" s="39">
        <f t="shared" si="0"/>
        <v>3.2113037893384712E-4</v>
      </c>
      <c r="F34" s="3">
        <f>U$36*Tabela7101259[[#This Row],[VD /V ± 1E-5 V]]+V$36</f>
        <v>-8.0487792472736714</v>
      </c>
      <c r="G34" s="3">
        <f>Tabela7101259[[#This Row],[ln(ID)]]-Tabela7101259[[#This Row],[Ajuste 1 de ln(ID)]]</f>
        <v>-2.5653051290705164E-2</v>
      </c>
      <c r="H34" s="26" t="s">
        <v>2</v>
      </c>
      <c r="I34" s="26" t="s">
        <v>2</v>
      </c>
      <c r="J34" s="56">
        <f>E$51*(EXP(B$52*Tabela7101259[[#This Row],[VD /V ± 1E-5 V]]/(E$48*B$50*B$48))-1)</f>
        <v>3.0896545702090183E-4</v>
      </c>
      <c r="K34" s="9" t="s">
        <v>2</v>
      </c>
      <c r="L34" s="51">
        <f>Tabela7101259[[#This Row],[VD /V ± 1E-5 V]]/Tabela7101259[[#This Row],[ID /A ± 1E-7 A]]</f>
        <v>2297.7520873474627</v>
      </c>
      <c r="M34" s="2">
        <f>((Tabela7101259[[#This Row],[VD /V ± 1E-5 V]]-C33)/(Tabela7101259[[#This Row],[ID /A ± 1E-7 A]]-B33)+(Tabela7101259[[#This Row],[VD /V ± 1E-5 V]]-C35)/(Tabela7101259[[#This Row],[ID /A ± 1E-7 A]]-B35))/2</f>
        <v>94.429347826089085</v>
      </c>
      <c r="X34" s="2">
        <v>-1E-4</v>
      </c>
      <c r="Y34" s="17">
        <f>Tabela710124813[[#This Row],[ID /mA ± 1E-4 mA]]*0.001</f>
        <v>-1.0000000000000001E-7</v>
      </c>
      <c r="Z34" s="2">
        <v>-7.0465999999999998</v>
      </c>
      <c r="AA34" s="10">
        <f>Tabela710124813[[#This Row],[VD /V ± 1E-5 V]]/Tabela710124813[[#This Row],[ID /A ± 1E-7 A]]</f>
        <v>70465999.999999985</v>
      </c>
      <c r="AB34" s="2" t="e">
        <f>((Tabela710124813[[#This Row],[VD /V ± 1E-5 V]]-Z33)/(Tabela710124813[[#This Row],[ID /A ± 1E-7 A]]-Y33)+(Tabela710124813[[#This Row],[VD /V ± 1E-5 V]]-Z35)/(Tabela710124813[[#This Row],[ID /A ± 1E-7 A]]-Y35))/2</f>
        <v>#DIV/0!</v>
      </c>
    </row>
    <row r="35" spans="1:28" ht="15" thickBot="1" x14ac:dyDescent="0.35">
      <c r="A35" s="2">
        <v>0.28989999999999999</v>
      </c>
      <c r="B35" s="11">
        <f>Tabela7101259[[#This Row],[ID /mA ± 1E-4 mA]]*0.001</f>
        <v>2.899E-4</v>
      </c>
      <c r="C35" s="2">
        <v>0.71336999999999995</v>
      </c>
      <c r="D35" s="3">
        <f>LN(Tabela7101259[[#This Row],[ID /A ± 1E-7 A]])</f>
        <v>-8.1459745220366635</v>
      </c>
      <c r="E35" s="39">
        <f t="shared" si="0"/>
        <v>3.4494653328734045E-4</v>
      </c>
      <c r="F35" s="3">
        <f>U$36*Tabela7101259[[#This Row],[VD /V ± 1E-5 V]]+V$36</f>
        <v>-8.1192326622361541</v>
      </c>
      <c r="G35" s="3">
        <f>Tabela7101259[[#This Row],[ln(ID)]]-Tabela7101259[[#This Row],[Ajuste 1 de ln(ID)]]</f>
        <v>-2.674185980050936E-2</v>
      </c>
      <c r="H35" s="26" t="s">
        <v>2</v>
      </c>
      <c r="I35" s="26" t="s">
        <v>2</v>
      </c>
      <c r="J35" s="56">
        <f>E$51*(EXP(B$52*Tabela7101259[[#This Row],[VD /V ± 1E-5 V]]/(E$48*B$50*B$48))-1)</f>
        <v>2.8685775636920474E-4</v>
      </c>
      <c r="K35" s="9" t="s">
        <v>2</v>
      </c>
      <c r="L35" s="51">
        <f>Tabela7101259[[#This Row],[VD /V ± 1E-5 V]]/Tabela7101259[[#This Row],[ID /A ± 1E-7 A]]</f>
        <v>2460.7450845119006</v>
      </c>
      <c r="M35" s="2">
        <f>((Tabela7101259[[#This Row],[VD /V ± 1E-5 V]]-C34)/(Tabela7101259[[#This Row],[ID /A ± 1E-7 A]]-B34)+(Tabela7101259[[#This Row],[VD /V ± 1E-5 V]]-C36)/(Tabela7101259[[#This Row],[ID /A ± 1E-7 A]]-B36))/2</f>
        <v>104.16666666666785</v>
      </c>
      <c r="T35" s="44" t="s">
        <v>9</v>
      </c>
      <c r="U35" s="45"/>
      <c r="V35" s="45"/>
      <c r="W35" s="46"/>
      <c r="X35" s="2">
        <v>-1E-4</v>
      </c>
      <c r="Y35" s="17">
        <f>Tabela710124813[[#This Row],[ID /mA ± 1E-4 mA]]*0.001</f>
        <v>-1.0000000000000001E-7</v>
      </c>
      <c r="Z35" s="2">
        <v>-6.8579999999999997</v>
      </c>
      <c r="AA35" s="10">
        <f>Tabela710124813[[#This Row],[VD /V ± 1E-5 V]]/Tabela710124813[[#This Row],[ID /A ± 1E-7 A]]</f>
        <v>68579999.999999985</v>
      </c>
      <c r="AB35" s="2" t="e">
        <f>((Tabela710124813[[#This Row],[VD /V ± 1E-5 V]]-Z34)/(Tabela710124813[[#This Row],[ID /A ± 1E-7 A]]-Y34)+(Tabela710124813[[#This Row],[VD /V ± 1E-5 V]]-Z36)/(Tabela710124813[[#This Row],[ID /A ± 1E-7 A]]-Y36))/2</f>
        <v>#DIV/0!</v>
      </c>
    </row>
    <row r="36" spans="1:28" x14ac:dyDescent="0.3">
      <c r="A36" s="2">
        <v>0.25869999999999999</v>
      </c>
      <c r="B36" s="11">
        <f>Tabela7101259[[#This Row],[ID /mA ± 1E-4 mA]]*0.001</f>
        <v>2.587E-4</v>
      </c>
      <c r="C36" s="2">
        <v>0.70999000000000001</v>
      </c>
      <c r="D36" s="3">
        <f>LN(Tabela7101259[[#This Row],[ID /A ± 1E-7 A]])</f>
        <v>-8.2598414687722901</v>
      </c>
      <c r="E36" s="39">
        <f t="shared" si="0"/>
        <v>3.8654812524159255E-4</v>
      </c>
      <c r="F36" s="3">
        <f>U$36*Tabela7101259[[#This Row],[VD /V ± 1E-5 V]]+V$36</f>
        <v>-8.2299919843632097</v>
      </c>
      <c r="G36" s="3">
        <f>Tabela7101259[[#This Row],[ln(ID)]]-Tabela7101259[[#This Row],[Ajuste 1 de ln(ID)]]</f>
        <v>-2.9849484409080418E-2</v>
      </c>
      <c r="H36" s="26" t="s">
        <v>2</v>
      </c>
      <c r="I36" s="26" t="s">
        <v>2</v>
      </c>
      <c r="J36" s="56">
        <f>E$51*(EXP(B$52*Tabela7101259[[#This Row],[VD /V ± 1E-5 V]]/(E$48*B$50*B$48))-1)</f>
        <v>2.5525666070448644E-4</v>
      </c>
      <c r="K36" s="9" t="s">
        <v>2</v>
      </c>
      <c r="L36" s="51">
        <f>Tabela7101259[[#This Row],[VD /V ± 1E-5 V]]/Tabela7101259[[#This Row],[ID /A ± 1E-7 A]]</f>
        <v>2744.453034402783</v>
      </c>
      <c r="M36" s="2">
        <f>((Tabela7101259[[#This Row],[VD /V ± 1E-5 V]]-C35)/(Tabela7101259[[#This Row],[ID /A ± 1E-7 A]]-B35)+(Tabela7101259[[#This Row],[VD /V ± 1E-5 V]]-C37)/(Tabela7101259[[#This Row],[ID /A ± 1E-7 A]]-B37))/2</f>
        <v>115.95643939393793</v>
      </c>
      <c r="T36" s="40" t="s">
        <v>3</v>
      </c>
      <c r="U36" s="60" cm="1">
        <f t="array" ref="U36:V40">LINEST(Tabela7101259[ln(ID)],Tabela7101259[VD /V ± 1E-5 V],1,1)</f>
        <v>32.769030215106369</v>
      </c>
      <c r="V36" s="60">
        <v>-31.495675746786581</v>
      </c>
      <c r="W36" s="42" t="s">
        <v>6</v>
      </c>
      <c r="X36" s="2">
        <v>-1E-4</v>
      </c>
      <c r="Y36" s="17">
        <f>Tabela710124813[[#This Row],[ID /mA ± 1E-4 mA]]*0.001</f>
        <v>-1.0000000000000001E-7</v>
      </c>
      <c r="Z36" s="2">
        <v>-6.2729999999999997</v>
      </c>
      <c r="AA36" s="10">
        <f>Tabela710124813[[#This Row],[VD /V ± 1E-5 V]]/Tabela710124813[[#This Row],[ID /A ± 1E-7 A]]</f>
        <v>62729999.999999993</v>
      </c>
      <c r="AB36" s="2" t="e">
        <f>((Tabela710124813[[#This Row],[VD /V ± 1E-5 V]]-Z35)/(Tabela710124813[[#This Row],[ID /A ± 1E-7 A]]-Y35)+(Tabela710124813[[#This Row],[VD /V ± 1E-5 V]]-Z37)/(Tabela710124813[[#This Row],[ID /A ± 1E-7 A]]-Y37))/2</f>
        <v>#DIV/0!</v>
      </c>
    </row>
    <row r="37" spans="1:28" x14ac:dyDescent="0.3">
      <c r="A37" s="2">
        <v>0.2235</v>
      </c>
      <c r="B37" s="11">
        <f>Tabela7101259[[#This Row],[ID /mA ± 1E-4 mA]]*0.001</f>
        <v>2.2350000000000001E-4</v>
      </c>
      <c r="C37" s="2">
        <v>0.70564000000000004</v>
      </c>
      <c r="D37" s="3">
        <f>LN(Tabela7101259[[#This Row],[ID /A ± 1E-7 A]])</f>
        <v>-8.4060991439106498</v>
      </c>
      <c r="E37" s="39">
        <f t="shared" si="0"/>
        <v>4.4742729306487686E-4</v>
      </c>
      <c r="F37" s="3">
        <f>U$36*Tabela7101259[[#This Row],[VD /V ± 1E-5 V]]+V$36</f>
        <v>-8.3725372657989219</v>
      </c>
      <c r="G37" s="3">
        <f>Tabela7101259[[#This Row],[ln(ID)]]-Tabela7101259[[#This Row],[Ajuste 1 de ln(ID)]]</f>
        <v>-3.356187811172795E-2</v>
      </c>
      <c r="H37" s="26" t="s">
        <v>2</v>
      </c>
      <c r="I37" s="26" t="s">
        <v>2</v>
      </c>
      <c r="J37" s="56">
        <f>E$51*(EXP(B$52*Tabela7101259[[#This Row],[VD /V ± 1E-5 V]]/(E$48*B$50*B$48))-1)</f>
        <v>2.1965473972574321E-4</v>
      </c>
      <c r="K37" s="9" t="s">
        <v>2</v>
      </c>
      <c r="L37" s="51">
        <f>Tabela7101259[[#This Row],[VD /V ± 1E-5 V]]/Tabela7101259[[#This Row],[ID /A ± 1E-7 A]]</f>
        <v>3157.2259507829976</v>
      </c>
      <c r="M37" s="2">
        <f>((Tabela7101259[[#This Row],[VD /V ± 1E-5 V]]-C36)/(Tabela7101259[[#This Row],[ID /A ± 1E-7 A]]-B36)+(Tabela7101259[[#This Row],[VD /V ± 1E-5 V]]-C38)/(Tabela7101259[[#This Row],[ID /A ± 1E-7 A]]-B38))/2</f>
        <v>133.19128787878833</v>
      </c>
      <c r="T37" s="41" t="s">
        <v>4</v>
      </c>
      <c r="U37" s="61">
        <v>0.14110724295056848</v>
      </c>
      <c r="V37" s="61">
        <v>0.10194807422910782</v>
      </c>
      <c r="W37" s="43" t="s">
        <v>7</v>
      </c>
      <c r="X37" s="2">
        <v>-1E-4</v>
      </c>
      <c r="Y37" s="17">
        <f>Tabela710124813[[#This Row],[ID /mA ± 1E-4 mA]]*0.001</f>
        <v>-1.0000000000000001E-7</v>
      </c>
      <c r="Z37" s="2">
        <v>-5.3952</v>
      </c>
      <c r="AA37" s="10">
        <f>Tabela710124813[[#This Row],[VD /V ± 1E-5 V]]/Tabela710124813[[#This Row],[ID /A ± 1E-7 A]]</f>
        <v>53951999.999999993</v>
      </c>
      <c r="AB37" s="2" t="e">
        <f>((Tabela710124813[[#This Row],[VD /V ± 1E-5 V]]-Z36)/(Tabela710124813[[#This Row],[ID /A ± 1E-7 A]]-Y36)+(Tabela710124813[[#This Row],[VD /V ± 1E-5 V]]-Z38)/(Tabela710124813[[#This Row],[ID /A ± 1E-7 A]]-Y38))/2</f>
        <v>#DIV/0!</v>
      </c>
    </row>
    <row r="38" spans="1:28" ht="15" thickBot="1" x14ac:dyDescent="0.35">
      <c r="A38" s="2">
        <v>0.1971</v>
      </c>
      <c r="B38" s="11">
        <f>Tabela7101259[[#This Row],[ID /mA ± 1E-4 mA]]*0.001</f>
        <v>1.9709999999999999E-4</v>
      </c>
      <c r="C38" s="2">
        <v>0.70186999999999999</v>
      </c>
      <c r="D38" s="3">
        <f>LN(Tabela7101259[[#This Row],[ID /A ± 1E-7 A]])</f>
        <v>-8.5317993438056003</v>
      </c>
      <c r="E38" s="39">
        <f t="shared" si="0"/>
        <v>5.0735667174023336E-4</v>
      </c>
      <c r="F38" s="3">
        <f>U$36*Tabela7101259[[#This Row],[VD /V ± 1E-5 V]]+V$36</f>
        <v>-8.4960765097098729</v>
      </c>
      <c r="G38" s="3">
        <f>Tabela7101259[[#This Row],[ln(ID)]]-Tabela7101259[[#This Row],[Ajuste 1 de ln(ID)]]</f>
        <v>-3.5722834095727407E-2</v>
      </c>
      <c r="H38" s="26" t="s">
        <v>2</v>
      </c>
      <c r="I38" s="26" t="s">
        <v>2</v>
      </c>
      <c r="J38" s="56">
        <f>E$51*(EXP(B$52*Tabela7101259[[#This Row],[VD /V ± 1E-5 V]]/(E$48*B$50*B$48))-1)</f>
        <v>1.9284228775636678E-4</v>
      </c>
      <c r="K38" s="9" t="s">
        <v>2</v>
      </c>
      <c r="L38" s="51">
        <f>Tabela7101259[[#This Row],[VD /V ± 1E-5 V]]/Tabela7101259[[#This Row],[ID /A ± 1E-7 A]]</f>
        <v>3560.9842719431763</v>
      </c>
      <c r="M38" s="2">
        <f>((Tabela7101259[[#This Row],[VD /V ± 1E-5 V]]-C37)/(Tabela7101259[[#This Row],[ID /A ± 1E-7 A]]-B37)+(Tabela7101259[[#This Row],[VD /V ± 1E-5 V]]-C39)/(Tabela7101259[[#This Row],[ID /A ± 1E-7 A]]-B39))/2</f>
        <v>153.35039694065301</v>
      </c>
      <c r="T38" s="19" t="s">
        <v>5</v>
      </c>
      <c r="U38" s="59">
        <v>0.99925884434375922</v>
      </c>
      <c r="V38" s="62">
        <v>2.9742352238215339E-2</v>
      </c>
      <c r="W38" s="23" t="s">
        <v>8</v>
      </c>
      <c r="X38" s="2">
        <v>-1E-4</v>
      </c>
      <c r="Y38" s="17">
        <f>Tabela710124813[[#This Row],[ID /mA ± 1E-4 mA]]*0.001</f>
        <v>-1.0000000000000001E-7</v>
      </c>
      <c r="Z38" s="2">
        <v>-4.8470000000000004</v>
      </c>
      <c r="AA38" s="10">
        <f>Tabela710124813[[#This Row],[VD /V ± 1E-5 V]]/Tabela710124813[[#This Row],[ID /A ± 1E-7 A]]</f>
        <v>48470000</v>
      </c>
      <c r="AB38" s="2" t="e">
        <f>((Tabela710124813[[#This Row],[VD /V ± 1E-5 V]]-Z37)/(Tabela710124813[[#This Row],[ID /A ± 1E-7 A]]-Y37)+(Tabela710124813[[#This Row],[VD /V ± 1E-5 V]]-Z39)/(Tabela710124813[[#This Row],[ID /A ± 1E-7 A]]-Y39))/2</f>
        <v>#DIV/0!</v>
      </c>
    </row>
    <row r="39" spans="1:28" x14ac:dyDescent="0.3">
      <c r="A39" s="2">
        <v>0.1658</v>
      </c>
      <c r="B39" s="11">
        <f>Tabela7101259[[#This Row],[ID /mA ± 1E-4 mA]]*0.001</f>
        <v>1.6580000000000002E-4</v>
      </c>
      <c r="C39" s="2">
        <v>0.69674000000000003</v>
      </c>
      <c r="D39" s="3">
        <f>LN(Tabela7101259[[#This Row],[ID /A ± 1E-7 A]])</f>
        <v>-8.704728315263079</v>
      </c>
      <c r="E39" s="39">
        <f t="shared" si="0"/>
        <v>6.0313630880578996E-4</v>
      </c>
      <c r="F39" s="3">
        <f>U$36*Tabela7101259[[#This Row],[VD /V ± 1E-5 V]]+V$36</f>
        <v>-8.6641816347133691</v>
      </c>
      <c r="G39" s="3">
        <f>Tabela7101259[[#This Row],[ln(ID)]]-Tabela7101259[[#This Row],[Ajuste 1 de ln(ID)]]</f>
        <v>-4.054668054970989E-2</v>
      </c>
      <c r="H39" s="26" t="s">
        <v>2</v>
      </c>
      <c r="I39" s="26" t="s">
        <v>2</v>
      </c>
      <c r="J39" s="56">
        <f>E$51*(EXP(B$52*Tabela7101259[[#This Row],[VD /V ± 1E-5 V]]/(E$48*B$50*B$48))-1)</f>
        <v>1.6153557815107373E-4</v>
      </c>
      <c r="K39" s="9" t="s">
        <v>2</v>
      </c>
      <c r="L39" s="51">
        <f>Tabela7101259[[#This Row],[VD /V ± 1E-5 V]]/Tabela7101259[[#This Row],[ID /A ± 1E-7 A]]</f>
        <v>4202.2919179734618</v>
      </c>
      <c r="M39" s="2">
        <f>((Tabela7101259[[#This Row],[VD /V ± 1E-5 V]]-C38)/(Tabela7101259[[#This Row],[ID /A ± 1E-7 A]]-B38)+(Tabela7101259[[#This Row],[VD /V ± 1E-5 V]]-C40)/(Tabela7101259[[#This Row],[ID /A ± 1E-7 A]]-B40))/2</f>
        <v>184.24245977078789</v>
      </c>
      <c r="U39">
        <v>53929.769593190555</v>
      </c>
      <c r="V39">
        <v>40</v>
      </c>
      <c r="X39" s="2">
        <v>-1E-4</v>
      </c>
      <c r="Y39" s="17">
        <f>Tabela710124813[[#This Row],[ID /mA ± 1E-4 mA]]*0.001</f>
        <v>-1.0000000000000001E-7</v>
      </c>
      <c r="Z39" s="2">
        <v>-4.0640999999999998</v>
      </c>
      <c r="AA39" s="10">
        <f>Tabela710124813[[#This Row],[VD /V ± 1E-5 V]]/Tabela710124813[[#This Row],[ID /A ± 1E-7 A]]</f>
        <v>40640999.999999993</v>
      </c>
      <c r="AB39" s="2" t="e">
        <f>((Tabela710124813[[#This Row],[VD /V ± 1E-5 V]]-Z38)/(Tabela710124813[[#This Row],[ID /A ± 1E-7 A]]-Y38)+(Tabela710124813[[#This Row],[VD /V ± 1E-5 V]]-Z40)/(Tabela710124813[[#This Row],[ID /A ± 1E-7 A]]-Y40))/2</f>
        <v>#DIV/0!</v>
      </c>
    </row>
    <row r="40" spans="1:28" x14ac:dyDescent="0.3">
      <c r="A40" s="2">
        <v>0.1331</v>
      </c>
      <c r="B40" s="11">
        <f>Tabela7101259[[#This Row],[ID /mA ± 1E-4 mA]]*0.001</f>
        <v>1.3310000000000001E-4</v>
      </c>
      <c r="C40" s="2">
        <v>0.69005000000000005</v>
      </c>
      <c r="D40" s="3">
        <f>LN(Tabela7101259[[#This Row],[ID /A ± 1E-7 A]])</f>
        <v>-8.9244098325632084</v>
      </c>
      <c r="E40" s="39">
        <f t="shared" si="0"/>
        <v>7.5131480090157769E-4</v>
      </c>
      <c r="F40" s="3">
        <f>U$36*Tabela7101259[[#This Row],[VD /V ± 1E-5 V]]+V$36</f>
        <v>-8.8834064468524296</v>
      </c>
      <c r="G40" s="3">
        <f>Tabela7101259[[#This Row],[ln(ID)]]-Tabela7101259[[#This Row],[Ajuste 1 de ln(ID)]]</f>
        <v>-4.1003385710778772E-2</v>
      </c>
      <c r="H40" s="26" t="s">
        <v>2</v>
      </c>
      <c r="I40" s="26" t="s">
        <v>2</v>
      </c>
      <c r="J40" s="56">
        <f>E$51*(EXP(B$52*Tabela7101259[[#This Row],[VD /V ± 1E-5 V]]/(E$48*B$50*B$48))-1)</f>
        <v>1.2821503213072637E-4</v>
      </c>
      <c r="K40" s="9" t="s">
        <v>2</v>
      </c>
      <c r="L40" s="51">
        <f>Tabela7101259[[#This Row],[VD /V ± 1E-5 V]]/Tabela7101259[[#This Row],[ID /A ± 1E-7 A]]</f>
        <v>5184.4477836213373</v>
      </c>
      <c r="M40" s="2">
        <f>((Tabela7101259[[#This Row],[VD /V ± 1E-5 V]]-C39)/(Tabela7101259[[#This Row],[ID /A ± 1E-7 A]]-B39)+(Tabela7101259[[#This Row],[VD /V ± 1E-5 V]]-C41)/(Tabela7101259[[#This Row],[ID /A ± 1E-7 A]]-B41))/2</f>
        <v>227.50366201526595</v>
      </c>
      <c r="U40">
        <v>47.706679553990078</v>
      </c>
      <c r="V40">
        <v>3.5384300666482925E-2</v>
      </c>
      <c r="X40" s="2">
        <v>-1E-4</v>
      </c>
      <c r="Y40" s="17">
        <f>Tabela710124813[[#This Row],[ID /mA ± 1E-4 mA]]*0.001</f>
        <v>-1.0000000000000001E-7</v>
      </c>
      <c r="Z40" s="2">
        <v>-3.4903</v>
      </c>
      <c r="AA40" s="10">
        <f>Tabela710124813[[#This Row],[VD /V ± 1E-5 V]]/Tabela710124813[[#This Row],[ID /A ± 1E-7 A]]</f>
        <v>34903000</v>
      </c>
      <c r="AB40" s="2" t="e">
        <f>((Tabela710124813[[#This Row],[VD /V ± 1E-5 V]]-Z39)/(Tabela710124813[[#This Row],[ID /A ± 1E-7 A]]-Y39)+(Tabela710124813[[#This Row],[VD /V ± 1E-5 V]]-Z41)/(Tabela710124813[[#This Row],[ID /A ± 1E-7 A]]-Y41))/2</f>
        <v>#DIV/0!</v>
      </c>
    </row>
    <row r="41" spans="1:28" x14ac:dyDescent="0.3">
      <c r="A41" s="2">
        <v>0.10929999999999999</v>
      </c>
      <c r="B41" s="11">
        <f>Tabela7101259[[#This Row],[ID /mA ± 1E-4 mA]]*0.001</f>
        <v>1.093E-4</v>
      </c>
      <c r="C41" s="2">
        <v>0.68408999999999998</v>
      </c>
      <c r="D41" s="3">
        <f>LN(Tabela7101259[[#This Row],[ID /A ± 1E-7 A]])</f>
        <v>-9.1214141627817806</v>
      </c>
      <c r="E41" s="39">
        <f t="shared" si="0"/>
        <v>9.1491308325709051E-4</v>
      </c>
      <c r="F41" s="3">
        <f>U$36*Tabela7101259[[#This Row],[VD /V ± 1E-5 V]]+V$36</f>
        <v>-9.0787098669344672</v>
      </c>
      <c r="G41" s="3">
        <f>Tabela7101259[[#This Row],[ln(ID)]]-Tabela7101259[[#This Row],[Ajuste 1 de ln(ID)]]</f>
        <v>-4.2704295847313389E-2</v>
      </c>
      <c r="H41" s="26" t="s">
        <v>2</v>
      </c>
      <c r="I41" s="26" t="s">
        <v>2</v>
      </c>
      <c r="J41" s="56">
        <f>E$51*(EXP(B$52*Tabela7101259[[#This Row],[VD /V ± 1E-5 V]]/(E$48*B$50*B$48))-1)</f>
        <v>1.0436561482237967E-4</v>
      </c>
      <c r="K41" s="9" t="s">
        <v>2</v>
      </c>
      <c r="L41" s="51">
        <f>Tabela7101259[[#This Row],[VD /V ± 1E-5 V]]/Tabela7101259[[#This Row],[ID /A ± 1E-7 A]]</f>
        <v>6258.8289112534303</v>
      </c>
      <c r="M41" s="2">
        <f>((Tabela7101259[[#This Row],[VD /V ± 1E-5 V]]-C40)/(Tabela7101259[[#This Row],[ID /A ± 1E-7 A]]-B40)+(Tabela7101259[[#This Row],[VD /V ± 1E-5 V]]-C42)/(Tabela7101259[[#This Row],[ID /A ± 1E-7 A]]-B42))/2</f>
        <v>297.9965423669484</v>
      </c>
      <c r="X41" s="2">
        <v>-1E-4</v>
      </c>
      <c r="Y41" s="17">
        <f>Tabela710124813[[#This Row],[ID /mA ± 1E-4 mA]]*0.001</f>
        <v>-1.0000000000000001E-7</v>
      </c>
      <c r="Z41" s="2">
        <v>-2.7616999999999998</v>
      </c>
      <c r="AA41" s="10">
        <f>Tabela710124813[[#This Row],[VD /V ± 1E-5 V]]/Tabela710124813[[#This Row],[ID /A ± 1E-7 A]]</f>
        <v>27616999.999999996</v>
      </c>
      <c r="AB41" s="2" t="e">
        <f>((Tabela710124813[[#This Row],[VD /V ± 1E-5 V]]-Z40)/(Tabela710124813[[#This Row],[ID /A ± 1E-7 A]]-Y40)+(Tabela710124813[[#This Row],[VD /V ± 1E-5 V]]-Z42)/(Tabela710124813[[#This Row],[ID /A ± 1E-7 A]]-Y42))/2</f>
        <v>#DIV/0!</v>
      </c>
    </row>
    <row r="42" spans="1:28" x14ac:dyDescent="0.3">
      <c r="A42" s="2">
        <v>7.0900000000000005E-2</v>
      </c>
      <c r="B42" s="10">
        <f>Tabela7101259[[#This Row],[ID /mA ± 1E-4 mA]]*0.001</f>
        <v>7.0900000000000002E-5</v>
      </c>
      <c r="C42" s="2">
        <v>0.67081999999999997</v>
      </c>
      <c r="D42" s="3">
        <f>LN(Tabela7101259[[#This Row],[ID /A ± 1E-7 A]])</f>
        <v>-9.5542401244261921</v>
      </c>
      <c r="E42" s="39">
        <f t="shared" si="0"/>
        <v>1.4104372355430183E-3</v>
      </c>
      <c r="F42" s="3">
        <f>U$36*Tabela7101259[[#This Row],[VD /V ± 1E-5 V]]+V$36</f>
        <v>-9.5135548978889268</v>
      </c>
      <c r="G42" s="3">
        <f>Tabela7101259[[#This Row],[ln(ID)]]-Tabela7101259[[#This Row],[Ajuste 1 de ln(ID)]]</f>
        <v>-4.0685226537265251E-2</v>
      </c>
      <c r="H42" s="26" t="s">
        <v>2</v>
      </c>
      <c r="I42" s="26" t="s">
        <v>2</v>
      </c>
      <c r="J42" s="56">
        <f>E$51*(EXP(B$52*Tabela7101259[[#This Row],[VD /V ± 1E-5 V]]/(E$48*B$50*B$48))-1)</f>
        <v>6.6000709607806372E-5</v>
      </c>
      <c r="K42" s="9" t="s">
        <v>2</v>
      </c>
      <c r="L42" s="51">
        <f>Tabela7101259[[#This Row],[VD /V ± 1E-5 V]]/Tabela7101259[[#This Row],[ID /A ± 1E-7 A]]</f>
        <v>9461.4950634696743</v>
      </c>
      <c r="M42" s="2">
        <f>((Tabela7101259[[#This Row],[VD /V ± 1E-5 V]]-C41)/(Tabela7101259[[#This Row],[ID /A ± 1E-7 A]]-B41)+(Tabela7101259[[#This Row],[VD /V ± 1E-5 V]]-C43)/(Tabela7101259[[#This Row],[ID /A ± 1E-7 A]]-B43))/2</f>
        <v>454.26127847721716</v>
      </c>
      <c r="X42" s="2">
        <v>-1E-4</v>
      </c>
      <c r="Y42" s="17">
        <f>Tabela710124813[[#This Row],[ID /mA ± 1E-4 mA]]*0.001</f>
        <v>-1.0000000000000001E-7</v>
      </c>
      <c r="Z42" s="2">
        <v>-2.1534</v>
      </c>
      <c r="AA42" s="10">
        <f>Tabela710124813[[#This Row],[VD /V ± 1E-5 V]]/Tabela710124813[[#This Row],[ID /A ± 1E-7 A]]</f>
        <v>21533999.999999996</v>
      </c>
      <c r="AB42" s="2" t="e">
        <f>((Tabela710124813[[#This Row],[VD /V ± 1E-5 V]]-Z41)/(Tabela710124813[[#This Row],[ID /A ± 1E-7 A]]-Y41)+(Tabela710124813[[#This Row],[VD /V ± 1E-5 V]]-Z43)/(Tabela710124813[[#This Row],[ID /A ± 1E-7 A]]-Y43))/2</f>
        <v>#DIV/0!</v>
      </c>
    </row>
    <row r="43" spans="1:28" x14ac:dyDescent="0.3">
      <c r="A43" s="2">
        <v>4.3099999999999999E-2</v>
      </c>
      <c r="B43" s="10">
        <f>Tabela7101259[[#This Row],[ID /mA ± 1E-4 mA]]*0.001</f>
        <v>4.3099999999999997E-5</v>
      </c>
      <c r="C43" s="2">
        <v>0.65517000000000003</v>
      </c>
      <c r="D43" s="3">
        <f>LN(Tabela7101259[[#This Row],[ID /A ± 1E-7 A]])</f>
        <v>-10.051987560854572</v>
      </c>
      <c r="E43" s="39">
        <f t="shared" si="0"/>
        <v>2.3201856148491878E-3</v>
      </c>
      <c r="F43" s="3">
        <f>U$36*Tabela7101259[[#This Row],[VD /V ± 1E-5 V]]+V$36</f>
        <v>-10.026390220755342</v>
      </c>
      <c r="G43" s="3">
        <f>Tabela7101259[[#This Row],[ln(ID)]]-Tabela7101259[[#This Row],[Ajuste 1 de ln(ID)]]</f>
        <v>-2.5597340099229982E-2</v>
      </c>
      <c r="H43" s="26" t="s">
        <v>2</v>
      </c>
      <c r="I43" s="26" t="s">
        <v>2</v>
      </c>
      <c r="J43" s="56">
        <f>E$51*(EXP(B$52*Tabela7101259[[#This Row],[VD /V ± 1E-5 V]]/(E$48*B$50*B$48))-1)</f>
        <v>3.8445645546975368E-5</v>
      </c>
      <c r="K43" s="9" t="s">
        <v>2</v>
      </c>
      <c r="L43" s="51">
        <f>Tabela7101259[[#This Row],[VD /V ± 1E-5 V]]/Tabela7101259[[#This Row],[ID /A ± 1E-7 A]]</f>
        <v>15201.160092807426</v>
      </c>
      <c r="M43" s="2">
        <f>((Tabela7101259[[#This Row],[VD /V ± 1E-5 V]]-C42)/(Tabela7101259[[#This Row],[ID /A ± 1E-7 A]]-B42)+(Tabela7101259[[#This Row],[VD /V ± 1E-5 V]]-C44)/(Tabela7101259[[#This Row],[ID /A ± 1E-7 A]]-B44))/2</f>
        <v>782.46984501950692</v>
      </c>
      <c r="X43" s="2">
        <v>-1E-4</v>
      </c>
      <c r="Y43" s="17">
        <f>Tabela710124813[[#This Row],[ID /mA ± 1E-4 mA]]*0.001</f>
        <v>-1.0000000000000001E-7</v>
      </c>
      <c r="Z43" s="2">
        <v>-1.4632000000000001</v>
      </c>
      <c r="AA43" s="10">
        <f>Tabela710124813[[#This Row],[VD /V ± 1E-5 V]]/Tabela710124813[[#This Row],[ID /A ± 1E-7 A]]</f>
        <v>14632000</v>
      </c>
      <c r="AB43" s="2" t="e">
        <f>((Tabela710124813[[#This Row],[VD /V ± 1E-5 V]]-Z42)/(Tabela710124813[[#This Row],[ID /A ± 1E-7 A]]-Y42)+(Tabela710124813[[#This Row],[VD /V ± 1E-5 V]]-Z44)/(Tabela710124813[[#This Row],[ID /A ± 1E-7 A]]-Y44))/2</f>
        <v>#DIV/0!</v>
      </c>
    </row>
    <row r="44" spans="1:28" x14ac:dyDescent="0.3">
      <c r="A44" s="2">
        <v>2.3E-2</v>
      </c>
      <c r="B44" s="10">
        <f>Tabela7101259[[#This Row],[ID /mA ± 1E-4 mA]]*0.001</f>
        <v>2.3E-5</v>
      </c>
      <c r="C44" s="2">
        <v>0.63502999999999998</v>
      </c>
      <c r="D44" s="3">
        <f>LN(Tabela7101259[[#This Row],[ID /A ± 1E-7 A]])</f>
        <v>-10.680016342035124</v>
      </c>
      <c r="E44" s="39">
        <f t="shared" si="0"/>
        <v>4.3478260869565218E-3</v>
      </c>
      <c r="F44" s="3">
        <f>U$36*Tabela7101259[[#This Row],[VD /V ± 1E-5 V]]+V$36</f>
        <v>-10.686358489287585</v>
      </c>
      <c r="G44" s="3">
        <f>Tabela7101259[[#This Row],[ln(ID)]]-Tabela7101259[[#This Row],[Ajuste 1 de ln(ID)]]</f>
        <v>6.3421472524609612E-3</v>
      </c>
      <c r="H44" s="26" t="s">
        <v>2</v>
      </c>
      <c r="I44" s="26" t="s">
        <v>2</v>
      </c>
      <c r="J44" s="56">
        <f>E$51*(EXP(B$52*Tabela7101259[[#This Row],[VD /V ± 1E-5 V]]/(E$48*B$50*B$48))-1)</f>
        <v>1.9178279344019496E-5</v>
      </c>
      <c r="K44" s="9" t="s">
        <v>2</v>
      </c>
      <c r="L44" s="51">
        <f>Tabela7101259[[#This Row],[VD /V ± 1E-5 V]]/Tabela7101259[[#This Row],[ID /A ± 1E-7 A]]</f>
        <v>27610</v>
      </c>
      <c r="M44" s="2">
        <f>((Tabela7101259[[#This Row],[VD /V ± 1E-5 V]]-C43)/(Tabela7101259[[#This Row],[ID /A ± 1E-7 A]]-B43)+(Tabela7101259[[#This Row],[VD /V ± 1E-5 V]]-C45)/(Tabela7101259[[#This Row],[ID /A ± 1E-7 A]]-B45))/2</f>
        <v>1739.2861641161294</v>
      </c>
      <c r="X44" s="2">
        <v>-1E-4</v>
      </c>
      <c r="Y44" s="17">
        <f>Tabela710124813[[#This Row],[ID /mA ± 1E-4 mA]]*0.001</f>
        <v>-1.0000000000000001E-7</v>
      </c>
      <c r="Z44" s="2">
        <v>-0.95830000000000004</v>
      </c>
      <c r="AA44" s="10">
        <f>Tabela710124813[[#This Row],[VD /V ± 1E-5 V]]/Tabela710124813[[#This Row],[ID /A ± 1E-7 A]]</f>
        <v>9583000</v>
      </c>
      <c r="AB44" s="2" t="e">
        <f>((Tabela710124813[[#This Row],[VD /V ± 1E-5 V]]-Z43)/(Tabela710124813[[#This Row],[ID /A ± 1E-7 A]]-Y43)+(Tabela710124813[[#This Row],[VD /V ± 1E-5 V]]-Z45)/(Tabela710124813[[#This Row],[ID /A ± 1E-7 A]]-Y45))/2</f>
        <v>#DIV/0!</v>
      </c>
    </row>
    <row r="45" spans="1:28" x14ac:dyDescent="0.3">
      <c r="A45" s="2">
        <v>7.1999999999999998E-3</v>
      </c>
      <c r="B45" s="16">
        <f>Tabela7101259[[#This Row],[ID /mA ± 1E-4 mA]]*0.001</f>
        <v>7.1999999999999997E-6</v>
      </c>
      <c r="C45" s="2">
        <v>0.59589999999999999</v>
      </c>
      <c r="D45" s="3">
        <f>LN(Tabela7101259[[#This Row],[ID /A ± 1E-7 A]])</f>
        <v>-11.841429531942264</v>
      </c>
      <c r="E45" s="39">
        <f t="shared" si="0"/>
        <v>1.388888888888889E-2</v>
      </c>
      <c r="F45" s="3">
        <f>U$36*Tabela7101259[[#This Row],[VD /V ± 1E-5 V]]+V$36</f>
        <v>-11.968610641604698</v>
      </c>
      <c r="G45" s="3">
        <f>Tabela7101259[[#This Row],[ln(ID)]]-Tabela7101259[[#This Row],[Ajuste 1 de ln(ID)]]</f>
        <v>0.12718110966243401</v>
      </c>
      <c r="H45" s="26" t="s">
        <v>2</v>
      </c>
      <c r="I45" s="26" t="s">
        <v>2</v>
      </c>
      <c r="J45" s="56">
        <f>E$51*(EXP(B$52*Tabela7101259[[#This Row],[VD /V ± 1E-5 V]]/(E$48*B$50*B$48))-1)</f>
        <v>4.9657063889071084E-6</v>
      </c>
      <c r="K45" s="9" t="s">
        <v>2</v>
      </c>
      <c r="L45" s="51">
        <f>Tabela7101259[[#This Row],[VD /V ± 1E-5 V]]/Tabela7101259[[#This Row],[ID /A ± 1E-7 A]]</f>
        <v>82763.888888888891</v>
      </c>
      <c r="M45" s="2">
        <f>((Tabela7101259[[#This Row],[VD /V ± 1E-5 V]]-C44)/(Tabela7101259[[#This Row],[ID /A ± 1E-7 A]]-B44)+(Tabela7101259[[#This Row],[VD /V ± 1E-5 V]]-C46)/(Tabela7101259[[#This Row],[ID /A ± 1E-7 A]]-B46))/2</f>
        <v>42620.235583684953</v>
      </c>
      <c r="X45" s="2">
        <v>-1E-4</v>
      </c>
      <c r="Y45" s="17">
        <f>Tabela710124813[[#This Row],[ID /mA ± 1E-4 mA]]*0.001</f>
        <v>-1.0000000000000001E-7</v>
      </c>
      <c r="Z45" s="2">
        <v>-0.38779999999999998</v>
      </c>
      <c r="AA45" s="11">
        <f>Tabela710124813[[#This Row],[VD /V ± 1E-5 V]]/Tabela710124813[[#This Row],[ID /A ± 1E-7 A]]</f>
        <v>3877999.9999999995</v>
      </c>
      <c r="AB45" s="2" t="e">
        <f>((Tabela710124813[[#This Row],[VD /V ± 1E-5 V]]-Z44)/(Tabela710124813[[#This Row],[ID /A ± 1E-7 A]]-Y44)+(Tabela710124813[[#This Row],[VD /V ± 1E-5 V]]-Z46)/(Tabela710124813[[#This Row],[ID /A ± 1E-7 A]]-Y46))/2</f>
        <v>#DIV/0!</v>
      </c>
    </row>
    <row r="47" spans="1:28" ht="15" thickBot="1" x14ac:dyDescent="0.35"/>
    <row r="48" spans="1:28" ht="15" thickBot="1" x14ac:dyDescent="0.35">
      <c r="A48" s="29" t="s">
        <v>11</v>
      </c>
      <c r="B48" s="31">
        <f>24.5+273.15</f>
        <v>297.64999999999998</v>
      </c>
      <c r="D48" s="27" t="s">
        <v>16</v>
      </c>
      <c r="E48" s="28">
        <f>B52/(I49*B50*B48)</f>
        <v>1.128901961757705</v>
      </c>
      <c r="H48" s="44" t="s">
        <v>10</v>
      </c>
      <c r="I48" s="45"/>
      <c r="J48" s="45"/>
      <c r="K48" s="46"/>
    </row>
    <row r="49" spans="1:11" ht="15" thickBot="1" x14ac:dyDescent="0.35">
      <c r="D49" s="21" t="s">
        <v>17</v>
      </c>
      <c r="E49" s="35">
        <f>B52/(I49^2*B50*B48)*I50</f>
        <v>2.371010833879104E-3</v>
      </c>
      <c r="H49" s="40" t="s">
        <v>3</v>
      </c>
      <c r="I49" s="33" cm="1">
        <f t="array" ref="I49:J53">LINEST(D4:D20,C4:C20,1,1)</f>
        <v>34.531632827783923</v>
      </c>
      <c r="J49" s="33">
        <v>-32.790354997809175</v>
      </c>
      <c r="K49" s="42" t="s">
        <v>6</v>
      </c>
    </row>
    <row r="50" spans="1:11" ht="16.2" thickBot="1" x14ac:dyDescent="0.4">
      <c r="A50" s="29" t="s">
        <v>12</v>
      </c>
      <c r="B50" s="30">
        <v>1.3806490000000001E-23</v>
      </c>
      <c r="H50" s="41" t="s">
        <v>4</v>
      </c>
      <c r="I50" s="32">
        <v>7.2526116810649785E-2</v>
      </c>
      <c r="J50" s="32">
        <v>5.398646166656438E-2</v>
      </c>
      <c r="K50" s="43" t="s">
        <v>7</v>
      </c>
    </row>
    <row r="51" spans="1:11" ht="16.2" thickBot="1" x14ac:dyDescent="0.4">
      <c r="D51" s="20" t="s">
        <v>24</v>
      </c>
      <c r="E51" s="24">
        <f>EXP(J49)</f>
        <v>5.7455256099681057E-15</v>
      </c>
      <c r="H51" s="19" t="s">
        <v>5</v>
      </c>
      <c r="I51" s="34">
        <v>0.99993383670199965</v>
      </c>
      <c r="J51" s="34">
        <v>8.6688084016790551E-4</v>
      </c>
      <c r="K51" s="23" t="s">
        <v>8</v>
      </c>
    </row>
    <row r="52" spans="1:11" ht="16.2" thickBot="1" x14ac:dyDescent="0.4">
      <c r="A52" s="29" t="s">
        <v>26</v>
      </c>
      <c r="B52" s="36">
        <v>1.602E-19</v>
      </c>
      <c r="D52" s="21" t="s">
        <v>25</v>
      </c>
      <c r="E52" s="25">
        <f>EXP(J49)*J50</f>
        <v>3.1018059809680708E-16</v>
      </c>
      <c r="I52">
        <v>226696.79420207354</v>
      </c>
      <c r="J52">
        <v>15</v>
      </c>
    </row>
    <row r="53" spans="1:11" x14ac:dyDescent="0.3">
      <c r="I53">
        <v>0.17035864895039246</v>
      </c>
      <c r="J53">
        <v>1.1272235865753206E-5</v>
      </c>
    </row>
    <row r="56" spans="1:11" x14ac:dyDescent="0.3">
      <c r="H56" s="15"/>
    </row>
  </sheetData>
  <mergeCells count="4">
    <mergeCell ref="A1:D1"/>
    <mergeCell ref="X1:AA1"/>
    <mergeCell ref="T35:W35"/>
    <mergeCell ref="H48:K48"/>
  </mergeCells>
  <phoneticPr fontId="6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Díodo retificador</vt:lpstr>
      <vt:lpstr>Díodo Zener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Salomé Gomes</dc:creator>
  <cp:lastModifiedBy>Salomé Gomes</cp:lastModifiedBy>
  <dcterms:created xsi:type="dcterms:W3CDTF">2022-05-29T20:25:02Z</dcterms:created>
  <dcterms:modified xsi:type="dcterms:W3CDTF">2022-06-09T00:09:48Z</dcterms:modified>
</cp:coreProperties>
</file>