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 1 - Parte A" sheetId="1" r:id="rId4"/>
    <sheet state="visible" name="Exp 1 - Parte B" sheetId="2" r:id="rId5"/>
    <sheet state="visible" name="Exp 2" sheetId="3" r:id="rId6"/>
  </sheets>
  <definedNames/>
  <calcPr/>
  <extLst>
    <ext uri="GoogleSheetsCustomDataVersion1">
      <go:sheetsCustomData xmlns:go="http://customooxmlschemas.google.com/" r:id="rId7" roundtripDataSignature="AMtx7mi6xyeUzGXUGxzgtOxyYgyZM58SxA=="/>
    </ext>
  </extLst>
</workbook>
</file>

<file path=xl/sharedStrings.xml><?xml version="1.0" encoding="utf-8"?>
<sst xmlns="http://schemas.openxmlformats.org/spreadsheetml/2006/main" count="166" uniqueCount="142">
  <si>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' = d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' /m </t>
    </r>
    <r>
      <rPr>
        <rFont val="Calibri"/>
        <color theme="1"/>
        <sz val="11.0"/>
      </rPr>
      <t>± 0.0005m</t>
    </r>
  </si>
  <si>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= d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/m </t>
    </r>
    <r>
      <rPr>
        <rFont val="Calibri"/>
        <color theme="1"/>
        <sz val="11.0"/>
      </rPr>
      <t>± 0.00050m</t>
    </r>
  </si>
  <si>
    <t>Ensaio</t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</si>
  <si>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</si>
  <si>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</si>
  <si>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</si>
  <si>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</si>
  <si>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</si>
  <si>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>) /s</t>
    </r>
  </si>
  <si>
    <t>T /s</t>
  </si>
  <si>
    <t>u(T) /s</t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</si>
  <si>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/s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</si>
  <si>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</si>
  <si>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I'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</si>
  <si>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u(I')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</si>
  <si>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</si>
  <si>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 /kg m</t>
    </r>
    <r>
      <rPr>
        <rFont val="Calibri"/>
        <color theme="1"/>
        <sz val="11.0"/>
        <vertAlign val="superscript"/>
      </rPr>
      <t>2</t>
    </r>
  </si>
  <si>
    <t>|I' - I|/I'</t>
  </si>
  <si>
    <r>
      <rPr>
        <rFont val="Calibri"/>
        <color theme="1"/>
        <sz val="11.0"/>
      </rPr>
      <t>I' ajuste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</si>
  <si>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Resíduos I' /kg m</t>
    </r>
    <r>
      <rPr>
        <rFont val="Calibri"/>
        <color theme="1"/>
        <sz val="11.0"/>
        <vertAlign val="superscript"/>
      </rPr>
      <t>2</t>
    </r>
  </si>
  <si>
    <t>Matriz de ajuste</t>
  </si>
  <si>
    <t>m</t>
  </si>
  <si>
    <t>b</t>
  </si>
  <si>
    <t>u(m)</t>
  </si>
  <si>
    <t>u(b)</t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</si>
  <si>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</si>
  <si>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s</t>
    </r>
    <r>
      <rPr>
        <rFont val="Calibri"/>
        <color theme="1"/>
        <sz val="11.0"/>
        <vertAlign val="subscript"/>
      </rPr>
      <t>y</t>
    </r>
  </si>
  <si>
    <t>D</t>
  </si>
  <si>
    <t>u(D)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</si>
  <si>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</si>
  <si>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</si>
  <si>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= d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/m </t>
    </r>
    <r>
      <rPr>
        <rFont val="Calibri"/>
        <color theme="1"/>
        <sz val="11.0"/>
      </rPr>
      <t>± 0.00050m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</si>
  <si>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/s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</si>
  <si>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/s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</si>
  <si>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I'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</si>
  <si>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u(I')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</si>
  <si>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</si>
  <si>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</si>
  <si>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I' ajuste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</si>
  <si>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Resíduos I' /kg m</t>
    </r>
    <r>
      <rPr>
        <rFont val="Calibri"/>
        <color theme="1"/>
        <sz val="11.0"/>
        <vertAlign val="superscript"/>
      </rPr>
      <t>2</t>
    </r>
  </si>
  <si>
    <t>Ajuste +sy</t>
  </si>
  <si>
    <t>Ajuste-sy</t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</si>
  <si>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/kg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</si>
  <si>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</si>
  <si>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 /kg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</si>
  <si>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v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</si>
  <si>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v</t>
    </r>
    <r>
      <rPr>
        <rFont val="Calibri"/>
        <color theme="1"/>
        <sz val="11.0"/>
      </rPr>
      <t>) /kg</t>
    </r>
  </si>
  <si>
    <t>L /m</t>
  </si>
  <si>
    <t>u(L) /m</t>
  </si>
  <si>
    <r>
      <rPr>
        <rFont val="Calibri"/>
        <color theme="1"/>
        <sz val="11.0"/>
      </rPr>
      <t>h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</si>
  <si>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u(h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</si>
  <si>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h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</si>
  <si>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  <sz val="11.0"/>
      </rPr>
      <t>u(h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</si>
  <si>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u(d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= u(d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</si>
  <si>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d</t>
    </r>
    <r>
      <rPr>
        <rFont val="Calibri"/>
        <color theme="1"/>
        <sz val="11.0"/>
      </rPr>
      <t>̅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' (m) </t>
    </r>
    <r>
      <rPr>
        <rFont val="Calibri"/>
        <color theme="1"/>
        <sz val="11.0"/>
      </rPr>
      <t>±</t>
    </r>
    <r>
      <rPr>
        <rFont val="Calibri"/>
        <color theme="1"/>
        <sz val="7.0"/>
      </rPr>
      <t xml:space="preserve"> </t>
    </r>
    <r>
      <rPr>
        <rFont val="Calibri"/>
        <color theme="1"/>
        <sz val="11.0"/>
      </rPr>
      <t>0.0005m</t>
    </r>
  </si>
  <si>
    <t>d (m) ± 0.00056m</t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</si>
  <si>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</si>
  <si>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</si>
  <si>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</si>
  <si>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</si>
  <si>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</si>
  <si>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</si>
  <si>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</si>
  <si>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</si>
  <si>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</si>
  <si>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d</t>
    </r>
    <r>
      <rPr>
        <rFont val="Calibri"/>
        <color theme="1"/>
        <sz val="11.0"/>
      </rPr>
      <t>̅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(m) </t>
    </r>
    <r>
      <rPr>
        <rFont val="Calibri"/>
        <color theme="1"/>
        <sz val="11.0"/>
      </rPr>
      <t>±</t>
    </r>
    <r>
      <rPr>
        <rFont val="Calibri"/>
        <color theme="1"/>
        <sz val="7.0"/>
      </rPr>
      <t xml:space="preserve"> </t>
    </r>
    <r>
      <rPr>
        <rFont val="Calibri"/>
        <color theme="1"/>
        <sz val="11.0"/>
      </rPr>
      <t>0.00050m</t>
    </r>
  </si>
  <si>
    <r>
      <rPr>
        <rFont val="Calibri"/>
        <color theme="1"/>
        <sz val="11.0"/>
      </rPr>
      <t>d̅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(m) </t>
    </r>
    <r>
      <rPr>
        <rFont val="Calibri"/>
        <color theme="1"/>
        <sz val="11.0"/>
      </rPr>
      <t>±</t>
    </r>
    <r>
      <rPr>
        <rFont val="Calibri"/>
        <color theme="1"/>
        <sz val="7.0"/>
      </rPr>
      <t xml:space="preserve"> </t>
    </r>
    <r>
      <rPr>
        <rFont val="Calibri"/>
        <color theme="1"/>
        <sz val="11.0"/>
      </rPr>
      <t>0.00071m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</si>
  <si>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</si>
  <si>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</si>
  <si>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</si>
  <si>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</si>
  <si>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</si>
  <si>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</si>
  <si>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I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</si>
  <si>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</si>
  <si>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/kg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</si>
  <si>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</si>
  <si>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 /kg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</si>
  <si>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v</t>
    </r>
    <r>
      <rPr>
        <rFont val="Calibri"/>
        <color theme="1"/>
        <sz val="11.0"/>
      </rPr>
      <t xml:space="preserve"> /kg</t>
    </r>
  </si>
  <si>
    <r>
      <rPr>
        <rFont val="Calibri"/>
        <color theme="1"/>
        <sz val="11.0"/>
      </rPr>
      <t>u(m</t>
    </r>
    <r>
      <rPr>
        <rFont val="Calibri"/>
        <color theme="1"/>
        <sz val="11.0"/>
        <vertAlign val="subscript"/>
      </rPr>
      <t>v</t>
    </r>
    <r>
      <rPr>
        <rFont val="Calibri"/>
        <color theme="1"/>
        <sz val="11.0"/>
      </rPr>
      <t>) /kg</t>
    </r>
  </si>
  <si>
    <r>
      <rPr>
        <rFont val="Calibri"/>
        <color theme="1"/>
        <sz val="11.0"/>
      </rPr>
      <t>I</t>
    </r>
    <r>
      <rPr>
        <rFont val="Calibri"/>
        <color theme="1"/>
        <sz val="11.0"/>
        <vertAlign val="subscript"/>
      </rPr>
      <t>ZZ'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</si>
  <si>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ZZ'</t>
    </r>
    <r>
      <rPr>
        <rFont val="Calibri"/>
        <color theme="1"/>
        <sz val="11.0"/>
      </rPr>
      <t>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</si>
  <si>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ZZ'</t>
    </r>
    <r>
      <rPr>
        <rFont val="Calibri"/>
        <color theme="1"/>
        <sz val="11.0"/>
      </rPr>
      <t>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</si>
  <si>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</t>
    </r>
    <r>
      <rPr>
        <rFont val="Calibri"/>
        <color theme="1"/>
        <sz val="11.0"/>
        <vertAlign val="subscript"/>
      </rPr>
      <t>ZZ'</t>
    </r>
    <r>
      <rPr>
        <rFont val="Calibri"/>
        <color theme="1"/>
        <sz val="11.0"/>
      </rPr>
      <t xml:space="preserve"> (TS)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</si>
  <si>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 xml:space="preserve">ZZ' </t>
    </r>
    <r>
      <rPr>
        <rFont val="Calibri"/>
        <color theme="1"/>
        <sz val="11.0"/>
      </rPr>
      <t>(TS))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</si>
  <si>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 xml:space="preserve">ZZ' </t>
    </r>
    <r>
      <rPr>
        <rFont val="Calibri"/>
        <color theme="1"/>
        <sz val="11.0"/>
      </rPr>
      <t>(TS))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</si>
  <si>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Er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(I</t>
    </r>
    <r>
      <rPr>
        <rFont val="Calibri"/>
        <color theme="1"/>
        <sz val="11.0"/>
        <vertAlign val="subscript"/>
      </rPr>
      <t>ZZ'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</si>
  <si>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h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/m</t>
    </r>
  </si>
  <si>
    <r>
      <rPr>
        <rFont val="Calibri"/>
        <color theme="1"/>
        <sz val="11.0"/>
      </rPr>
      <t>u(h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</si>
  <si>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h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/m</t>
    </r>
  </si>
  <si>
    <r>
      <rPr>
        <rFont val="Calibri"/>
        <color theme="1"/>
        <sz val="11.0"/>
      </rPr>
      <t>u(h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 /m</t>
    </r>
  </si>
  <si>
    <t>u(d) /m</t>
  </si>
  <si>
    <r>
      <rPr>
        <rFont val="Calibri"/>
        <color theme="1"/>
        <sz val="11.0"/>
      </rPr>
      <t>u(d̅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</si>
  <si>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u(d̅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</si>
  <si>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 xml:space="preserve">1 </t>
    </r>
    <r>
      <rPr>
        <rFont val="Calibri"/>
        <color theme="1"/>
        <sz val="11.0"/>
      </rPr>
      <t>/m</t>
    </r>
  </si>
  <si>
    <r>
      <rPr>
        <rFont val="Calibri"/>
        <color theme="1"/>
        <sz val="11.0"/>
      </rPr>
      <t>u(d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</si>
  <si>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I</t>
    </r>
    <r>
      <rPr>
        <rFont val="Calibri"/>
        <color theme="1"/>
        <sz val="11.0"/>
        <vertAlign val="subscript"/>
      </rPr>
      <t>OO'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</si>
  <si>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OO</t>
    </r>
    <r>
      <rPr>
        <rFont val="Calibri"/>
        <color theme="1"/>
        <sz val="11.0"/>
      </rPr>
      <t>') /kg m</t>
    </r>
    <r>
      <rPr>
        <rFont val="Calibri"/>
        <color theme="1"/>
        <sz val="11.0"/>
        <vertAlign val="superscript"/>
      </rPr>
      <t>2</t>
    </r>
  </si>
  <si>
    <t>M /kg</t>
  </si>
  <si>
    <t>Cilindro oco</t>
  </si>
  <si>
    <t>m /kg</t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</si>
  <si>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 xml:space="preserve">D </t>
    </r>
    <r>
      <rPr>
        <rFont val="Calibri"/>
        <color theme="1"/>
        <sz val="11.0"/>
      </rPr>
      <t xml:space="preserve">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</si>
  <si>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</si>
  <si>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</si>
  <si>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 xml:space="preserve">I </t>
    </r>
    <r>
      <rPr>
        <rFont val="Calibri"/>
        <color theme="1"/>
        <sz val="11.0"/>
      </rPr>
      <t xml:space="preserve">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</si>
  <si>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</si>
  <si>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>) /s</t>
    </r>
  </si>
  <si>
    <t>u(m) /kg</t>
  </si>
  <si>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 xml:space="preserve">ext </t>
    </r>
    <r>
      <rPr>
        <rFont val="Calibri"/>
        <color theme="1"/>
        <sz val="11.0"/>
      </rPr>
      <t>/m</t>
    </r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</si>
  <si>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bscript"/>
      </rPr>
      <t>ext</t>
    </r>
    <r>
      <rPr>
        <rFont val="Calibri"/>
        <color theme="1"/>
        <sz val="11.0"/>
      </rPr>
      <t xml:space="preserve"> /m</t>
    </r>
  </si>
  <si>
    <r>
      <rPr>
        <rFont val="Calibri"/>
        <color theme="1"/>
        <sz val="11.0"/>
      </rPr>
      <t>U(d</t>
    </r>
    <r>
      <rPr>
        <rFont val="Calibri"/>
        <color theme="1"/>
        <sz val="11.0"/>
        <vertAlign val="subscript"/>
      </rPr>
      <t>ext</t>
    </r>
    <r>
      <rPr>
        <rFont val="Calibri"/>
        <color theme="1"/>
        <sz val="11.0"/>
      </rPr>
      <t>)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/m</t>
    </r>
  </si>
  <si>
    <r>
      <rPr>
        <rFont val="Calibri"/>
        <color theme="1"/>
        <sz val="11.0"/>
      </rPr>
      <t>u(r</t>
    </r>
    <r>
      <rPr>
        <rFont val="Calibri"/>
        <color theme="1"/>
        <sz val="11.0"/>
        <vertAlign val="subscript"/>
      </rPr>
      <t>ext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</si>
  <si>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u(d</t>
    </r>
    <r>
      <rPr>
        <rFont val="Calibri"/>
        <color theme="1"/>
        <sz val="11.0"/>
        <vertAlign val="subscript"/>
      </rPr>
      <t>int</t>
    </r>
    <r>
      <rPr>
        <rFont val="Calibri"/>
        <color theme="1"/>
        <sz val="11.0"/>
      </rPr>
      <t>)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/m</t>
    </r>
  </si>
  <si>
    <r>
      <rPr>
        <rFont val="Calibri"/>
        <color theme="1"/>
        <sz val="11.0"/>
      </rPr>
      <t>r</t>
    </r>
    <r>
      <rPr>
        <rFont val="Calibri"/>
        <color theme="1"/>
        <sz val="11.0"/>
        <vertAlign val="subscript"/>
      </rPr>
      <t>int</t>
    </r>
    <r>
      <rPr>
        <rFont val="Calibri"/>
        <color theme="1"/>
        <sz val="11.0"/>
      </rPr>
      <t xml:space="preserve"> /m</t>
    </r>
  </si>
  <si>
    <r>
      <rPr>
        <rFont val="Calibri"/>
        <color theme="1"/>
        <sz val="11.0"/>
      </rPr>
      <t>I'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</si>
  <si>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</si>
  <si>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d</t>
    </r>
    <r>
      <rPr>
        <rFont val="Calibri"/>
        <color theme="1"/>
        <sz val="11.0"/>
        <vertAlign val="subscript"/>
      </rPr>
      <t xml:space="preserve">int </t>
    </r>
    <r>
      <rPr>
        <rFont val="Calibri"/>
        <color theme="1"/>
        <sz val="11.0"/>
      </rPr>
      <t>/m</t>
    </r>
  </si>
  <si>
    <r>
      <rPr>
        <rFont val="Calibri"/>
        <color theme="1"/>
        <sz val="11.0"/>
      </rPr>
      <t>u(r</t>
    </r>
    <r>
      <rPr>
        <rFont val="Calibri"/>
        <color theme="1"/>
        <sz val="11.0"/>
        <vertAlign val="subscript"/>
      </rPr>
      <t>int</t>
    </r>
    <r>
      <rPr>
        <rFont val="Calibri"/>
        <color theme="1"/>
        <sz val="11.0"/>
      </rPr>
      <t>) /m</t>
    </r>
  </si>
  <si>
    <r>
      <rPr>
        <rFont val="Calibri"/>
        <color theme="1"/>
        <sz val="11.0"/>
      </rPr>
      <t>u(I')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</si>
  <si>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</si>
  <si>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u(I')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</si>
  <si>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</si>
  <si>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t>h /m</t>
  </si>
  <si>
    <t>u(h) /m</t>
  </si>
  <si>
    <r>
      <rPr>
        <rFont val="Calibri"/>
        <color theme="1"/>
        <sz val="11.0"/>
      </rPr>
      <t>Er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(I)</t>
    </r>
  </si>
  <si>
    <t>Disco</t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</si>
  <si>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 xml:space="preserve">D </t>
    </r>
    <r>
      <rPr>
        <rFont val="Calibri"/>
        <color theme="1"/>
        <sz val="11.0"/>
      </rPr>
      <t xml:space="preserve">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</si>
  <si>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</si>
  <si>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D</t>
    </r>
    <r>
      <rPr>
        <rFont val="Calibri"/>
        <color theme="1"/>
        <sz val="11.0"/>
      </rPr>
      <t>) /s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</si>
  <si>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 xml:space="preserve">I </t>
    </r>
    <r>
      <rPr>
        <rFont val="Calibri"/>
        <color theme="1"/>
        <sz val="11.0"/>
      </rPr>
      <t xml:space="preserve">/s </t>
    </r>
    <r>
      <rPr>
        <rFont val="Calibri"/>
        <color theme="1"/>
        <sz val="11.0"/>
      </rPr>
      <t>± 0.001s</t>
    </r>
  </si>
  <si>
    <r>
      <rPr>
        <rFont val="Calibri"/>
        <color theme="1"/>
        <sz val="11.0"/>
      </rPr>
      <t>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 xml:space="preserve"> /s</t>
    </r>
  </si>
  <si>
    <r>
      <rPr>
        <rFont val="Calibri"/>
        <color theme="1"/>
        <sz val="11.0"/>
      </rPr>
      <t>u(T</t>
    </r>
    <r>
      <rPr>
        <rFont val="Calibri"/>
        <color theme="1"/>
        <sz val="11.0"/>
        <vertAlign val="subscript"/>
      </rPr>
      <t>I</t>
    </r>
    <r>
      <rPr>
        <rFont val="Calibri"/>
        <color theme="1"/>
        <sz val="11.0"/>
      </rPr>
      <t>) /s</t>
    </r>
  </si>
  <si>
    <t>d /m</t>
  </si>
  <si>
    <t>r /m</t>
  </si>
  <si>
    <r>
      <rPr>
        <rFont val="Calibri"/>
        <color theme="1"/>
        <sz val="11.0"/>
      </rPr>
      <t>I'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</si>
  <si>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I /kg m</t>
    </r>
    <r>
      <rPr>
        <rFont val="Calibri"/>
        <color theme="1"/>
        <sz val="11.0"/>
        <vertAlign val="superscript"/>
      </rPr>
      <t>2</t>
    </r>
  </si>
  <si>
    <t>u(r) /m</t>
  </si>
  <si>
    <r>
      <rPr>
        <rFont val="Calibri"/>
        <color theme="1"/>
        <sz val="11.0"/>
      </rPr>
      <t>u(I')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</si>
  <si>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</si>
  <si>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u(I')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</si>
  <si>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u(I)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/kg 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</si>
  <si>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Er</t>
    </r>
    <r>
      <rPr>
        <rFont val="Calibri"/>
        <color theme="1"/>
        <sz val="11.0"/>
        <vertAlign val="subscript"/>
      </rPr>
      <t>%</t>
    </r>
    <r>
      <rPr>
        <rFont val="Calibri"/>
        <color theme="1"/>
        <sz val="11.0"/>
      </rPr>
      <t xml:space="preserve"> (I)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</si>
</sst>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"/>
    <numFmt numFmtId="166" formatCode="0.000"/>
    <numFmt numFmtId="167" formatCode="0.0000000"/>
    <numFmt numFmtId="168" formatCode="0.000000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2.0"/>
      <color theme="1"/>
      <name val="Calibri"/>
    </font>
    <font>
      <b/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6565"/>
        <bgColor rgb="FFFF6565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164" xfId="0" applyAlignment="1" applyBorder="1" applyFont="1" applyNumberForma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1" fillId="0" fontId="1" numFmtId="166" xfId="0" applyBorder="1" applyFont="1" applyNumberFormat="1"/>
    <xf borderId="2" fillId="0" fontId="1" numFmtId="166" xfId="0" applyAlignment="1" applyBorder="1" applyFont="1" applyNumberFormat="1">
      <alignment horizontal="center" vertical="center"/>
    </xf>
    <xf borderId="2" fillId="0" fontId="1" numFmtId="2" xfId="0" applyAlignment="1" applyBorder="1" applyFont="1" applyNumberForma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1" numFmtId="0" xfId="0" applyAlignment="1" applyBorder="1" applyFont="1">
      <alignment horizontal="right"/>
    </xf>
    <xf borderId="1" fillId="0" fontId="1" numFmtId="167" xfId="0" applyAlignment="1" applyBorder="1" applyFont="1" applyNumberFormat="1">
      <alignment horizontal="center" vertical="center"/>
    </xf>
    <xf borderId="1" fillId="0" fontId="1" numFmtId="168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0" fillId="0" fontId="3" numFmtId="0" xfId="0" applyFont="1"/>
    <xf borderId="1" fillId="0" fontId="1" numFmtId="165" xfId="0" applyBorder="1" applyFont="1" applyNumberFormat="1"/>
    <xf borderId="1" fillId="0" fontId="1" numFmtId="1" xfId="0" applyBorder="1" applyFont="1" applyNumberFormat="1"/>
    <xf borderId="1" fillId="0" fontId="1" numFmtId="2" xfId="0" applyBorder="1" applyFont="1" applyNumberFormat="1"/>
    <xf borderId="1" fillId="0" fontId="1" numFmtId="164" xfId="0" applyBorder="1" applyFont="1" applyNumberFormat="1"/>
    <xf borderId="0" fillId="0" fontId="1" numFmtId="164" xfId="0" applyFont="1" applyNumberFormat="1"/>
    <xf borderId="1" fillId="2" fontId="1" numFmtId="165" xfId="0" applyBorder="1" applyFill="1" applyFont="1" applyNumberFormat="1"/>
    <xf borderId="1" fillId="2" fontId="1" numFmtId="166" xfId="0" applyBorder="1" applyFont="1" applyNumberFormat="1"/>
    <xf borderId="1" fillId="2" fontId="1" numFmtId="1" xfId="0" applyBorder="1" applyFont="1" applyNumberFormat="1"/>
    <xf borderId="1" fillId="2" fontId="1" numFmtId="2" xfId="0" applyBorder="1" applyFont="1" applyNumberFormat="1"/>
    <xf borderId="0" fillId="0" fontId="1" numFmtId="165" xfId="0" applyFont="1" applyNumberFormat="1"/>
    <xf borderId="2" fillId="0" fontId="1" numFmtId="16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1" fillId="3" fontId="1" numFmtId="0" xfId="0" applyBorder="1" applyFill="1" applyFont="1"/>
    <xf borderId="1" fillId="3" fontId="1" numFmtId="165" xfId="0" applyBorder="1" applyFont="1" applyNumberFormat="1"/>
    <xf borderId="1" fillId="3" fontId="1" numFmtId="166" xfId="0" applyBorder="1" applyFont="1" applyNumberFormat="1"/>
    <xf borderId="1" fillId="3" fontId="1" numFmtId="2" xfId="0" applyBorder="1" applyFont="1" applyNumberFormat="1"/>
    <xf borderId="0" fillId="0" fontId="4" numFmtId="0" xfId="0" applyFont="1"/>
    <xf borderId="8" fillId="4" fontId="5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Border="1" applyFont="1"/>
    <xf borderId="12" fillId="0" fontId="1" numFmtId="165" xfId="0" applyBorder="1" applyFont="1" applyNumberFormat="1"/>
    <xf borderId="13" fillId="0" fontId="1" numFmtId="0" xfId="0" applyAlignment="1" applyBorder="1" applyFont="1">
      <alignment vertical="center"/>
    </xf>
    <xf borderId="14" fillId="0" fontId="1" numFmtId="0" xfId="0" applyBorder="1" applyFont="1"/>
    <xf borderId="15" fillId="0" fontId="1" numFmtId="165" xfId="0" applyBorder="1" applyFont="1" applyNumberFormat="1"/>
    <xf borderId="1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3" fillId="0" fontId="1" numFmtId="166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17" fillId="0" fontId="1" numFmtId="166" xfId="0" applyAlignment="1" applyBorder="1" applyFont="1" applyNumberFormat="1">
      <alignment horizontal="center" vertical="center"/>
    </xf>
    <xf borderId="18" fillId="0" fontId="1" numFmtId="0" xfId="0" applyBorder="1" applyFont="1"/>
    <xf borderId="19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7" fillId="0" fontId="2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165" xfId="0" applyBorder="1" applyFont="1" applyNumberFormat="1"/>
    <xf borderId="22" fillId="0" fontId="1" numFmtId="0" xfId="0" applyBorder="1" applyFont="1"/>
    <xf borderId="14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2" numFmtId="0" xfId="0" applyBorder="1" applyFont="1"/>
    <xf borderId="25" fillId="0" fontId="2" numFmtId="0" xfId="0" applyBorder="1" applyFont="1"/>
    <xf borderId="15" fillId="0" fontId="1" numFmtId="0" xfId="0" applyBorder="1" applyFont="1"/>
    <xf borderId="26" fillId="0" fontId="1" numFmtId="0" xfId="0" applyBorder="1" applyFont="1"/>
    <xf borderId="9" fillId="0" fontId="1" numFmtId="0" xfId="0" applyBorder="1" applyFont="1"/>
    <xf borderId="9" fillId="0" fontId="1" numFmtId="164" xfId="0" applyBorder="1" applyFont="1" applyNumberFormat="1"/>
    <xf borderId="27" fillId="0" fontId="1" numFmtId="167" xfId="0" applyBorder="1" applyFont="1" applyNumberFormat="1"/>
    <xf borderId="28" fillId="0" fontId="1" numFmtId="167" xfId="0" applyBorder="1" applyFont="1" applyNumberFormat="1"/>
    <xf borderId="29" fillId="0" fontId="1" numFmtId="0" xfId="0" applyBorder="1" applyFont="1"/>
    <xf borderId="30" fillId="0" fontId="1" numFmtId="167" xfId="0" applyBorder="1" applyFont="1" applyNumberFormat="1"/>
    <xf borderId="19" fillId="0" fontId="1" numFmtId="0" xfId="0" applyBorder="1" applyFont="1"/>
    <xf borderId="15" fillId="0" fontId="1" numFmtId="2" xfId="0" applyBorder="1" applyFont="1" applyNumberFormat="1"/>
    <xf borderId="31" fillId="0" fontId="1" numFmtId="0" xfId="0" applyBorder="1" applyFont="1"/>
    <xf borderId="32" fillId="0" fontId="1" numFmtId="166" xfId="0" applyBorder="1" applyFont="1" applyNumberFormat="1"/>
    <xf borderId="12" fillId="0" fontId="1" numFmtId="164" xfId="0" applyBorder="1" applyFont="1" applyNumberFormat="1"/>
    <xf borderId="27" fillId="0" fontId="1" numFmtId="168" xfId="0" applyBorder="1" applyFont="1" applyNumberFormat="1"/>
    <xf borderId="28" fillId="0" fontId="1" numFmtId="168" xfId="0" applyBorder="1" applyFont="1" applyNumberFormat="1"/>
    <xf borderId="15" fillId="0" fontId="1" numFmtId="164" xfId="0" applyBorder="1" applyFont="1" applyNumberFormat="1"/>
    <xf borderId="30" fillId="0" fontId="1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Dados utilizados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(Dados utilizados)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'Exp 1 - Parte A'!$G$41:$G$50</c:f>
            </c:numRef>
          </c:xVal>
          <c:yVal>
            <c:numRef>
              <c:f>'Exp 1 - Parte A'!$I$41:$I$50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01688"/>
        <c:axId val="1996437878"/>
      </c:scatterChart>
      <c:valAx>
        <c:axId val="442501688"/>
        <c:scaling>
          <c:orientation val="minMax"/>
          <c:max val="5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T2 /s2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1996437878"/>
      </c:valAx>
      <c:valAx>
        <c:axId val="1996437878"/>
        <c:scaling>
          <c:orientation val="minMax"/>
          <c:min val="0.01000000000000000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I' /kg m2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44250168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 1 - Parte A'!$G$41:$G$50</c:f>
            </c:numRef>
          </c:xVal>
          <c:yVal>
            <c:numRef>
              <c:f>'Exp 1 - Parte A'!$O$41:$O$50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706865"/>
        <c:axId val="1483567179"/>
      </c:scatterChart>
      <c:valAx>
        <c:axId val="806706865"/>
        <c:scaling>
          <c:orientation val="minMax"/>
          <c:max val="5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T2 /s2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1483567179"/>
      </c:valAx>
      <c:valAx>
        <c:axId val="1483567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/kg m2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806706865"/>
        <c:majorUnit val="1.0000000000000003E-4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'Exp 1 - Parte A'!$G$41:$G$50</c:f>
            </c:numRef>
          </c:xVal>
          <c:yVal>
            <c:numRef>
              <c:f>'Exp 1 - Parte A'!$M$41:$M$50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08991"/>
        <c:axId val="1189158729"/>
      </c:scatterChart>
      <c:valAx>
        <c:axId val="2087508991"/>
        <c:scaling>
          <c:orientation val="minMax"/>
          <c:max val="5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T2 /s2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1189158729"/>
      </c:valAx>
      <c:valAx>
        <c:axId val="1189158729"/>
        <c:scaling>
          <c:orientation val="minMax"/>
          <c:max val="0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|I' - I|/I'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208750899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142875</xdr:colOff>
      <xdr:row>0</xdr:row>
      <xdr:rowOff>133350</xdr:rowOff>
    </xdr:from>
    <xdr:ext cx="4648200" cy="2714625"/>
    <xdr:graphicFrame>
      <xdr:nvGraphicFramePr>
        <xdr:cNvPr id="96626674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123825</xdr:colOff>
      <xdr:row>16</xdr:row>
      <xdr:rowOff>66675</xdr:rowOff>
    </xdr:from>
    <xdr:ext cx="4638675" cy="2752725"/>
    <xdr:graphicFrame>
      <xdr:nvGraphicFramePr>
        <xdr:cNvPr id="95229622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161925</xdr:colOff>
      <xdr:row>32</xdr:row>
      <xdr:rowOff>38100</xdr:rowOff>
    </xdr:from>
    <xdr:ext cx="4400550" cy="2657475"/>
    <xdr:graphicFrame>
      <xdr:nvGraphicFramePr>
        <xdr:cNvPr id="91718218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29"/>
    <col customWidth="1" min="3" max="3" width="11.57"/>
    <col customWidth="1" min="4" max="4" width="20.29"/>
    <col customWidth="1" min="5" max="5" width="11.57"/>
    <col customWidth="1" min="6" max="7" width="12.29"/>
    <col customWidth="1" min="8" max="8" width="8.71"/>
    <col customWidth="1" min="9" max="9" width="10.29"/>
    <col customWidth="1" min="10" max="10" width="10.71"/>
    <col customWidth="1" min="11" max="11" width="9.29"/>
    <col customWidth="1" min="12" max="12" width="10.29"/>
    <col customWidth="1" min="13" max="13" width="9.71"/>
    <col customWidth="1" min="14" max="15" width="16.71"/>
    <col customWidth="1" min="16" max="16" width="8.71"/>
    <col customWidth="1" min="17" max="17" width="10.29"/>
    <col customWidth="1" min="18" max="18" width="9.14"/>
    <col customWidth="1" min="19" max="19" width="17.71"/>
    <col customWidth="1" min="20" max="20" width="16.71"/>
    <col customWidth="1" min="21" max="22" width="10.14"/>
    <col customWidth="1" min="23" max="23" width="12.43"/>
    <col customWidth="1" min="24" max="29" width="8.71"/>
    <col customWidth="1" min="30" max="30" width="12.71"/>
    <col customWidth="1" min="31" max="3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0.2095</v>
      </c>
      <c r="B2" s="3">
        <f>A2+$B$52/2</f>
        <v>0.2295</v>
      </c>
      <c r="C2" s="1">
        <v>1.0</v>
      </c>
      <c r="D2" s="4">
        <v>6.781</v>
      </c>
      <c r="E2" s="5">
        <f>AVERAGE(D2:D4)</f>
        <v>6.785333333</v>
      </c>
      <c r="F2" s="5">
        <f>SQRT(((D2-E2)^2+(D3-E2)^2+(D4-E2)^2)/2)/SQRT(3)</f>
        <v>0.002962731472</v>
      </c>
      <c r="G2" s="4">
        <v>6.794</v>
      </c>
      <c r="H2" s="5">
        <f>AVERAGE(G2:G4)</f>
        <v>6.789</v>
      </c>
      <c r="I2" s="5">
        <f>SQRT(((G2-H2)^2+(G3-H2)^2+(G4-H2)^2)/2)/SQRT(3)</f>
        <v>0.002886751346</v>
      </c>
      <c r="J2" s="5">
        <f>(E2+H2)/2</f>
        <v>6.787166667</v>
      </c>
      <c r="K2" s="5">
        <f>0.5*SQRT(I2^2+F2^2)</f>
        <v>0.002068278941</v>
      </c>
      <c r="L2" s="6">
        <f>J2^2</f>
        <v>46.06563136</v>
      </c>
      <c r="M2" s="6">
        <f>2*J2*K2</f>
        <v>0.02807550777</v>
      </c>
      <c r="N2" s="3">
        <f>$B$40*B2^2+$B$43*B2^2+$B$46*($B$49^2)/12</f>
        <v>0.03197525202</v>
      </c>
      <c r="O2" s="3">
        <f>SQRT(2*(B2^2*$B$41)^2+(2*B2*$B$40*B$58)^2+(2*B2*B$43*B$58)^2+(B$49^2*B$47/12)^2+(B$46*B$49*B$50)^2)</f>
        <v>0.0001174725052</v>
      </c>
      <c r="P2" s="3">
        <f>AD$4*L2</f>
        <v>0.02646924756</v>
      </c>
      <c r="Q2" s="3">
        <f>SQRT((L2/(4*PI()*PI())*AD$11)^2+(AD$10*J2/(2*PI()*PI())*K2)^2)</f>
        <v>0.0001071001156</v>
      </c>
      <c r="R2" s="3">
        <f>ABS(N2-P2)/N2</f>
        <v>0.172195811</v>
      </c>
      <c r="S2" s="3">
        <f>AD$4*L2+AE$4</f>
        <v>0.03197262883</v>
      </c>
      <c r="T2" s="3">
        <f>N2-S2</f>
        <v>0.000002623187345</v>
      </c>
    </row>
    <row r="3" ht="14.25" customHeight="1">
      <c r="A3" s="7"/>
      <c r="B3" s="7"/>
      <c r="C3" s="1">
        <v>2.0</v>
      </c>
      <c r="D3" s="4">
        <v>6.784</v>
      </c>
      <c r="E3" s="7"/>
      <c r="F3" s="7"/>
      <c r="G3" s="4">
        <v>6.789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C3" s="8" t="s">
        <v>20</v>
      </c>
      <c r="AD3" s="9"/>
      <c r="AE3" s="9"/>
      <c r="AF3" s="10"/>
    </row>
    <row r="4" ht="14.25" customHeight="1">
      <c r="A4" s="11"/>
      <c r="B4" s="11"/>
      <c r="C4" s="1">
        <v>3.0</v>
      </c>
      <c r="D4" s="4">
        <v>6.791</v>
      </c>
      <c r="E4" s="11"/>
      <c r="F4" s="11"/>
      <c r="G4" s="4">
        <v>6.784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AC4" s="12" t="s">
        <v>21</v>
      </c>
      <c r="AD4" s="13">
        <f t="array" ref="AD4:AE8">LINEST(I41:I50,G41:G50,1,1)</f>
        <v>0.000574598606</v>
      </c>
      <c r="AE4" s="14">
        <v>0.0055033812653080705</v>
      </c>
      <c r="AF4" s="1" t="s">
        <v>22</v>
      </c>
    </row>
    <row r="5" ht="14.25" customHeight="1">
      <c r="A5" s="2">
        <v>0.159</v>
      </c>
      <c r="B5" s="3">
        <f>A5+$B$52/2</f>
        <v>0.179</v>
      </c>
      <c r="C5" s="1">
        <v>1.0</v>
      </c>
      <c r="D5" s="4">
        <v>5.575</v>
      </c>
      <c r="E5" s="5">
        <f>AVERAGE(D5:D7)</f>
        <v>5.574</v>
      </c>
      <c r="F5" s="5">
        <f>SQRT(((D5-E5)^2+(D6-E5)^2+(D7-E5)^2)/2)/SQRT(3)</f>
        <v>0.0005773502692</v>
      </c>
      <c r="G5" s="4">
        <v>5.575</v>
      </c>
      <c r="H5" s="5">
        <f>AVERAGE(G5:G7)</f>
        <v>5.576</v>
      </c>
      <c r="I5" s="5">
        <f>SQRT(((G5-H5)^2+(G6-H5)^2+(G7-H5)^2)/2)/SQRT(3)</f>
        <v>0.0005773502692</v>
      </c>
      <c r="J5" s="5">
        <f>(E5+H5)/2</f>
        <v>5.575</v>
      </c>
      <c r="K5" s="5">
        <v>0.001</v>
      </c>
      <c r="L5" s="6">
        <f>J5^2</f>
        <v>31.080625</v>
      </c>
      <c r="M5" s="6">
        <f>2*J5*K5</f>
        <v>0.01115</v>
      </c>
      <c r="N5" s="3">
        <f>$B$40*B5^2+$B$43*B5^2+$B$46*$B$49^2/12</f>
        <v>0.02324371566</v>
      </c>
      <c r="O5" s="3">
        <f>SQRT(2*(B5^2*$B$41)^2+(2*B5*$B$40*B$58)^2+(2*B5*B$43*B$58)^2+(B$49^2*B$47/12)^2+(B$46*B$49*B$50)^2)</f>
        <v>0.0001093020501</v>
      </c>
      <c r="P5" s="3">
        <f>AD$4*L5</f>
        <v>0.0178588838</v>
      </c>
      <c r="Q5" s="3">
        <f>SQRT((L5/(4*PI()*PI())*AD$11)^2+(AD$10*J5/(2*PI()*PI())*K5)^2)</f>
        <v>0.00007172305728</v>
      </c>
      <c r="R5" s="3">
        <f>ABS(N5-P5)/N5</f>
        <v>0.2316682901</v>
      </c>
      <c r="S5" s="3">
        <f>AD$4*L5+AE$4</f>
        <v>0.02336226506</v>
      </c>
      <c r="T5" s="3">
        <f>N5-S5</f>
        <v>-0.0001185494024</v>
      </c>
      <c r="AC5" s="12" t="s">
        <v>23</v>
      </c>
      <c r="AD5" s="13">
        <v>2.2984202085514285E-6</v>
      </c>
      <c r="AE5" s="14">
        <v>8.441848104217436E-5</v>
      </c>
      <c r="AF5" s="1" t="s">
        <v>24</v>
      </c>
    </row>
    <row r="6" ht="14.25" customHeight="1">
      <c r="A6" s="7"/>
      <c r="B6" s="7"/>
      <c r="C6" s="1">
        <v>2.0</v>
      </c>
      <c r="D6" s="4">
        <v>5.573</v>
      </c>
      <c r="E6" s="7"/>
      <c r="F6" s="7"/>
      <c r="G6" s="4">
        <v>5.576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AC6" s="12" t="s">
        <v>25</v>
      </c>
      <c r="AD6" s="15">
        <v>0.9998720135106628</v>
      </c>
      <c r="AE6" s="14">
        <v>8.564169873700775E-5</v>
      </c>
      <c r="AF6" s="1" t="s">
        <v>26</v>
      </c>
    </row>
    <row r="7" ht="14.25" customHeight="1">
      <c r="A7" s="11"/>
      <c r="B7" s="11"/>
      <c r="C7" s="1">
        <v>3.0</v>
      </c>
      <c r="D7" s="4">
        <v>5.574</v>
      </c>
      <c r="E7" s="11"/>
      <c r="F7" s="11"/>
      <c r="G7" s="4">
        <v>5.577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AD7" s="16">
        <v>62498.597699698366</v>
      </c>
      <c r="AE7" s="16">
        <v>8.0</v>
      </c>
    </row>
    <row r="8" ht="14.25" customHeight="1">
      <c r="A8" s="2">
        <v>0.201</v>
      </c>
      <c r="B8" s="3">
        <f>A8+$B$52/2</f>
        <v>0.221</v>
      </c>
      <c r="C8" s="1">
        <v>1.0</v>
      </c>
      <c r="D8" s="4">
        <v>6.575</v>
      </c>
      <c r="E8" s="5">
        <f>AVERAGE(D8:D10)</f>
        <v>6.583666667</v>
      </c>
      <c r="F8" s="5">
        <f>SQRT(((D8-E8)^2+(D9-E8)^2+(D10-E8)^2)/2)/SQRT(3)</f>
        <v>0.004333333333</v>
      </c>
      <c r="G8" s="4">
        <v>6.588</v>
      </c>
      <c r="H8" s="5">
        <f>AVERAGE(G8:G10)</f>
        <v>6.590666667</v>
      </c>
      <c r="I8" s="5">
        <f>SQRT(((G8-H8)^2+(G9-H8)^2+(G10-H8)^2)/2)/SQRT(3)</f>
        <v>0.001452966315</v>
      </c>
      <c r="J8" s="5">
        <f>(E8+H8)/2</f>
        <v>6.587166667</v>
      </c>
      <c r="K8" s="5">
        <f>0.5*SQRT(I8^2+F8^2)</f>
        <v>0.0022852182</v>
      </c>
      <c r="L8" s="6">
        <f>J8^2</f>
        <v>43.39076469</v>
      </c>
      <c r="M8" s="6">
        <f>2*J8*K8</f>
        <v>0.03010622631</v>
      </c>
      <c r="N8" s="3">
        <f>$B$40*B8^2+$B$43*B8^2+$B$46*$B$49^2/12</f>
        <v>0.03035448366</v>
      </c>
      <c r="O8" s="3">
        <f>SQRT(2*(B8^2*$B$41)^2+(2*B8*$B$40*B$58)^2+(2*B8*B$43*B$58)^2+(B$49^2*B$47/12)^2+(B$46*B$49*B$50)^2)</f>
        <v>0.0001159993361</v>
      </c>
      <c r="P8" s="3">
        <f>AD$4*L8</f>
        <v>0.0249322729</v>
      </c>
      <c r="Q8" s="3">
        <f>SQRT((L8/(4*PI()*PI())*AD$11)^2+(AD$10*J8/(2*PI()*PI())*K8)^2)</f>
        <v>0.0001012194158</v>
      </c>
      <c r="R8" s="3">
        <f>ABS(N8-P8)/N8</f>
        <v>0.1786296488</v>
      </c>
      <c r="S8" s="3">
        <f>AD$4*L8+AE$4</f>
        <v>0.03043565417</v>
      </c>
      <c r="T8" s="3">
        <f>N8-S8</f>
        <v>-0.00008117050988</v>
      </c>
      <c r="AD8" s="16">
        <v>4.583959999876735E-4</v>
      </c>
      <c r="AE8" s="16">
        <v>5.8676004500483165E-8</v>
      </c>
    </row>
    <row r="9" ht="14.25" customHeight="1">
      <c r="A9" s="7"/>
      <c r="B9" s="7"/>
      <c r="C9" s="1">
        <v>2.0</v>
      </c>
      <c r="D9" s="4">
        <v>6.588</v>
      </c>
      <c r="E9" s="7"/>
      <c r="F9" s="7"/>
      <c r="G9" s="4">
        <v>6.591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4.25" customHeight="1">
      <c r="A10" s="11"/>
      <c r="B10" s="11"/>
      <c r="C10" s="1">
        <v>3.0</v>
      </c>
      <c r="D10" s="4">
        <v>6.588</v>
      </c>
      <c r="E10" s="11"/>
      <c r="F10" s="11"/>
      <c r="G10" s="4">
        <v>6.593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AC10" s="1" t="s">
        <v>27</v>
      </c>
      <c r="AD10" s="17">
        <f t="shared" ref="AD10:AD11" si="1">4*PI()*PI()*AD4</f>
        <v>0.02268424372</v>
      </c>
    </row>
    <row r="11" ht="14.25" customHeight="1">
      <c r="A11" s="2">
        <v>0.179</v>
      </c>
      <c r="B11" s="3">
        <f>A11+$B$52/2</f>
        <v>0.199</v>
      </c>
      <c r="C11" s="1">
        <v>1.0</v>
      </c>
      <c r="D11" s="4">
        <v>6.034</v>
      </c>
      <c r="E11" s="5">
        <f>AVERAGE(D11:D13)</f>
        <v>6.032666667</v>
      </c>
      <c r="F11" s="5">
        <f>SQRT(((D11-E11)^2+(D12-E11)^2+(D13-E11)^2)/2)/SQRT(3)</f>
        <v>0.0008819171037</v>
      </c>
      <c r="G11" s="4">
        <v>6.038</v>
      </c>
      <c r="H11" s="5">
        <f>AVERAGE(G11:G13)</f>
        <v>6.038</v>
      </c>
      <c r="I11" s="5">
        <f>SQRT(((G11-H11)^2+(G12-H11)^2+(G13-H11)^2)/2)/SQRT(3)</f>
        <v>0.0005773502692</v>
      </c>
      <c r="J11" s="5">
        <f>(E11+H11)/2</f>
        <v>6.035333333</v>
      </c>
      <c r="K11" s="5">
        <f>0.5*SQRT(I11^2+F11^2)</f>
        <v>0.0005270462767</v>
      </c>
      <c r="L11" s="6">
        <f>J11^2</f>
        <v>36.42524844</v>
      </c>
      <c r="M11" s="6">
        <f>2*J11*K11</f>
        <v>0.006361799924</v>
      </c>
      <c r="N11" s="3">
        <f>$B$40*B11^2+$B$43*B11^2+$B$46*$B$49^2/12</f>
        <v>0.02644356126</v>
      </c>
      <c r="O11" s="3">
        <f>SQRT(2*(B11^2*$B$41)^2+(2*B11*$B$40*B$58)^2+(2*B11*B$43*B$58)^2+(B$49^2*B$47/12)^2+(B$46*B$49*B$50)^2)</f>
        <v>0.0001123651756</v>
      </c>
      <c r="P11" s="3">
        <f>AD$4*L11</f>
        <v>0.02092989698</v>
      </c>
      <c r="Q11" s="3">
        <f>SQRT((L11/(4*PI()*PI())*AD$11)^2+(AD$10*J11/(2*PI()*PI())*K11)^2)</f>
        <v>0.00008380029359</v>
      </c>
      <c r="R11" s="3">
        <f>ABS(N11-P11)/N11</f>
        <v>0.2085068735</v>
      </c>
      <c r="S11" s="3">
        <f>AD$4*L11+AE$4</f>
        <v>0.02643327824</v>
      </c>
      <c r="T11" s="3">
        <f>N11-S11</f>
        <v>0.0000102830171</v>
      </c>
      <c r="AC11" s="1" t="s">
        <v>28</v>
      </c>
      <c r="AD11" s="17">
        <f t="shared" si="1"/>
        <v>0.00009073799282</v>
      </c>
    </row>
    <row r="12" ht="14.25" customHeight="1">
      <c r="A12" s="7"/>
      <c r="B12" s="7"/>
      <c r="C12" s="1">
        <v>2.0</v>
      </c>
      <c r="D12" s="4">
        <v>6.033</v>
      </c>
      <c r="E12" s="7"/>
      <c r="F12" s="7"/>
      <c r="G12" s="4">
        <v>6.037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4.25" customHeight="1">
      <c r="A13" s="11"/>
      <c r="B13" s="11"/>
      <c r="C13" s="1">
        <v>3.0</v>
      </c>
      <c r="D13" s="4">
        <v>6.031</v>
      </c>
      <c r="E13" s="11"/>
      <c r="F13" s="11"/>
      <c r="G13" s="4">
        <v>6.039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AD13" s="16" t="s">
        <v>29</v>
      </c>
    </row>
    <row r="14" ht="14.25" customHeight="1">
      <c r="A14" s="2">
        <v>0.151</v>
      </c>
      <c r="B14" s="3">
        <f>A14+$B$52/2</f>
        <v>0.171</v>
      </c>
      <c r="C14" s="1">
        <v>1.0</v>
      </c>
      <c r="D14" s="4">
        <v>5.362</v>
      </c>
      <c r="E14" s="5">
        <f>AVERAGE(D14:D16)</f>
        <v>5.364666667</v>
      </c>
      <c r="F14" s="5">
        <f>SQRT(((D14-E14)^2+(D15-E14)^2+(D16-E14)^2)/2)/SQRT(3)</f>
        <v>0.002185812841</v>
      </c>
      <c r="G14" s="4">
        <v>5.374</v>
      </c>
      <c r="H14" s="5">
        <f>AVERAGE(G14:G16)</f>
        <v>5.374333333</v>
      </c>
      <c r="I14" s="5">
        <v>0.001</v>
      </c>
      <c r="J14" s="5">
        <f>(E14+H14)/2</f>
        <v>5.3695</v>
      </c>
      <c r="K14" s="5">
        <f>0.5*SQRT(I14^2+F14^2)</f>
        <v>0.001201850425</v>
      </c>
      <c r="L14" s="6">
        <f>J14^2</f>
        <v>28.83153025</v>
      </c>
      <c r="M14" s="6">
        <f>2*J14*K14</f>
        <v>0.01290667172</v>
      </c>
      <c r="N14" s="3">
        <f>$B$40*B14^2+$B$43*B14^2+$B$46*$B$49^2/12</f>
        <v>0.02205858766</v>
      </c>
      <c r="O14" s="3">
        <f>SQRT(2*(B14^2*$B$41)^2+(2*B14*$B$40*B$58)^2+(2*B14*B$43*B$58)^2+(B$49^2*B$47/12)^2+(B$46*B$49*B$50)^2)</f>
        <v>0.0001081455708</v>
      </c>
      <c r="P14" s="3">
        <f>AD$4*L14</f>
        <v>0.01656655709</v>
      </c>
      <c r="Q14" s="3">
        <f>SQRT((L14/(4*PI()*PI())*AD$11)^2+(AD$10*J14/(2*PI()*PI())*K14)^2)</f>
        <v>0.0000666806637</v>
      </c>
      <c r="R14" s="3">
        <f>ABS(N14-P14)/N14</f>
        <v>0.2489747148</v>
      </c>
      <c r="S14" s="3">
        <f>AD$4*L14+AE$4</f>
        <v>0.02206993835</v>
      </c>
      <c r="T14" s="3">
        <f>N14-S14</f>
        <v>-0.00001135069439</v>
      </c>
    </row>
    <row r="15" ht="14.25" customHeight="1">
      <c r="A15" s="7"/>
      <c r="B15" s="7"/>
      <c r="C15" s="1">
        <v>2.0</v>
      </c>
      <c r="D15" s="4">
        <v>5.369</v>
      </c>
      <c r="E15" s="7"/>
      <c r="F15" s="7"/>
      <c r="G15" s="4">
        <v>5.374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4.25" customHeight="1">
      <c r="A16" s="11"/>
      <c r="B16" s="11"/>
      <c r="C16" s="1">
        <v>3.0</v>
      </c>
      <c r="D16" s="4">
        <v>5.363</v>
      </c>
      <c r="E16" s="11"/>
      <c r="F16" s="11"/>
      <c r="G16" s="4">
        <v>5.375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14.25" customHeight="1">
      <c r="A17" s="2">
        <v>0.131</v>
      </c>
      <c r="B17" s="3">
        <f>A17+$B$52/2</f>
        <v>0.151</v>
      </c>
      <c r="C17" s="1">
        <v>1.0</v>
      </c>
      <c r="D17" s="4">
        <v>4.891</v>
      </c>
      <c r="E17" s="5">
        <f>AVERAGE(D17:D19)</f>
        <v>4.889666667</v>
      </c>
      <c r="F17" s="5">
        <f>SQRT(((D17-E17)^2+(D18-E17)^2+(D19-E17)^2)/2)/SQRT(3)</f>
        <v>0.00240370085</v>
      </c>
      <c r="G17" s="4">
        <v>4.898</v>
      </c>
      <c r="H17" s="5">
        <f>AVERAGE(G17:G19)</f>
        <v>4.897666667</v>
      </c>
      <c r="I17" s="5">
        <v>0.001</v>
      </c>
      <c r="J17" s="5">
        <f>(E17+H17)/2</f>
        <v>4.893666667</v>
      </c>
      <c r="K17" s="5">
        <f>0.5*SQRT(I17^2+F17^2)</f>
        <v>0.001301708279</v>
      </c>
      <c r="L17" s="6">
        <f>J17^2</f>
        <v>23.94797344</v>
      </c>
      <c r="M17" s="6">
        <f>2*J17*K17</f>
        <v>0.01274025283</v>
      </c>
      <c r="N17" s="3">
        <f>$B$40*B17^2+$B$43*B17^2+$B$46*$B$49^2/12</f>
        <v>0.01933279326</v>
      </c>
      <c r="O17" s="3">
        <f>SQRT(2*(B17^2*$B$41)^2+(2*B17*$B$40*B$58)^2+(2*B17*B$43*B$58)^2+(B$49^2*B$47/12)^2+(B$46*B$49*B$50)^2)</f>
        <v>0.0001054375975</v>
      </c>
      <c r="P17" s="3">
        <f>AD$4*L17</f>
        <v>0.01376047216</v>
      </c>
      <c r="Q17" s="3">
        <f>SQRT((L17/(4*PI()*PI())*AD$11)^2+(AD$10*J17/(2*PI()*PI())*K17)^2)</f>
        <v>0.00005552717948</v>
      </c>
      <c r="R17" s="3">
        <f>ABS(N17-P17)/N17</f>
        <v>0.2882315571</v>
      </c>
      <c r="S17" s="3">
        <f>AD$4*L17+AE$4</f>
        <v>0.01926385342</v>
      </c>
      <c r="T17" s="3">
        <f>N17-S17</f>
        <v>0.00006893983816</v>
      </c>
    </row>
    <row r="18" ht="14.25" customHeight="1">
      <c r="A18" s="7"/>
      <c r="B18" s="7"/>
      <c r="C18" s="1">
        <v>2.0</v>
      </c>
      <c r="D18" s="4">
        <v>4.885</v>
      </c>
      <c r="E18" s="7"/>
      <c r="F18" s="7"/>
      <c r="G18" s="4">
        <v>4.898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4.25" customHeight="1">
      <c r="A19" s="11"/>
      <c r="B19" s="11"/>
      <c r="C19" s="1">
        <v>3.0</v>
      </c>
      <c r="D19" s="4">
        <v>4.893</v>
      </c>
      <c r="E19" s="11"/>
      <c r="F19" s="11"/>
      <c r="G19" s="4">
        <v>4.897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4.25" customHeight="1">
      <c r="A20" s="2">
        <v>0.109</v>
      </c>
      <c r="B20" s="3">
        <f>A20+$B$52/2</f>
        <v>0.129</v>
      </c>
      <c r="C20" s="1">
        <v>1.0</v>
      </c>
      <c r="D20" s="4">
        <v>4.416</v>
      </c>
      <c r="E20" s="5">
        <f>AVERAGE(D20:D22)</f>
        <v>4.417</v>
      </c>
      <c r="F20" s="5">
        <f>SQRT(((D20-E20)^2+(D21-E20)^2+(D22-E20)^2)/2)/SQRT(3)</f>
        <v>0.0005773502692</v>
      </c>
      <c r="G20" s="4">
        <v>4.425</v>
      </c>
      <c r="H20" s="5">
        <f>AVERAGE(G20:G22)</f>
        <v>4.424</v>
      </c>
      <c r="I20" s="5">
        <f>SQRT(((G20-H20)^2+(G21-H20)^2+(G22-H20)^2)/2)/SQRT(3)</f>
        <v>0.0005773502692</v>
      </c>
      <c r="J20" s="5">
        <f>(E20+H20)/2</f>
        <v>4.4205</v>
      </c>
      <c r="K20" s="5">
        <v>0.001</v>
      </c>
      <c r="L20" s="6">
        <f>J20^2</f>
        <v>19.54082025</v>
      </c>
      <c r="M20" s="6">
        <f>2*J20*K20</f>
        <v>0.008841</v>
      </c>
      <c r="N20" s="3">
        <f>$B$40*B20^2+$B$43*B20^2+$B$46*$B$49^2/12</f>
        <v>0.01672551166</v>
      </c>
      <c r="O20" s="3">
        <f>SQRT(2*(B20^2*$B$41)^2+(2*B20*$B$40*B$58)^2+(2*B20*B$43*B$58)^2+(B$49^2*B$47/12)^2+(B$46*B$49*B$50)^2)</f>
        <v>0.0001027806977</v>
      </c>
      <c r="P20" s="3">
        <f>AD$4*L20</f>
        <v>0.01122812807</v>
      </c>
      <c r="Q20" s="3">
        <f>SQRT((L20/(4*PI()*PI())*AD$11)^2+(AD$10*J20/(2*PI()*PI())*K20)^2)</f>
        <v>0.00004519939919</v>
      </c>
      <c r="R20" s="3">
        <f>ABS(N20-P20)/N20</f>
        <v>0.3286825358</v>
      </c>
      <c r="S20" s="3">
        <f>AD$4*L20+AE$4</f>
        <v>0.01673150934</v>
      </c>
      <c r="T20" s="3">
        <f>N20-S20</f>
        <v>-0.000005997680097</v>
      </c>
    </row>
    <row r="21" ht="14.25" customHeight="1">
      <c r="A21" s="7"/>
      <c r="B21" s="7"/>
      <c r="C21" s="1">
        <v>2.0</v>
      </c>
      <c r="D21" s="4">
        <v>4.418</v>
      </c>
      <c r="E21" s="7"/>
      <c r="F21" s="7"/>
      <c r="G21" s="4">
        <v>4.424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4.25" customHeight="1">
      <c r="A22" s="11"/>
      <c r="B22" s="11"/>
      <c r="C22" s="1">
        <v>3.0</v>
      </c>
      <c r="D22" s="4">
        <v>4.417</v>
      </c>
      <c r="E22" s="11"/>
      <c r="F22" s="11"/>
      <c r="G22" s="4">
        <v>4.423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4.25" customHeight="1">
      <c r="A23" s="2">
        <v>0.101</v>
      </c>
      <c r="B23" s="3">
        <f>A23+$B$52/2</f>
        <v>0.121</v>
      </c>
      <c r="C23" s="1">
        <v>1.0</v>
      </c>
      <c r="D23" s="4">
        <v>4.243</v>
      </c>
      <c r="E23" s="5">
        <f>AVERAGE(D23:D25)</f>
        <v>4.243666667</v>
      </c>
      <c r="F23" s="5">
        <v>0.001</v>
      </c>
      <c r="G23" s="4">
        <v>4.249</v>
      </c>
      <c r="H23" s="5">
        <f>AVERAGE(G23:G25)</f>
        <v>4.248666667</v>
      </c>
      <c r="I23" s="5">
        <v>0.001</v>
      </c>
      <c r="J23" s="5">
        <f>(E23+H23)/2</f>
        <v>4.246166667</v>
      </c>
      <c r="K23" s="5">
        <f>0.5*SQRT(I23^2+F23^2)</f>
        <v>0.0007071067812</v>
      </c>
      <c r="L23" s="6">
        <f>J23^2</f>
        <v>18.02993136</v>
      </c>
      <c r="M23" s="6">
        <f>2*J23*K23</f>
        <v>0.006004986488</v>
      </c>
      <c r="N23" s="3">
        <f>$B$40*B23^2+$B$43*B23^2+$B$46*$B$49^2/12</f>
        <v>0.01587899166</v>
      </c>
      <c r="O23" s="3">
        <f>SQRT(2*(B23^2*$B$41)^2+(2*B23*$B$40*B$58)^2+(2*B23*B$43*B$58)^2+(B$49^2*B$47/12)^2+(B$46*B$49*B$50)^2)</f>
        <v>0.0001019031882</v>
      </c>
      <c r="P23" s="3">
        <f>AD$4*L23</f>
        <v>0.01035997343</v>
      </c>
      <c r="Q23" s="3">
        <f>SQRT((L23/(4*PI()*PI())*AD$11)^2+(AD$10*J23/(2*PI()*PI())*K23)^2)</f>
        <v>0.00004158375853</v>
      </c>
      <c r="R23" s="3">
        <f>ABS(N23-P23)/N23</f>
        <v>0.3475672985</v>
      </c>
      <c r="S23" s="3">
        <f>AD$4*L23+AE$4</f>
        <v>0.01586335469</v>
      </c>
      <c r="T23" s="3">
        <f>N23-S23</f>
        <v>0.00001563696921</v>
      </c>
    </row>
    <row r="24" ht="14.25" customHeight="1">
      <c r="A24" s="7"/>
      <c r="B24" s="7"/>
      <c r="C24" s="1">
        <v>2.0</v>
      </c>
      <c r="D24" s="4">
        <v>4.244</v>
      </c>
      <c r="E24" s="7"/>
      <c r="F24" s="7"/>
      <c r="G24" s="4">
        <v>4.249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4.25" customHeight="1">
      <c r="A25" s="11"/>
      <c r="B25" s="11"/>
      <c r="C25" s="1">
        <v>3.0</v>
      </c>
      <c r="D25" s="4">
        <v>4.244</v>
      </c>
      <c r="E25" s="11"/>
      <c r="F25" s="11"/>
      <c r="G25" s="4">
        <v>4.248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14.25" customHeight="1">
      <c r="A26" s="2">
        <v>0.231</v>
      </c>
      <c r="B26" s="3">
        <f>A26+$B$52/2</f>
        <v>0.251</v>
      </c>
      <c r="C26" s="1">
        <v>1.0</v>
      </c>
      <c r="D26" s="4">
        <v>7.33</v>
      </c>
      <c r="E26" s="5">
        <f>AVERAGE(D26:D28)</f>
        <v>7.328</v>
      </c>
      <c r="F26" s="5">
        <f>SQRT(((D26-E26)^2+(D27-E26)^2+(D28-E26)^2)/2)/SQRT(3)</f>
        <v>0.001</v>
      </c>
      <c r="G26" s="4">
        <v>7.338</v>
      </c>
      <c r="H26" s="5">
        <f>AVERAGE(G26:G28)</f>
        <v>7.338</v>
      </c>
      <c r="I26" s="5">
        <v>0.001</v>
      </c>
      <c r="J26" s="5">
        <f>(E26+H26)/2</f>
        <v>7.333</v>
      </c>
      <c r="K26" s="5">
        <f>0.5*SQRT(I26^2+F26^2)</f>
        <v>0.0007071067812</v>
      </c>
      <c r="L26" s="6">
        <f>J26^2</f>
        <v>53.772889</v>
      </c>
      <c r="M26" s="6">
        <f>2*J26*K26</f>
        <v>0.01037042805</v>
      </c>
      <c r="N26" s="3">
        <f>$B$40*B26^2+$B$43*B26^2+$B$46*$B$49^2/12</f>
        <v>0.03634784526</v>
      </c>
      <c r="O26" s="3">
        <f>SQRT(2*(B26^2*$B$41)^2+(2*B26*$B$40*B$58)^2+(2*B26*B$43*B$58)^2+(B$49^2*B$47/12)^2+(B$46*B$49*B$50)^2)</f>
        <v>0.0001213578485</v>
      </c>
      <c r="P26" s="3">
        <f>AD$4*L26</f>
        <v>0.03089782706</v>
      </c>
      <c r="Q26" s="3">
        <f>SQRT((L26/(4*PI()*PI())*AD$11)^2+(AD$10*J26/(2*PI()*PI())*K26)^2)</f>
        <v>0.0001237362594</v>
      </c>
      <c r="R26" s="3">
        <f>ABS(N26-P26)/N26</f>
        <v>0.1499406131</v>
      </c>
      <c r="S26" s="3">
        <f>AD$4*L26+AE$4</f>
        <v>0.03640120832</v>
      </c>
      <c r="T26" s="3">
        <f>N26-S26</f>
        <v>-0.00005336306267</v>
      </c>
    </row>
    <row r="27" ht="14.25" customHeight="1">
      <c r="A27" s="7"/>
      <c r="B27" s="7"/>
      <c r="C27" s="1">
        <v>2.0</v>
      </c>
      <c r="D27" s="4">
        <v>7.327</v>
      </c>
      <c r="E27" s="7"/>
      <c r="F27" s="7"/>
      <c r="G27" s="4">
        <v>7.339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4.25" customHeight="1">
      <c r="A28" s="11"/>
      <c r="B28" s="11"/>
      <c r="C28" s="1">
        <v>3.0</v>
      </c>
      <c r="D28" s="4">
        <v>7.327</v>
      </c>
      <c r="E28" s="11"/>
      <c r="F28" s="11"/>
      <c r="G28" s="4">
        <v>7.337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4.25" customHeight="1">
      <c r="A29" s="2">
        <v>0.2125</v>
      </c>
      <c r="B29" s="3">
        <f>A29+$B$52/2</f>
        <v>0.2325</v>
      </c>
      <c r="C29" s="1">
        <v>1.0</v>
      </c>
      <c r="D29" s="4">
        <v>6.834</v>
      </c>
      <c r="E29" s="5">
        <f>AVERAGE(D29:D31)</f>
        <v>6.836333333</v>
      </c>
      <c r="F29" s="5">
        <f>SQRT(((D29-E29)^2+(D30-E29)^2+(D31-E29)^2)/2)/SQRT(3)</f>
        <v>0.001201850425</v>
      </c>
      <c r="G29" s="4">
        <v>6.845</v>
      </c>
      <c r="H29" s="5">
        <f>AVERAGE(G29:G31)</f>
        <v>6.844333333</v>
      </c>
      <c r="I29" s="5">
        <f>SQRT(((G29-H29)^2+(G30-H29)^2+(G31-H29)^2)/2)/SQRT(3)</f>
        <v>0.0006666666667</v>
      </c>
      <c r="J29" s="5">
        <f>(E29+H29)/2</f>
        <v>6.840333333</v>
      </c>
      <c r="K29" s="5">
        <f>0.5*SQRT(I29^2+F29^2)</f>
        <v>0.0006871842709</v>
      </c>
      <c r="L29" s="6">
        <f>J29^2</f>
        <v>46.79016011</v>
      </c>
      <c r="M29" s="6">
        <f>2*J29*K29</f>
        <v>0.009401138949</v>
      </c>
      <c r="N29" s="3">
        <f>$B$40*B29^2+$B$43*B29^2+$B$46*$B$49^2/12</f>
        <v>0.03256189038</v>
      </c>
      <c r="O29" s="3">
        <f>SQRT(2*(B29^2*$B$41)^2+(2*B29*$B$40*B$58)^2+(2*B29*B$43*B$58)^2+(B$49^2*B$47/12)^2+(B$46*B$49*B$50)^2)</f>
        <v>0.0001180011929</v>
      </c>
      <c r="P29" s="3">
        <f>AD$4*L29</f>
        <v>0.02688556077</v>
      </c>
      <c r="Q29" s="3">
        <f>SQRT((L29/(4*PI()*PI())*AD$11)^2+(AD$10*J29/(2*PI()*PI())*K29)^2)</f>
        <v>0.0001076790317</v>
      </c>
      <c r="R29" s="3">
        <f>ABS(N29-P29)/N29</f>
        <v>0.1743243263</v>
      </c>
      <c r="S29" s="3">
        <f>AD$4*L29+AE$4</f>
        <v>0.03238894204</v>
      </c>
      <c r="T29" s="3">
        <f>N29-S29</f>
        <v>0.0001729483376</v>
      </c>
    </row>
    <row r="30" ht="14.25" customHeight="1">
      <c r="A30" s="7"/>
      <c r="B30" s="7"/>
      <c r="C30" s="1">
        <v>2.0</v>
      </c>
      <c r="D30" s="4">
        <v>6.838</v>
      </c>
      <c r="E30" s="7"/>
      <c r="F30" s="7"/>
      <c r="G30" s="4">
        <v>6.845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4.25" customHeight="1">
      <c r="A31" s="11"/>
      <c r="B31" s="11"/>
      <c r="C31" s="1">
        <v>3.0</v>
      </c>
      <c r="D31" s="4">
        <v>6.837</v>
      </c>
      <c r="E31" s="11"/>
      <c r="F31" s="11"/>
      <c r="G31" s="4">
        <v>6.843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4.25" customHeight="1">
      <c r="A32" s="2">
        <v>0.0595</v>
      </c>
      <c r="B32" s="3">
        <f>A32+$B$52/2</f>
        <v>0.0795</v>
      </c>
      <c r="C32" s="1">
        <v>1.0</v>
      </c>
      <c r="D32" s="4">
        <v>3.808</v>
      </c>
      <c r="E32" s="5">
        <f>AVERAGE(D32:D34)</f>
        <v>3.808333333</v>
      </c>
      <c r="F32" s="5">
        <f>SQRT(((D32-E32)^2+(D33-E32)^2+(D34-E32)^2)/2)/SQRT(3)</f>
        <v>0.0008819171037</v>
      </c>
      <c r="G32" s="4">
        <v>3.813</v>
      </c>
      <c r="H32" s="5">
        <f>AVERAGE(G32:G34)</f>
        <v>3.813666667</v>
      </c>
      <c r="I32" s="5">
        <f>SQRT(((G32-H32)^2+(G33-H32)^2+(G34-H32)^2)/2)/SQRT(3)</f>
        <v>0.0003333333333</v>
      </c>
      <c r="J32" s="5">
        <f>(E32+H32)/2</f>
        <v>3.811</v>
      </c>
      <c r="K32" s="5">
        <f>0.5*SQRT(I32^2+F32^2)</f>
        <v>0.0004714045208</v>
      </c>
      <c r="L32" s="6">
        <f>J32^2</f>
        <v>14.523721</v>
      </c>
      <c r="M32" s="6">
        <f>2*J32*K32</f>
        <v>0.003593045257</v>
      </c>
      <c r="N32" s="3">
        <f>$B$40*B32^2+$B$43*B32^2+$B$46*$B$49^2/12</f>
        <v>0.01235715102</v>
      </c>
      <c r="O32" s="3">
        <f>SQRT(2*(B32^2*$B$41)^2+(2*B32*$B$40*B$58)^2+(2*B32*B$43*B$58)^2+(B$49^2*B$47/12)^2+(B$46*B$49*B$50)^2)</f>
        <v>0.00009816834261</v>
      </c>
      <c r="P32" s="3">
        <f>AD$4*L32</f>
        <v>0.00834530984</v>
      </c>
      <c r="Q32" s="3">
        <f>SQRT((L32/(4*PI()*PI())*AD$11)^2+(AD$10*J32/(2*PI()*PI())*K32)^2)</f>
        <v>0.00003344539649</v>
      </c>
      <c r="R32" s="3">
        <f>ABS(N32-P32)/N32</f>
        <v>0.324657453</v>
      </c>
      <c r="S32" s="3">
        <f>AD$4*L32+AE$4</f>
        <v>0.01384869111</v>
      </c>
      <c r="T32" s="3">
        <f>N32-S32</f>
        <v>-0.00149154009</v>
      </c>
    </row>
    <row r="33" ht="14.25" customHeight="1">
      <c r="A33" s="7"/>
      <c r="B33" s="7"/>
      <c r="C33" s="1">
        <v>2.0</v>
      </c>
      <c r="D33" s="4">
        <v>3.81</v>
      </c>
      <c r="E33" s="7"/>
      <c r="F33" s="7"/>
      <c r="G33" s="4">
        <v>3.814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4.25" customHeight="1">
      <c r="A34" s="11"/>
      <c r="B34" s="11"/>
      <c r="C34" s="1">
        <v>3.0</v>
      </c>
      <c r="D34" s="4">
        <v>3.807</v>
      </c>
      <c r="E34" s="11"/>
      <c r="F34" s="11"/>
      <c r="G34" s="4">
        <v>3.814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4.25" customHeight="1">
      <c r="A35" s="2">
        <v>0.1835</v>
      </c>
      <c r="B35" s="3">
        <f>A35+$B$52/2</f>
        <v>0.2035</v>
      </c>
      <c r="C35" s="1">
        <v>1.0</v>
      </c>
      <c r="D35" s="4">
        <v>5.879</v>
      </c>
      <c r="E35" s="5">
        <f>AVERAGE(D35:D37)</f>
        <v>5.880333333</v>
      </c>
      <c r="F35" s="5">
        <f>SQRT(((D35-E35)^2+(D36-E35)^2+(D37-E35)^2)/2)/SQRT(3)</f>
        <v>0.00240370085</v>
      </c>
      <c r="G35" s="4">
        <v>5.888</v>
      </c>
      <c r="H35" s="5">
        <f>AVERAGE(G35:G37)</f>
        <v>5.888</v>
      </c>
      <c r="I35" s="5">
        <f>SQRT(((G35-H35)^2+(G36-H35)^2+(G37-H35)^2)/2)/SQRT(3)</f>
        <v>0.0005773502692</v>
      </c>
      <c r="J35" s="5">
        <f>(E35+H35)/2</f>
        <v>5.884166667</v>
      </c>
      <c r="K35" s="5">
        <f>0.5*SQRT(I35^2+F35^2)</f>
        <v>0.001236033081</v>
      </c>
      <c r="L35" s="6">
        <f>J35^2</f>
        <v>34.62341736</v>
      </c>
      <c r="M35" s="6">
        <f>2*J35*K35</f>
        <v>0.01454604931</v>
      </c>
      <c r="N35" s="3">
        <f>$B$40*B35^2+$B$43*B35^2+$B$46*$B$49^2/12</f>
        <v>0.02721019094</v>
      </c>
      <c r="O35" s="3">
        <f>SQRT(2*(B35^2*$B$41)^2+(2*B35*$B$40*B$58)^2+(2*B35*B$43*B$58)^2+(B$49^2*B$47/12)^2+(B$46*B$49*B$50)^2)</f>
        <v>0.0001130867449</v>
      </c>
      <c r="P35" s="3">
        <f>AD$4*L35</f>
        <v>0.01989456735</v>
      </c>
      <c r="Q35" s="3">
        <f>SQRT((L35/(4*PI()*PI())*AD$11)^2+(AD$10*J35/(2*PI()*PI())*K35)^2)</f>
        <v>0.00008001688289</v>
      </c>
      <c r="R35" s="3">
        <f>ABS(N35-P35)/N35</f>
        <v>0.2688560181</v>
      </c>
      <c r="S35" s="3">
        <f>AD$4*L35+AE$4</f>
        <v>0.02539794861</v>
      </c>
      <c r="T35" s="3">
        <f>N35-S35</f>
        <v>0.001812242321</v>
      </c>
    </row>
    <row r="36" ht="14.25" customHeight="1">
      <c r="A36" s="7"/>
      <c r="B36" s="7"/>
      <c r="C36" s="1">
        <v>2.0</v>
      </c>
      <c r="D36" s="4">
        <v>5.877</v>
      </c>
      <c r="E36" s="7"/>
      <c r="F36" s="7"/>
      <c r="G36" s="4">
        <v>5.887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4.25" customHeight="1">
      <c r="A37" s="11"/>
      <c r="B37" s="11"/>
      <c r="C37" s="1">
        <v>3.0</v>
      </c>
      <c r="D37" s="4">
        <v>5.885</v>
      </c>
      <c r="E37" s="11"/>
      <c r="F37" s="11"/>
      <c r="G37" s="4">
        <v>5.889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4.25" customHeight="1"/>
    <row r="39" ht="14.25" customHeight="1"/>
    <row r="40" ht="14.25" customHeight="1">
      <c r="A40" s="1" t="s">
        <v>30</v>
      </c>
      <c r="B40" s="1">
        <v>0.21244</v>
      </c>
      <c r="D40" s="1" t="s">
        <v>31</v>
      </c>
      <c r="E40" s="1" t="s">
        <v>9</v>
      </c>
      <c r="F40" s="1" t="s">
        <v>10</v>
      </c>
      <c r="G40" s="1" t="s">
        <v>32</v>
      </c>
      <c r="H40" s="1" t="s">
        <v>33</v>
      </c>
      <c r="I40" s="1" t="s">
        <v>34</v>
      </c>
      <c r="J40" s="1" t="s">
        <v>35</v>
      </c>
      <c r="K40" s="1" t="s">
        <v>36</v>
      </c>
      <c r="L40" s="1" t="s">
        <v>37</v>
      </c>
      <c r="M40" s="1" t="s">
        <v>17</v>
      </c>
      <c r="N40" s="1" t="s">
        <v>38</v>
      </c>
      <c r="O40" s="1" t="s">
        <v>39</v>
      </c>
      <c r="Q40" s="16" t="s">
        <v>40</v>
      </c>
      <c r="R40" s="16" t="s">
        <v>41</v>
      </c>
    </row>
    <row r="41" ht="14.25" customHeight="1">
      <c r="A41" s="1" t="s">
        <v>42</v>
      </c>
      <c r="B41" s="1">
        <v>1.0E-5</v>
      </c>
      <c r="D41" s="17">
        <f>B2</f>
        <v>0.2295</v>
      </c>
      <c r="E41" s="4">
        <f t="shared" ref="E41:F41" si="2">J2</f>
        <v>6.787166667</v>
      </c>
      <c r="F41" s="4">
        <f t="shared" si="2"/>
        <v>0.002068278941</v>
      </c>
      <c r="G41" s="18">
        <f t="shared" ref="G41:G52" si="5">E41^2</f>
        <v>46.06563136</v>
      </c>
      <c r="H41" s="19">
        <f t="shared" ref="H41:H52" si="6">2*E41*F41</f>
        <v>0.02807550777</v>
      </c>
      <c r="I41" s="4">
        <f t="shared" ref="I41:O41" si="3">N2</f>
        <v>0.03197525202</v>
      </c>
      <c r="J41" s="17">
        <f t="shared" si="3"/>
        <v>0.0001174725052</v>
      </c>
      <c r="K41" s="17">
        <f t="shared" si="3"/>
        <v>0.02646924756</v>
      </c>
      <c r="L41" s="17">
        <f t="shared" si="3"/>
        <v>0.0001071001156</v>
      </c>
      <c r="M41" s="19">
        <f t="shared" si="3"/>
        <v>0.172195811</v>
      </c>
      <c r="N41" s="17">
        <f t="shared" si="3"/>
        <v>0.03197262883</v>
      </c>
      <c r="O41" s="20">
        <f t="shared" si="3"/>
        <v>0.000002623187345</v>
      </c>
      <c r="Q41" s="21">
        <f t="shared" ref="Q41:Q50" si="8">N41+AE$6</f>
        <v>0.03205827053</v>
      </c>
      <c r="R41" s="21">
        <f t="shared" ref="R41:R50" si="9">N41-AE$6</f>
        <v>0.03188698713</v>
      </c>
    </row>
    <row r="42" ht="14.25" customHeight="1">
      <c r="D42" s="17">
        <f>B5</f>
        <v>0.179</v>
      </c>
      <c r="E42" s="4">
        <f t="shared" ref="E42:F42" si="4">J5</f>
        <v>5.575</v>
      </c>
      <c r="F42" s="4">
        <f t="shared" si="4"/>
        <v>0.001</v>
      </c>
      <c r="G42" s="18">
        <f t="shared" si="5"/>
        <v>31.080625</v>
      </c>
      <c r="H42" s="19">
        <f t="shared" si="6"/>
        <v>0.01115</v>
      </c>
      <c r="I42" s="4">
        <f t="shared" ref="I42:O42" si="7">N5</f>
        <v>0.02324371566</v>
      </c>
      <c r="J42" s="17">
        <f t="shared" si="7"/>
        <v>0.0001093020501</v>
      </c>
      <c r="K42" s="17">
        <f t="shared" si="7"/>
        <v>0.0178588838</v>
      </c>
      <c r="L42" s="17">
        <f t="shared" si="7"/>
        <v>0.00007172305728</v>
      </c>
      <c r="M42" s="19">
        <f t="shared" si="7"/>
        <v>0.2316682901</v>
      </c>
      <c r="N42" s="17">
        <f t="shared" si="7"/>
        <v>0.02336226506</v>
      </c>
      <c r="O42" s="20">
        <f t="shared" si="7"/>
        <v>-0.0001185494024</v>
      </c>
      <c r="Q42" s="21">
        <f t="shared" si="8"/>
        <v>0.02344790676</v>
      </c>
      <c r="R42" s="21">
        <f t="shared" si="9"/>
        <v>0.02327662336</v>
      </c>
    </row>
    <row r="43" ht="14.25" customHeight="1">
      <c r="A43" s="1" t="s">
        <v>43</v>
      </c>
      <c r="B43" s="1">
        <v>0.21082</v>
      </c>
      <c r="D43" s="17">
        <f>B8</f>
        <v>0.221</v>
      </c>
      <c r="E43" s="4">
        <f t="shared" ref="E43:F43" si="10">J8</f>
        <v>6.587166667</v>
      </c>
      <c r="F43" s="4">
        <f t="shared" si="10"/>
        <v>0.0022852182</v>
      </c>
      <c r="G43" s="18">
        <f t="shared" si="5"/>
        <v>43.39076469</v>
      </c>
      <c r="H43" s="19">
        <f t="shared" si="6"/>
        <v>0.03010622631</v>
      </c>
      <c r="I43" s="4">
        <f t="shared" ref="I43:O43" si="11">N8</f>
        <v>0.03035448366</v>
      </c>
      <c r="J43" s="17">
        <f t="shared" si="11"/>
        <v>0.0001159993361</v>
      </c>
      <c r="K43" s="17">
        <f t="shared" si="11"/>
        <v>0.0249322729</v>
      </c>
      <c r="L43" s="17">
        <f t="shared" si="11"/>
        <v>0.0001012194158</v>
      </c>
      <c r="M43" s="19">
        <f t="shared" si="11"/>
        <v>0.1786296488</v>
      </c>
      <c r="N43" s="17">
        <f t="shared" si="11"/>
        <v>0.03043565417</v>
      </c>
      <c r="O43" s="20">
        <f t="shared" si="11"/>
        <v>-0.00008117050988</v>
      </c>
      <c r="Q43" s="21">
        <f t="shared" si="8"/>
        <v>0.03052129587</v>
      </c>
      <c r="R43" s="21">
        <f t="shared" si="9"/>
        <v>0.03035001247</v>
      </c>
    </row>
    <row r="44" ht="14.25" customHeight="1">
      <c r="A44" s="1" t="s">
        <v>44</v>
      </c>
      <c r="B44" s="1">
        <v>1.0E-5</v>
      </c>
      <c r="D44" s="17">
        <f>B11</f>
        <v>0.199</v>
      </c>
      <c r="E44" s="4">
        <f t="shared" ref="E44:F44" si="12">J11</f>
        <v>6.035333333</v>
      </c>
      <c r="F44" s="4">
        <f t="shared" si="12"/>
        <v>0.0005270462767</v>
      </c>
      <c r="G44" s="18">
        <f t="shared" si="5"/>
        <v>36.42524844</v>
      </c>
      <c r="H44" s="19">
        <f t="shared" si="6"/>
        <v>0.006361799924</v>
      </c>
      <c r="I44" s="4">
        <f t="shared" ref="I44:O44" si="13">N11</f>
        <v>0.02644356126</v>
      </c>
      <c r="J44" s="17">
        <f t="shared" si="13"/>
        <v>0.0001123651756</v>
      </c>
      <c r="K44" s="17">
        <f t="shared" si="13"/>
        <v>0.02092989698</v>
      </c>
      <c r="L44" s="17">
        <f t="shared" si="13"/>
        <v>0.00008380029359</v>
      </c>
      <c r="M44" s="19">
        <f t="shared" si="13"/>
        <v>0.2085068735</v>
      </c>
      <c r="N44" s="17">
        <f t="shared" si="13"/>
        <v>0.02643327824</v>
      </c>
      <c r="O44" s="20">
        <f t="shared" si="13"/>
        <v>0.0000102830171</v>
      </c>
      <c r="Q44" s="21">
        <f t="shared" si="8"/>
        <v>0.02651891994</v>
      </c>
      <c r="R44" s="21">
        <f t="shared" si="9"/>
        <v>0.02634763654</v>
      </c>
    </row>
    <row r="45" ht="14.25" customHeight="1">
      <c r="D45" s="17">
        <f>B14</f>
        <v>0.171</v>
      </c>
      <c r="E45" s="4">
        <f t="shared" ref="E45:F45" si="14">J14</f>
        <v>5.3695</v>
      </c>
      <c r="F45" s="4">
        <f t="shared" si="14"/>
        <v>0.001201850425</v>
      </c>
      <c r="G45" s="18">
        <f t="shared" si="5"/>
        <v>28.83153025</v>
      </c>
      <c r="H45" s="19">
        <f t="shared" si="6"/>
        <v>0.01290667172</v>
      </c>
      <c r="I45" s="4">
        <f t="shared" ref="I45:O45" si="15">N14</f>
        <v>0.02205858766</v>
      </c>
      <c r="J45" s="17">
        <f t="shared" si="15"/>
        <v>0.0001081455708</v>
      </c>
      <c r="K45" s="17">
        <f t="shared" si="15"/>
        <v>0.01656655709</v>
      </c>
      <c r="L45" s="17">
        <f t="shared" si="15"/>
        <v>0.0000666806637</v>
      </c>
      <c r="M45" s="19">
        <f t="shared" si="15"/>
        <v>0.2489747148</v>
      </c>
      <c r="N45" s="17">
        <f t="shared" si="15"/>
        <v>0.02206993835</v>
      </c>
      <c r="O45" s="20">
        <f t="shared" si="15"/>
        <v>-0.00001135069439</v>
      </c>
      <c r="Q45" s="21">
        <f t="shared" si="8"/>
        <v>0.02215558005</v>
      </c>
      <c r="R45" s="21">
        <f t="shared" si="9"/>
        <v>0.02198429666</v>
      </c>
    </row>
    <row r="46" ht="14.25" customHeight="1">
      <c r="A46" s="1" t="s">
        <v>45</v>
      </c>
      <c r="B46" s="1">
        <v>0.31224</v>
      </c>
      <c r="D46" s="17">
        <f>B17</f>
        <v>0.151</v>
      </c>
      <c r="E46" s="4">
        <f t="shared" ref="E46:F46" si="16">J17</f>
        <v>4.893666667</v>
      </c>
      <c r="F46" s="4">
        <f t="shared" si="16"/>
        <v>0.001301708279</v>
      </c>
      <c r="G46" s="18">
        <f t="shared" si="5"/>
        <v>23.94797344</v>
      </c>
      <c r="H46" s="19">
        <f t="shared" si="6"/>
        <v>0.01274025283</v>
      </c>
      <c r="I46" s="4">
        <f t="shared" ref="I46:O46" si="17">N17</f>
        <v>0.01933279326</v>
      </c>
      <c r="J46" s="17">
        <f t="shared" si="17"/>
        <v>0.0001054375975</v>
      </c>
      <c r="K46" s="17">
        <f t="shared" si="17"/>
        <v>0.01376047216</v>
      </c>
      <c r="L46" s="17">
        <f t="shared" si="17"/>
        <v>0.00005552717948</v>
      </c>
      <c r="M46" s="19">
        <f t="shared" si="17"/>
        <v>0.2882315571</v>
      </c>
      <c r="N46" s="17">
        <f t="shared" si="17"/>
        <v>0.01926385342</v>
      </c>
      <c r="O46" s="20">
        <f t="shared" si="17"/>
        <v>0.00006893983816</v>
      </c>
      <c r="Q46" s="21">
        <f t="shared" si="8"/>
        <v>0.01934949512</v>
      </c>
      <c r="R46" s="21">
        <f t="shared" si="9"/>
        <v>0.01917821172</v>
      </c>
    </row>
    <row r="47" ht="14.25" customHeight="1">
      <c r="A47" s="1" t="s">
        <v>46</v>
      </c>
      <c r="B47" s="1">
        <v>1.0E-5</v>
      </c>
      <c r="D47" s="17">
        <f>B20</f>
        <v>0.129</v>
      </c>
      <c r="E47" s="4">
        <f t="shared" ref="E47:F47" si="18">J20</f>
        <v>4.4205</v>
      </c>
      <c r="F47" s="4">
        <f t="shared" si="18"/>
        <v>0.001</v>
      </c>
      <c r="G47" s="18">
        <f t="shared" si="5"/>
        <v>19.54082025</v>
      </c>
      <c r="H47" s="19">
        <f t="shared" si="6"/>
        <v>0.008841</v>
      </c>
      <c r="I47" s="4">
        <f t="shared" ref="I47:O47" si="19">N20</f>
        <v>0.01672551166</v>
      </c>
      <c r="J47" s="17">
        <f t="shared" si="19"/>
        <v>0.0001027806977</v>
      </c>
      <c r="K47" s="17">
        <f t="shared" si="19"/>
        <v>0.01122812807</v>
      </c>
      <c r="L47" s="17">
        <f t="shared" si="19"/>
        <v>0.00004519939919</v>
      </c>
      <c r="M47" s="19">
        <f t="shared" si="19"/>
        <v>0.3286825358</v>
      </c>
      <c r="N47" s="17">
        <f t="shared" si="19"/>
        <v>0.01673150934</v>
      </c>
      <c r="O47" s="20">
        <f t="shared" si="19"/>
        <v>-0.000005997680097</v>
      </c>
      <c r="Q47" s="21">
        <f t="shared" si="8"/>
        <v>0.01681715104</v>
      </c>
      <c r="R47" s="21">
        <f t="shared" si="9"/>
        <v>0.01664586764</v>
      </c>
    </row>
    <row r="48" ht="14.25" customHeight="1">
      <c r="D48" s="17">
        <f>B23</f>
        <v>0.121</v>
      </c>
      <c r="E48" s="4">
        <f t="shared" ref="E48:F48" si="20">J23</f>
        <v>4.246166667</v>
      </c>
      <c r="F48" s="4">
        <f t="shared" si="20"/>
        <v>0.0007071067812</v>
      </c>
      <c r="G48" s="18">
        <f t="shared" si="5"/>
        <v>18.02993136</v>
      </c>
      <c r="H48" s="19">
        <f t="shared" si="6"/>
        <v>0.006004986488</v>
      </c>
      <c r="I48" s="4">
        <f t="shared" ref="I48:O48" si="21">N23</f>
        <v>0.01587899166</v>
      </c>
      <c r="J48" s="17">
        <f t="shared" si="21"/>
        <v>0.0001019031882</v>
      </c>
      <c r="K48" s="17">
        <f t="shared" si="21"/>
        <v>0.01035997343</v>
      </c>
      <c r="L48" s="17">
        <f t="shared" si="21"/>
        <v>0.00004158375853</v>
      </c>
      <c r="M48" s="19">
        <f t="shared" si="21"/>
        <v>0.3475672985</v>
      </c>
      <c r="N48" s="17">
        <f t="shared" si="21"/>
        <v>0.01586335469</v>
      </c>
      <c r="O48" s="20">
        <f t="shared" si="21"/>
        <v>0.00001563696921</v>
      </c>
      <c r="Q48" s="21">
        <f t="shared" si="8"/>
        <v>0.01594899639</v>
      </c>
      <c r="R48" s="21">
        <f t="shared" si="9"/>
        <v>0.01577771299</v>
      </c>
    </row>
    <row r="49" ht="14.25" customHeight="1">
      <c r="A49" s="1" t="s">
        <v>47</v>
      </c>
      <c r="B49" s="20">
        <v>0.61</v>
      </c>
      <c r="D49" s="17">
        <f>B26</f>
        <v>0.251</v>
      </c>
      <c r="E49" s="4">
        <f t="shared" ref="E49:F49" si="22">J26</f>
        <v>7.333</v>
      </c>
      <c r="F49" s="4">
        <f t="shared" si="22"/>
        <v>0.0007071067812</v>
      </c>
      <c r="G49" s="18">
        <f t="shared" si="5"/>
        <v>53.772889</v>
      </c>
      <c r="H49" s="19">
        <f t="shared" si="6"/>
        <v>0.01037042805</v>
      </c>
      <c r="I49" s="4">
        <f t="shared" ref="I49:O49" si="23">N26</f>
        <v>0.03634784526</v>
      </c>
      <c r="J49" s="17">
        <f t="shared" si="23"/>
        <v>0.0001213578485</v>
      </c>
      <c r="K49" s="17">
        <f t="shared" si="23"/>
        <v>0.03089782706</v>
      </c>
      <c r="L49" s="17">
        <f t="shared" si="23"/>
        <v>0.0001237362594</v>
      </c>
      <c r="M49" s="19">
        <f t="shared" si="23"/>
        <v>0.1499406131</v>
      </c>
      <c r="N49" s="17">
        <f t="shared" si="23"/>
        <v>0.03640120832</v>
      </c>
      <c r="O49" s="20">
        <f t="shared" si="23"/>
        <v>-0.00005336306267</v>
      </c>
      <c r="Q49" s="21">
        <f t="shared" si="8"/>
        <v>0.03648685002</v>
      </c>
      <c r="R49" s="21">
        <f t="shared" si="9"/>
        <v>0.03631556662</v>
      </c>
    </row>
    <row r="50" ht="14.25" customHeight="1">
      <c r="A50" s="1" t="s">
        <v>48</v>
      </c>
      <c r="B50" s="1">
        <v>5.0E-4</v>
      </c>
      <c r="D50" s="17">
        <f>B29</f>
        <v>0.2325</v>
      </c>
      <c r="E50" s="4">
        <f t="shared" ref="E50:F50" si="24">J29</f>
        <v>6.840333333</v>
      </c>
      <c r="F50" s="4">
        <f t="shared" si="24"/>
        <v>0.0006871842709</v>
      </c>
      <c r="G50" s="18">
        <f t="shared" si="5"/>
        <v>46.79016011</v>
      </c>
      <c r="H50" s="19">
        <f t="shared" si="6"/>
        <v>0.009401138949</v>
      </c>
      <c r="I50" s="4">
        <f t="shared" ref="I50:O50" si="25">N29</f>
        <v>0.03256189038</v>
      </c>
      <c r="J50" s="17">
        <f t="shared" si="25"/>
        <v>0.0001180011929</v>
      </c>
      <c r="K50" s="17">
        <f t="shared" si="25"/>
        <v>0.02688556077</v>
      </c>
      <c r="L50" s="17">
        <f t="shared" si="25"/>
        <v>0.0001076790317</v>
      </c>
      <c r="M50" s="19">
        <f t="shared" si="25"/>
        <v>0.1743243263</v>
      </c>
      <c r="N50" s="17">
        <f t="shared" si="25"/>
        <v>0.03238894204</v>
      </c>
      <c r="O50" s="20">
        <f t="shared" si="25"/>
        <v>0.0001729483376</v>
      </c>
      <c r="Q50" s="21">
        <f t="shared" si="8"/>
        <v>0.03247458374</v>
      </c>
      <c r="R50" s="21">
        <f t="shared" si="9"/>
        <v>0.03230330034</v>
      </c>
    </row>
    <row r="51" ht="14.25" customHeight="1">
      <c r="D51" s="22">
        <f>B32</f>
        <v>0.0795</v>
      </c>
      <c r="E51" s="23">
        <f t="shared" ref="E51:F51" si="26">J32</f>
        <v>3.811</v>
      </c>
      <c r="F51" s="23">
        <f t="shared" si="26"/>
        <v>0.0004714045208</v>
      </c>
      <c r="G51" s="24">
        <f t="shared" si="5"/>
        <v>14.523721</v>
      </c>
      <c r="H51" s="25">
        <f t="shared" si="6"/>
        <v>0.003593045257</v>
      </c>
      <c r="I51" s="23">
        <f t="shared" ref="I51:M51" si="27">N32</f>
        <v>0.01235715102</v>
      </c>
      <c r="J51" s="22">
        <f t="shared" si="27"/>
        <v>0.00009816834261</v>
      </c>
      <c r="K51" s="22">
        <f t="shared" si="27"/>
        <v>0.00834530984</v>
      </c>
      <c r="L51" s="22">
        <f t="shared" si="27"/>
        <v>0.00003344539649</v>
      </c>
      <c r="M51" s="25">
        <f t="shared" si="27"/>
        <v>0.324657453</v>
      </c>
      <c r="O51" s="21"/>
      <c r="P51" s="21"/>
    </row>
    <row r="52" ht="14.25" customHeight="1">
      <c r="A52" s="1" t="s">
        <v>49</v>
      </c>
      <c r="B52" s="17">
        <v>0.04</v>
      </c>
      <c r="D52" s="22">
        <f>B35</f>
        <v>0.2035</v>
      </c>
      <c r="E52" s="23">
        <f t="shared" ref="E52:F52" si="28">J35</f>
        <v>5.884166667</v>
      </c>
      <c r="F52" s="23">
        <f t="shared" si="28"/>
        <v>0.001236033081</v>
      </c>
      <c r="G52" s="24">
        <f t="shared" si="5"/>
        <v>34.62341736</v>
      </c>
      <c r="H52" s="25">
        <f t="shared" si="6"/>
        <v>0.01454604931</v>
      </c>
      <c r="I52" s="23">
        <f t="shared" ref="I52:M52" si="29">N35</f>
        <v>0.02721019094</v>
      </c>
      <c r="J52" s="22">
        <f t="shared" si="29"/>
        <v>0.0001130867449</v>
      </c>
      <c r="K52" s="22">
        <f t="shared" si="29"/>
        <v>0.01989456735</v>
      </c>
      <c r="L52" s="22">
        <f t="shared" si="29"/>
        <v>0.00008001688289</v>
      </c>
      <c r="M52" s="25">
        <f t="shared" si="29"/>
        <v>0.2688560181</v>
      </c>
      <c r="O52" s="21"/>
      <c r="P52" s="21"/>
    </row>
    <row r="53" ht="14.25" customHeight="1">
      <c r="A53" s="1" t="s">
        <v>50</v>
      </c>
      <c r="B53" s="1">
        <v>5.0E-5</v>
      </c>
    </row>
    <row r="54" ht="14.25" customHeight="1"/>
    <row r="55" ht="14.25" customHeight="1">
      <c r="A55" s="1" t="s">
        <v>51</v>
      </c>
      <c r="B55" s="17">
        <v>0.04</v>
      </c>
    </row>
    <row r="56" ht="14.25" customHeight="1">
      <c r="A56" s="1" t="s">
        <v>52</v>
      </c>
      <c r="B56" s="1">
        <v>5.0E-5</v>
      </c>
    </row>
    <row r="57" ht="14.25" customHeight="1"/>
    <row r="58" ht="14.25" customHeight="1">
      <c r="A58" s="1" t="s">
        <v>53</v>
      </c>
      <c r="B58" s="17">
        <f>SQRT(0.0005^2+B53^2/4)</f>
        <v>0.0005006246099</v>
      </c>
    </row>
    <row r="59" ht="14.25" customHeight="1"/>
    <row r="60" ht="14.25" customHeight="1"/>
    <row r="61" ht="14.25" customHeight="1"/>
    <row r="62" ht="14.25" customHeight="1"/>
    <row r="63" ht="14.25" customHeight="1">
      <c r="D63" s="26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5">
    <mergeCell ref="R2:R4"/>
    <mergeCell ref="S2:S4"/>
    <mergeCell ref="T2:T4"/>
    <mergeCell ref="AC3:AF3"/>
    <mergeCell ref="K2:K4"/>
    <mergeCell ref="L2:L4"/>
    <mergeCell ref="M2:M4"/>
    <mergeCell ref="N2:N4"/>
    <mergeCell ref="O2:O4"/>
    <mergeCell ref="P2:P4"/>
    <mergeCell ref="Q2:Q4"/>
    <mergeCell ref="A2:A4"/>
    <mergeCell ref="B2:B4"/>
    <mergeCell ref="E2:E4"/>
    <mergeCell ref="F2:F4"/>
    <mergeCell ref="H2:H4"/>
    <mergeCell ref="I2:I4"/>
    <mergeCell ref="J2:J4"/>
    <mergeCell ref="R5:R7"/>
    <mergeCell ref="S5:S7"/>
    <mergeCell ref="T5:T7"/>
    <mergeCell ref="T8:T10"/>
    <mergeCell ref="K5:K7"/>
    <mergeCell ref="L5:L7"/>
    <mergeCell ref="M5:M7"/>
    <mergeCell ref="N5:N7"/>
    <mergeCell ref="O5:O7"/>
    <mergeCell ref="P5:P7"/>
    <mergeCell ref="Q5:Q7"/>
    <mergeCell ref="A5:A7"/>
    <mergeCell ref="B5:B7"/>
    <mergeCell ref="E5:E7"/>
    <mergeCell ref="F5:F7"/>
    <mergeCell ref="H5:H7"/>
    <mergeCell ref="I5:I7"/>
    <mergeCell ref="J5:J7"/>
    <mergeCell ref="A8:A10"/>
    <mergeCell ref="B8:B10"/>
    <mergeCell ref="E8:E10"/>
    <mergeCell ref="F8:F10"/>
    <mergeCell ref="H8:H10"/>
    <mergeCell ref="I8:I10"/>
    <mergeCell ref="J8:J10"/>
    <mergeCell ref="K14:K16"/>
    <mergeCell ref="L14:L16"/>
    <mergeCell ref="M14:M16"/>
    <mergeCell ref="N14:N16"/>
    <mergeCell ref="O14:O16"/>
    <mergeCell ref="P14:P16"/>
    <mergeCell ref="Q14:Q16"/>
    <mergeCell ref="A14:A16"/>
    <mergeCell ref="B14:B16"/>
    <mergeCell ref="E14:E16"/>
    <mergeCell ref="F14:F16"/>
    <mergeCell ref="H14:H16"/>
    <mergeCell ref="I14:I16"/>
    <mergeCell ref="J14:J16"/>
    <mergeCell ref="R17:R19"/>
    <mergeCell ref="S17:S19"/>
    <mergeCell ref="K17:K19"/>
    <mergeCell ref="L17:L19"/>
    <mergeCell ref="M17:M19"/>
    <mergeCell ref="N17:N19"/>
    <mergeCell ref="O17:O19"/>
    <mergeCell ref="P17:P19"/>
    <mergeCell ref="Q17:Q19"/>
    <mergeCell ref="R8:R10"/>
    <mergeCell ref="S8:S10"/>
    <mergeCell ref="K8:K10"/>
    <mergeCell ref="L8:L10"/>
    <mergeCell ref="M8:M10"/>
    <mergeCell ref="N8:N10"/>
    <mergeCell ref="O8:O10"/>
    <mergeCell ref="P8:P10"/>
    <mergeCell ref="Q8:Q10"/>
    <mergeCell ref="R11:R13"/>
    <mergeCell ref="S11:S13"/>
    <mergeCell ref="T11:T13"/>
    <mergeCell ref="K11:K13"/>
    <mergeCell ref="L11:L13"/>
    <mergeCell ref="M11:M13"/>
    <mergeCell ref="N11:N13"/>
    <mergeCell ref="O11:O13"/>
    <mergeCell ref="P11:P13"/>
    <mergeCell ref="Q11:Q13"/>
    <mergeCell ref="A11:A13"/>
    <mergeCell ref="B11:B13"/>
    <mergeCell ref="E11:E13"/>
    <mergeCell ref="F11:F13"/>
    <mergeCell ref="H11:H13"/>
    <mergeCell ref="I11:I13"/>
    <mergeCell ref="J11:J13"/>
    <mergeCell ref="R14:R16"/>
    <mergeCell ref="S14:S16"/>
    <mergeCell ref="T14:T16"/>
    <mergeCell ref="T17:T19"/>
    <mergeCell ref="A17:A19"/>
    <mergeCell ref="B17:B19"/>
    <mergeCell ref="E17:E19"/>
    <mergeCell ref="F17:F19"/>
    <mergeCell ref="H17:H19"/>
    <mergeCell ref="I17:I19"/>
    <mergeCell ref="J17:J19"/>
    <mergeCell ref="R26:R28"/>
    <mergeCell ref="S26:S28"/>
    <mergeCell ref="K26:K28"/>
    <mergeCell ref="L26:L28"/>
    <mergeCell ref="M26:M28"/>
    <mergeCell ref="N26:N28"/>
    <mergeCell ref="O26:O28"/>
    <mergeCell ref="P26:P28"/>
    <mergeCell ref="Q26:Q28"/>
    <mergeCell ref="R20:R22"/>
    <mergeCell ref="S20:S22"/>
    <mergeCell ref="T20:T22"/>
    <mergeCell ref="K20:K22"/>
    <mergeCell ref="L20:L22"/>
    <mergeCell ref="M20:M22"/>
    <mergeCell ref="N20:N22"/>
    <mergeCell ref="O20:O22"/>
    <mergeCell ref="P20:P22"/>
    <mergeCell ref="Q20:Q22"/>
    <mergeCell ref="A20:A22"/>
    <mergeCell ref="B20:B22"/>
    <mergeCell ref="E20:E22"/>
    <mergeCell ref="F20:F22"/>
    <mergeCell ref="H20:H22"/>
    <mergeCell ref="I20:I22"/>
    <mergeCell ref="J20:J22"/>
    <mergeCell ref="R23:R25"/>
    <mergeCell ref="S23:S25"/>
    <mergeCell ref="T23:T25"/>
    <mergeCell ref="T26:T28"/>
    <mergeCell ref="K23:K25"/>
    <mergeCell ref="L23:L25"/>
    <mergeCell ref="M23:M25"/>
    <mergeCell ref="N23:N25"/>
    <mergeCell ref="O23:O25"/>
    <mergeCell ref="P23:P25"/>
    <mergeCell ref="Q23:Q25"/>
    <mergeCell ref="A23:A25"/>
    <mergeCell ref="B23:B25"/>
    <mergeCell ref="E23:E25"/>
    <mergeCell ref="F23:F25"/>
    <mergeCell ref="H23:H25"/>
    <mergeCell ref="I23:I25"/>
    <mergeCell ref="J23:J25"/>
    <mergeCell ref="A26:A28"/>
    <mergeCell ref="B26:B28"/>
    <mergeCell ref="E26:E28"/>
    <mergeCell ref="F26:F28"/>
    <mergeCell ref="H26:H28"/>
    <mergeCell ref="I26:I28"/>
    <mergeCell ref="J26:J28"/>
    <mergeCell ref="R35:R37"/>
    <mergeCell ref="S35:S37"/>
    <mergeCell ref="K35:K37"/>
    <mergeCell ref="L35:L37"/>
    <mergeCell ref="M35:M37"/>
    <mergeCell ref="N35:N37"/>
    <mergeCell ref="O35:O37"/>
    <mergeCell ref="P35:P37"/>
    <mergeCell ref="Q35:Q37"/>
    <mergeCell ref="R29:R31"/>
    <mergeCell ref="S29:S31"/>
    <mergeCell ref="T29:T31"/>
    <mergeCell ref="K29:K31"/>
    <mergeCell ref="L29:L31"/>
    <mergeCell ref="M29:M31"/>
    <mergeCell ref="N29:N31"/>
    <mergeCell ref="O29:O31"/>
    <mergeCell ref="P29:P31"/>
    <mergeCell ref="Q29:Q31"/>
    <mergeCell ref="A29:A31"/>
    <mergeCell ref="B29:B31"/>
    <mergeCell ref="E29:E31"/>
    <mergeCell ref="F29:F31"/>
    <mergeCell ref="H29:H31"/>
    <mergeCell ref="I29:I31"/>
    <mergeCell ref="J29:J31"/>
    <mergeCell ref="R32:R34"/>
    <mergeCell ref="S32:S34"/>
    <mergeCell ref="T32:T34"/>
    <mergeCell ref="T35:T37"/>
    <mergeCell ref="K32:K34"/>
    <mergeCell ref="L32:L34"/>
    <mergeCell ref="M32:M34"/>
    <mergeCell ref="N32:N34"/>
    <mergeCell ref="O32:O34"/>
    <mergeCell ref="P32:P34"/>
    <mergeCell ref="Q32:Q34"/>
    <mergeCell ref="A32:A34"/>
    <mergeCell ref="B32:B34"/>
    <mergeCell ref="E32:E34"/>
    <mergeCell ref="F32:F34"/>
    <mergeCell ref="H32:H34"/>
    <mergeCell ref="I32:I34"/>
    <mergeCell ref="J32:J34"/>
    <mergeCell ref="A35:A37"/>
    <mergeCell ref="B35:B37"/>
    <mergeCell ref="E35:E37"/>
    <mergeCell ref="F35:F37"/>
    <mergeCell ref="H35:H37"/>
    <mergeCell ref="I35:I37"/>
    <mergeCell ref="J35:J3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7.29"/>
    <col customWidth="1" min="3" max="3" width="13.0"/>
    <col customWidth="1" min="4" max="4" width="15.43"/>
    <col customWidth="1" min="5" max="5" width="16.14"/>
    <col customWidth="1" min="6" max="6" width="16.57"/>
    <col customWidth="1" min="7" max="7" width="14.29"/>
    <col customWidth="1" min="8" max="8" width="13.71"/>
    <col customWidth="1" min="9" max="9" width="14.86"/>
    <col customWidth="1" min="10" max="10" width="15.14"/>
    <col customWidth="1" min="11" max="11" width="16.29"/>
    <col customWidth="1" min="12" max="12" width="9.29"/>
    <col customWidth="1" min="13" max="14" width="8.71"/>
    <col customWidth="1" min="15" max="15" width="10.71"/>
    <col customWidth="1" min="16" max="16" width="9.86"/>
    <col customWidth="1" min="17" max="26" width="8.71"/>
  </cols>
  <sheetData>
    <row r="1" ht="14.25" customHeight="1">
      <c r="A1" s="1" t="s">
        <v>54</v>
      </c>
      <c r="B1" s="1" t="s">
        <v>55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9</v>
      </c>
      <c r="K1" s="1" t="s">
        <v>10</v>
      </c>
      <c r="L1" s="1" t="s">
        <v>62</v>
      </c>
      <c r="M1" s="1" t="s">
        <v>63</v>
      </c>
    </row>
    <row r="2" ht="14.25" customHeight="1">
      <c r="A2" s="27">
        <v>0.214</v>
      </c>
      <c r="B2" s="28">
        <f>B$34/2-B$37-A2</f>
        <v>0.051</v>
      </c>
      <c r="C2" s="1">
        <v>1.0</v>
      </c>
      <c r="D2" s="4">
        <v>8.058</v>
      </c>
      <c r="E2" s="5">
        <f>AVERAGE(D2:D4)</f>
        <v>8.052666667</v>
      </c>
      <c r="F2" s="5">
        <f>SQRT(((D2-E2)^2+(D3-E2)^2+(D4-E2)^2)/2)/SQRT(3)</f>
        <v>0.002728450924</v>
      </c>
      <c r="G2" s="4">
        <v>8.071</v>
      </c>
      <c r="H2" s="5">
        <f>AVERAGE(G2:G4)</f>
        <v>8.071666667</v>
      </c>
      <c r="I2" s="5">
        <f>SQRT(((G2-H2)^2+(G3-H2)^2+(G4-H2)^2)/2)/SQRT(3)</f>
        <v>0.001201850425</v>
      </c>
      <c r="J2" s="5">
        <f>(E2+H2)/2</f>
        <v>8.062166667</v>
      </c>
      <c r="K2" s="5">
        <f>0.5*SQRT(I2^2+F2^2)</f>
        <v>0.001490711985</v>
      </c>
      <c r="L2" s="6">
        <f>J2^2</f>
        <v>64.99853136</v>
      </c>
      <c r="M2" s="6">
        <f>2*J2*K2</f>
        <v>0.02403673695</v>
      </c>
    </row>
    <row r="3" ht="14.25" customHeight="1">
      <c r="A3" s="7"/>
      <c r="B3" s="7"/>
      <c r="C3" s="1">
        <v>2.0</v>
      </c>
      <c r="D3" s="4">
        <v>8.049</v>
      </c>
      <c r="E3" s="7"/>
      <c r="F3" s="7"/>
      <c r="G3" s="4">
        <v>8.07</v>
      </c>
      <c r="H3" s="7"/>
      <c r="I3" s="7"/>
      <c r="J3" s="7"/>
      <c r="K3" s="7"/>
      <c r="L3" s="7"/>
      <c r="M3" s="7"/>
    </row>
    <row r="4" ht="14.25" customHeight="1">
      <c r="A4" s="11"/>
      <c r="B4" s="11"/>
      <c r="C4" s="1">
        <v>3.0</v>
      </c>
      <c r="D4" s="4">
        <v>8.051</v>
      </c>
      <c r="E4" s="11"/>
      <c r="F4" s="11"/>
      <c r="G4" s="4">
        <v>8.074</v>
      </c>
      <c r="H4" s="11"/>
      <c r="I4" s="11"/>
      <c r="J4" s="11"/>
      <c r="K4" s="11"/>
      <c r="L4" s="11"/>
      <c r="M4" s="11"/>
    </row>
    <row r="5" ht="14.25" customHeight="1">
      <c r="A5" s="27">
        <v>0.239</v>
      </c>
      <c r="B5" s="28">
        <f>B$34/2-B$37-A5</f>
        <v>0.026</v>
      </c>
      <c r="C5" s="1">
        <v>1.0</v>
      </c>
      <c r="D5" s="4">
        <v>8.071</v>
      </c>
      <c r="E5" s="5">
        <f>AVERAGE(D5:D7)</f>
        <v>8.074</v>
      </c>
      <c r="F5" s="5">
        <f>SQRT(((D5-E5)^2+(D6-E5)^2+(D7-E5)^2)/2)/SQRT(3)</f>
        <v>0.001732050808</v>
      </c>
      <c r="G5" s="4">
        <v>8.089</v>
      </c>
      <c r="H5" s="5">
        <f>AVERAGE(G5:G7)</f>
        <v>8.086</v>
      </c>
      <c r="I5" s="5">
        <f>SQRT(((G5-H5)^2+(G6-H5)^2+(G7-H5)^2)/2)/SQRT(3)</f>
        <v>0.002081665999</v>
      </c>
      <c r="J5" s="5">
        <f>(E5+H5)/2</f>
        <v>8.08</v>
      </c>
      <c r="K5" s="5">
        <f>0.5*SQRT(I5^2+F5^2)</f>
        <v>0.001354006401</v>
      </c>
      <c r="L5" s="6">
        <f>J5^2</f>
        <v>65.2864</v>
      </c>
      <c r="M5" s="6">
        <f>2*J5*K5</f>
        <v>0.02188074344</v>
      </c>
    </row>
    <row r="6" ht="14.25" customHeight="1">
      <c r="A6" s="7"/>
      <c r="B6" s="7"/>
      <c r="C6" s="1">
        <v>2.0</v>
      </c>
      <c r="D6" s="4">
        <v>8.077</v>
      </c>
      <c r="E6" s="7"/>
      <c r="F6" s="7"/>
      <c r="G6" s="4">
        <v>8.087</v>
      </c>
      <c r="H6" s="7"/>
      <c r="I6" s="7"/>
      <c r="J6" s="7"/>
      <c r="K6" s="7"/>
      <c r="L6" s="7"/>
      <c r="M6" s="7"/>
    </row>
    <row r="7" ht="14.25" customHeight="1">
      <c r="A7" s="11"/>
      <c r="B7" s="11"/>
      <c r="C7" s="1">
        <v>3.0</v>
      </c>
      <c r="D7" s="4">
        <v>8.074</v>
      </c>
      <c r="E7" s="11"/>
      <c r="F7" s="11"/>
      <c r="G7" s="4">
        <v>8.082</v>
      </c>
      <c r="H7" s="11"/>
      <c r="I7" s="11"/>
      <c r="J7" s="11"/>
      <c r="K7" s="11"/>
      <c r="L7" s="11"/>
      <c r="M7" s="11"/>
    </row>
    <row r="8" ht="14.25" customHeight="1">
      <c r="A8" s="27">
        <v>0.189</v>
      </c>
      <c r="B8" s="28">
        <f>B$34/2-B$37-A8</f>
        <v>0.076</v>
      </c>
      <c r="C8" s="1">
        <v>1.0</v>
      </c>
      <c r="D8" s="4">
        <v>8.11</v>
      </c>
      <c r="E8" s="5">
        <f>AVERAGE(D8:D10)</f>
        <v>8.113333333</v>
      </c>
      <c r="F8" s="5">
        <f>SQRT(((D8-E8)^2+(D9-E8)^2+(D10-E8)^2)/2)/SQRT(3)</f>
        <v>0.00202758751</v>
      </c>
      <c r="G8" s="4">
        <v>8.144</v>
      </c>
      <c r="H8" s="5">
        <f>AVERAGE(G8:G10)</f>
        <v>8.145666667</v>
      </c>
      <c r="I8" s="5">
        <f>SQRT(((G8-H8)^2+(G9-H8)^2+(G10-H8)^2)/2)/SQRT(3)</f>
        <v>0.0008819171037</v>
      </c>
      <c r="J8" s="5">
        <f>(E8+H8)/2</f>
        <v>8.1295</v>
      </c>
      <c r="K8" s="5">
        <f>0.5*SQRT(I8^2+F8^2)</f>
        <v>0.001105541597</v>
      </c>
      <c r="L8" s="6">
        <f>J8^2</f>
        <v>66.08877025</v>
      </c>
      <c r="M8" s="6">
        <f>2*J8*K8</f>
        <v>0.01797500082</v>
      </c>
    </row>
    <row r="9" ht="14.25" customHeight="1">
      <c r="A9" s="7"/>
      <c r="B9" s="7"/>
      <c r="C9" s="1">
        <v>2.0</v>
      </c>
      <c r="D9" s="4">
        <v>8.113</v>
      </c>
      <c r="E9" s="7"/>
      <c r="F9" s="7"/>
      <c r="G9" s="4">
        <v>8.146</v>
      </c>
      <c r="H9" s="7"/>
      <c r="I9" s="7"/>
      <c r="J9" s="7"/>
      <c r="K9" s="7"/>
      <c r="L9" s="7"/>
      <c r="M9" s="7"/>
    </row>
    <row r="10" ht="14.25" customHeight="1">
      <c r="A10" s="11"/>
      <c r="B10" s="11"/>
      <c r="C10" s="1">
        <v>3.0</v>
      </c>
      <c r="D10" s="4">
        <v>8.117</v>
      </c>
      <c r="E10" s="11"/>
      <c r="F10" s="11"/>
      <c r="G10" s="4">
        <v>8.147</v>
      </c>
      <c r="H10" s="11"/>
      <c r="I10" s="11"/>
      <c r="J10" s="11"/>
      <c r="K10" s="11"/>
      <c r="L10" s="11"/>
      <c r="M10" s="11"/>
    </row>
    <row r="11" ht="14.25" customHeight="1">
      <c r="A11" s="27">
        <v>0.201</v>
      </c>
      <c r="B11" s="28">
        <f>B$34/2-B$37-A11</f>
        <v>0.064</v>
      </c>
      <c r="C11" s="1">
        <v>1.0</v>
      </c>
      <c r="D11" s="4">
        <v>8.087</v>
      </c>
      <c r="E11" s="5">
        <f>AVERAGE(D11:D13)</f>
        <v>8.084333333</v>
      </c>
      <c r="F11" s="5">
        <f>SQRT(((D11-E11)^2+(D12-E11)^2+(D13-E11)^2)/2)/SQRT(3)</f>
        <v>0.001763834207</v>
      </c>
      <c r="G11" s="4">
        <v>8.1</v>
      </c>
      <c r="H11" s="5">
        <f>AVERAGE(G11:G13)</f>
        <v>8.101333333</v>
      </c>
      <c r="I11" s="5">
        <f>SQRT(((G11-H11)^2+(G12-H11)^2+(G13-H11)^2)/2)/SQRT(3)</f>
        <v>0.001855921454</v>
      </c>
      <c r="J11" s="5">
        <f>(E11+H11)/2</f>
        <v>8.092833333</v>
      </c>
      <c r="K11" s="5">
        <f>0.5*SQRT(I11^2+F11^2)</f>
        <v>0.001280190958</v>
      </c>
      <c r="L11" s="6">
        <f>J11^2</f>
        <v>65.49395136</v>
      </c>
      <c r="M11" s="6">
        <f>2*J11*K11</f>
        <v>0.02072074412</v>
      </c>
    </row>
    <row r="12" ht="14.25" customHeight="1">
      <c r="A12" s="7"/>
      <c r="B12" s="7"/>
      <c r="C12" s="1">
        <v>2.0</v>
      </c>
      <c r="D12" s="4">
        <v>8.085</v>
      </c>
      <c r="E12" s="7"/>
      <c r="F12" s="7"/>
      <c r="G12" s="4">
        <v>8.099</v>
      </c>
      <c r="H12" s="7"/>
      <c r="I12" s="7"/>
      <c r="J12" s="7"/>
      <c r="K12" s="7"/>
      <c r="L12" s="7"/>
      <c r="M12" s="7"/>
    </row>
    <row r="13" ht="14.25" customHeight="1">
      <c r="A13" s="11"/>
      <c r="B13" s="11"/>
      <c r="C13" s="1">
        <v>3.0</v>
      </c>
      <c r="D13" s="4">
        <v>8.081</v>
      </c>
      <c r="E13" s="11"/>
      <c r="F13" s="11"/>
      <c r="G13" s="4">
        <v>8.105</v>
      </c>
      <c r="H13" s="11"/>
      <c r="I13" s="11"/>
      <c r="J13" s="11"/>
      <c r="K13" s="11"/>
      <c r="L13" s="11"/>
      <c r="M13" s="11"/>
    </row>
    <row r="14" ht="14.25" customHeight="1">
      <c r="A14" s="27">
        <v>0.175</v>
      </c>
      <c r="B14" s="28">
        <f>B$34/2-B$37-A14</f>
        <v>0.09</v>
      </c>
      <c r="C14" s="1">
        <v>1.0</v>
      </c>
      <c r="D14" s="4">
        <v>8.169</v>
      </c>
      <c r="E14" s="5">
        <f>AVERAGE(D14:D16)</f>
        <v>8.167333333</v>
      </c>
      <c r="F14" s="5">
        <f>SQRT(((D14-E14)^2+(D15-E14)^2+(D16-E14)^2)/2)/SQRT(3)</f>
        <v>0.0008819171037</v>
      </c>
      <c r="G14" s="4">
        <v>8.215</v>
      </c>
      <c r="H14" s="5">
        <f>AVERAGE(G14:G16)</f>
        <v>8.217333333</v>
      </c>
      <c r="I14" s="5">
        <f>SQRT(((G14-H14)^2+(G15-H14)^2+(G16-H14)^2)/2)/SQRT(3)</f>
        <v>0.001855921454</v>
      </c>
      <c r="J14" s="5">
        <f>(E14+H14)/2</f>
        <v>8.192333333</v>
      </c>
      <c r="K14" s="5">
        <f>0.5*SQRT(I14^2+F14^2)</f>
        <v>0.001027402334</v>
      </c>
      <c r="L14" s="6">
        <f>J14^2</f>
        <v>67.11432544</v>
      </c>
      <c r="M14" s="6">
        <f>2*J14*K14</f>
        <v>0.01683364477</v>
      </c>
    </row>
    <row r="15" ht="14.25" customHeight="1">
      <c r="A15" s="7"/>
      <c r="B15" s="7"/>
      <c r="C15" s="1">
        <v>2.0</v>
      </c>
      <c r="D15" s="4">
        <v>8.167</v>
      </c>
      <c r="E15" s="7"/>
      <c r="F15" s="7"/>
      <c r="G15" s="4">
        <v>8.216</v>
      </c>
      <c r="H15" s="7"/>
      <c r="I15" s="7"/>
      <c r="J15" s="7"/>
      <c r="K15" s="7"/>
      <c r="L15" s="7"/>
      <c r="M15" s="7"/>
    </row>
    <row r="16" ht="14.25" customHeight="1">
      <c r="A16" s="11"/>
      <c r="B16" s="11"/>
      <c r="C16" s="1">
        <v>3.0</v>
      </c>
      <c r="D16" s="4">
        <v>8.166</v>
      </c>
      <c r="E16" s="11"/>
      <c r="F16" s="11"/>
      <c r="G16" s="4">
        <v>8.221</v>
      </c>
      <c r="H16" s="11"/>
      <c r="I16" s="11"/>
      <c r="J16" s="11"/>
      <c r="K16" s="11"/>
      <c r="L16" s="11"/>
      <c r="M16" s="11"/>
    </row>
    <row r="17" ht="14.25" customHeight="1">
      <c r="A17" s="27">
        <v>0.153</v>
      </c>
      <c r="B17" s="28">
        <f>B$34/2-B$37-A17</f>
        <v>0.112</v>
      </c>
      <c r="C17" s="1">
        <v>1.0</v>
      </c>
      <c r="D17" s="4">
        <v>8.382</v>
      </c>
      <c r="E17" s="5">
        <f>AVERAGE(D17:D19)</f>
        <v>8.380666667</v>
      </c>
      <c r="F17" s="5">
        <f>SQRT(((D17-E17)^2+(D18-E17)^2+(D19-E17)^2)/2)/SQRT(3)</f>
        <v>0.001855921454</v>
      </c>
      <c r="G17" s="4">
        <v>8.443</v>
      </c>
      <c r="H17" s="5">
        <f>AVERAGE(G17:G19)</f>
        <v>8.451666667</v>
      </c>
      <c r="I17" s="5">
        <f>SQRT(((G17-H17)^2+(G18-H17)^2+(G19-H17)^2)/2)/SQRT(3)</f>
        <v>0.004333333333</v>
      </c>
      <c r="J17" s="5">
        <f>(E17+H17)/2</f>
        <v>8.416166667</v>
      </c>
      <c r="K17" s="5">
        <f>0.5*SQRT(I17^2+F17^2)</f>
        <v>0.002357022604</v>
      </c>
      <c r="L17" s="6">
        <f>J17^2</f>
        <v>70.83186136</v>
      </c>
      <c r="M17" s="6">
        <f>2*J17*K17</f>
        <v>0.03967419014</v>
      </c>
    </row>
    <row r="18" ht="14.25" customHeight="1">
      <c r="A18" s="7"/>
      <c r="B18" s="7"/>
      <c r="C18" s="1">
        <v>2.0</v>
      </c>
      <c r="D18" s="4">
        <v>8.383</v>
      </c>
      <c r="E18" s="7"/>
      <c r="F18" s="7"/>
      <c r="G18" s="4">
        <v>8.456</v>
      </c>
      <c r="H18" s="7"/>
      <c r="I18" s="7"/>
      <c r="J18" s="7"/>
      <c r="K18" s="7"/>
      <c r="L18" s="7"/>
      <c r="M18" s="7"/>
    </row>
    <row r="19" ht="14.25" customHeight="1">
      <c r="A19" s="11"/>
      <c r="B19" s="11"/>
      <c r="C19" s="1">
        <v>3.0</v>
      </c>
      <c r="D19" s="4">
        <v>8.377</v>
      </c>
      <c r="E19" s="11"/>
      <c r="F19" s="11"/>
      <c r="G19" s="4">
        <v>8.456</v>
      </c>
      <c r="H19" s="11"/>
      <c r="I19" s="11"/>
      <c r="J19" s="11"/>
      <c r="K19" s="11"/>
      <c r="L19" s="11"/>
      <c r="M19" s="11"/>
    </row>
    <row r="20" ht="14.25" customHeight="1">
      <c r="A20" s="27">
        <v>0.138</v>
      </c>
      <c r="B20" s="28">
        <f>B$34/2-B$37-A20</f>
        <v>0.127</v>
      </c>
      <c r="C20" s="1">
        <v>1.0</v>
      </c>
      <c r="D20" s="4">
        <v>8.471</v>
      </c>
      <c r="E20" s="5">
        <f>AVERAGE(D20:D22)</f>
        <v>8.470666667</v>
      </c>
      <c r="F20" s="5">
        <f>SQRT(((D20-E20)^2+(D21-E20)^2+(D22-E20)^2)/2)/SQRT(3)</f>
        <v>0.00202758751</v>
      </c>
      <c r="G20" s="4">
        <v>8.58</v>
      </c>
      <c r="H20" s="5">
        <f>AVERAGE(G20:G22)</f>
        <v>8.538666667</v>
      </c>
      <c r="I20" s="5">
        <f>SQRT(((G20-H20)^2+(G21-H20)^2+(G22-H20)^2)/2)/SQRT(3)</f>
        <v>0.02313246876</v>
      </c>
      <c r="J20" s="5">
        <f>(E20+H20)/2</f>
        <v>8.504666667</v>
      </c>
      <c r="K20" s="5">
        <f>0.5*SQRT(I20^2+F20^2)</f>
        <v>0.01161057947</v>
      </c>
      <c r="L20" s="6">
        <f>J20^2</f>
        <v>72.32935511</v>
      </c>
      <c r="M20" s="6">
        <f>2*J20*K20</f>
        <v>0.1974882163</v>
      </c>
    </row>
    <row r="21" ht="14.25" customHeight="1">
      <c r="A21" s="7"/>
      <c r="B21" s="7"/>
      <c r="C21" s="1">
        <v>2.0</v>
      </c>
      <c r="D21" s="4">
        <v>8.474</v>
      </c>
      <c r="E21" s="7"/>
      <c r="F21" s="7"/>
      <c r="G21" s="4">
        <v>8.5</v>
      </c>
      <c r="H21" s="7"/>
      <c r="I21" s="7"/>
      <c r="J21" s="7"/>
      <c r="K21" s="7"/>
      <c r="L21" s="7"/>
      <c r="M21" s="7"/>
    </row>
    <row r="22" ht="14.25" customHeight="1">
      <c r="A22" s="11"/>
      <c r="B22" s="11"/>
      <c r="C22" s="1">
        <v>3.0</v>
      </c>
      <c r="D22" s="4">
        <v>8.467</v>
      </c>
      <c r="E22" s="11"/>
      <c r="F22" s="11"/>
      <c r="G22" s="4">
        <v>8.536</v>
      </c>
      <c r="H22" s="11"/>
      <c r="I22" s="11"/>
      <c r="J22" s="11"/>
      <c r="K22" s="11"/>
      <c r="L22" s="11"/>
      <c r="M22" s="11"/>
    </row>
    <row r="23" ht="14.25" customHeight="1"/>
    <row r="24" ht="14.25" customHeight="1"/>
    <row r="25" ht="14.25" customHeight="1">
      <c r="A25" s="1" t="s">
        <v>64</v>
      </c>
      <c r="B25" s="1">
        <v>0.21244</v>
      </c>
      <c r="D25" s="29" t="s">
        <v>55</v>
      </c>
      <c r="E25" s="29" t="s">
        <v>65</v>
      </c>
      <c r="F25" s="29" t="s">
        <v>66</v>
      </c>
      <c r="G25" s="29" t="s">
        <v>67</v>
      </c>
      <c r="H25" s="29" t="s">
        <v>68</v>
      </c>
      <c r="I25" s="29" t="s">
        <v>69</v>
      </c>
      <c r="J25" s="29" t="s">
        <v>70</v>
      </c>
      <c r="K25" s="29" t="s">
        <v>9</v>
      </c>
      <c r="L25" s="29" t="s">
        <v>10</v>
      </c>
      <c r="M25" s="29" t="s">
        <v>71</v>
      </c>
      <c r="N25" s="29" t="s">
        <v>72</v>
      </c>
      <c r="O25" s="29" t="s">
        <v>73</v>
      </c>
      <c r="P25" s="29" t="s">
        <v>74</v>
      </c>
    </row>
    <row r="26" ht="14.25" customHeight="1">
      <c r="A26" s="1" t="s">
        <v>75</v>
      </c>
      <c r="B26" s="1">
        <v>1.0E-5</v>
      </c>
      <c r="D26" s="30">
        <f>B2</f>
        <v>0.051</v>
      </c>
      <c r="E26" s="31">
        <f>A2+B$37/2</f>
        <v>0.234</v>
      </c>
      <c r="F26" s="31">
        <f t="shared" ref="F26:F32" si="3">B$34-E26-B$37</f>
        <v>0.336</v>
      </c>
      <c r="G26" s="31">
        <f t="shared" ref="G26:H26" si="1">E2</f>
        <v>8.052666667</v>
      </c>
      <c r="H26" s="31">
        <f t="shared" si="1"/>
        <v>0.002728450924</v>
      </c>
      <c r="I26" s="31">
        <f t="shared" ref="I26:N26" si="2">H2</f>
        <v>8.071666667</v>
      </c>
      <c r="J26" s="31">
        <f t="shared" si="2"/>
        <v>0.001201850425</v>
      </c>
      <c r="K26" s="31">
        <f t="shared" si="2"/>
        <v>8.062166667</v>
      </c>
      <c r="L26" s="31">
        <f t="shared" si="2"/>
        <v>0.001490711985</v>
      </c>
      <c r="M26" s="31">
        <f t="shared" si="2"/>
        <v>64.99853136</v>
      </c>
      <c r="N26" s="31">
        <f t="shared" si="2"/>
        <v>0.02403673695</v>
      </c>
      <c r="O26" s="30">
        <f t="shared" ref="O26:O32" si="6">M26*B$49/(4*PI()*PI())</f>
        <v>0.03734107851</v>
      </c>
      <c r="P26" s="31">
        <f t="shared" ref="P26:P32" si="7">SQRT((M26/(4*PI()*PI())*B$50)^2+(B$49*K26/(2*PI()*PI())*L26))</f>
        <v>0.003718984902</v>
      </c>
    </row>
    <row r="27" ht="14.25" customHeight="1">
      <c r="D27" s="30">
        <f>B5</f>
        <v>0.026</v>
      </c>
      <c r="E27" s="31">
        <f>A5+B$37/2</f>
        <v>0.259</v>
      </c>
      <c r="F27" s="31">
        <f t="shared" si="3"/>
        <v>0.311</v>
      </c>
      <c r="G27" s="31">
        <f t="shared" ref="G27:H27" si="4">E5</f>
        <v>8.074</v>
      </c>
      <c r="H27" s="31">
        <f t="shared" si="4"/>
        <v>0.001732050808</v>
      </c>
      <c r="I27" s="31">
        <f t="shared" ref="I27:N27" si="5">H5</f>
        <v>8.086</v>
      </c>
      <c r="J27" s="31">
        <f t="shared" si="5"/>
        <v>0.002081665999</v>
      </c>
      <c r="K27" s="31">
        <f t="shared" si="5"/>
        <v>8.08</v>
      </c>
      <c r="L27" s="31">
        <f t="shared" si="5"/>
        <v>0.001354006401</v>
      </c>
      <c r="M27" s="31">
        <f t="shared" si="5"/>
        <v>65.2864</v>
      </c>
      <c r="N27" s="31">
        <f t="shared" si="5"/>
        <v>0.02188074344</v>
      </c>
      <c r="O27" s="30">
        <f t="shared" si="6"/>
        <v>0.03750645649</v>
      </c>
      <c r="P27" s="31">
        <f t="shared" si="7"/>
        <v>0.003548583451</v>
      </c>
    </row>
    <row r="28" ht="14.25" customHeight="1">
      <c r="A28" s="1" t="s">
        <v>76</v>
      </c>
      <c r="B28" s="1">
        <v>0.21082</v>
      </c>
      <c r="D28" s="30">
        <f>B8</f>
        <v>0.076</v>
      </c>
      <c r="E28" s="31">
        <f>A8+B$37/2</f>
        <v>0.209</v>
      </c>
      <c r="F28" s="31">
        <f t="shared" si="3"/>
        <v>0.361</v>
      </c>
      <c r="G28" s="31">
        <f t="shared" ref="G28:H28" si="8">E8</f>
        <v>8.113333333</v>
      </c>
      <c r="H28" s="31">
        <f t="shared" si="8"/>
        <v>0.00202758751</v>
      </c>
      <c r="I28" s="31">
        <f t="shared" ref="I28:N28" si="9">H8</f>
        <v>8.145666667</v>
      </c>
      <c r="J28" s="31">
        <f t="shared" si="9"/>
        <v>0.0008819171037</v>
      </c>
      <c r="K28" s="31">
        <f t="shared" si="9"/>
        <v>8.1295</v>
      </c>
      <c r="L28" s="31">
        <f t="shared" si="9"/>
        <v>0.001105541597</v>
      </c>
      <c r="M28" s="31">
        <f t="shared" si="9"/>
        <v>66.08877025</v>
      </c>
      <c r="N28" s="31">
        <f t="shared" si="9"/>
        <v>0.01797500082</v>
      </c>
      <c r="O28" s="30">
        <f t="shared" si="6"/>
        <v>0.03796741106</v>
      </c>
      <c r="P28" s="31">
        <f t="shared" si="7"/>
        <v>0.003217013823</v>
      </c>
    </row>
    <row r="29" ht="14.25" customHeight="1">
      <c r="A29" s="1" t="s">
        <v>77</v>
      </c>
      <c r="B29" s="1">
        <v>1.0E-5</v>
      </c>
      <c r="D29" s="30">
        <f>B11</f>
        <v>0.064</v>
      </c>
      <c r="E29" s="31">
        <f>A11+B$37/2</f>
        <v>0.221</v>
      </c>
      <c r="F29" s="31">
        <f t="shared" si="3"/>
        <v>0.349</v>
      </c>
      <c r="G29" s="31">
        <f t="shared" ref="G29:H29" si="10">E11</f>
        <v>8.084333333</v>
      </c>
      <c r="H29" s="31">
        <f t="shared" si="10"/>
        <v>0.001763834207</v>
      </c>
      <c r="I29" s="31">
        <f t="shared" ref="I29:N29" si="11">H11</f>
        <v>8.101333333</v>
      </c>
      <c r="J29" s="31">
        <f t="shared" si="11"/>
        <v>0.001855921454</v>
      </c>
      <c r="K29" s="31">
        <f t="shared" si="11"/>
        <v>8.092833333</v>
      </c>
      <c r="L29" s="31">
        <f t="shared" si="11"/>
        <v>0.001280190958</v>
      </c>
      <c r="M29" s="31">
        <f t="shared" si="11"/>
        <v>65.49395136</v>
      </c>
      <c r="N29" s="31">
        <f t="shared" si="11"/>
        <v>0.02072074412</v>
      </c>
      <c r="O29" s="30">
        <f t="shared" si="6"/>
        <v>0.0376256929</v>
      </c>
      <c r="P29" s="31">
        <f t="shared" si="7"/>
        <v>0.003453429641</v>
      </c>
    </row>
    <row r="30" ht="14.25" customHeight="1">
      <c r="D30" s="30">
        <f>B14</f>
        <v>0.09</v>
      </c>
      <c r="E30" s="31">
        <f>A14+B$37/2</f>
        <v>0.195</v>
      </c>
      <c r="F30" s="31">
        <f t="shared" si="3"/>
        <v>0.375</v>
      </c>
      <c r="G30" s="31">
        <f t="shared" ref="G30:H30" si="12">E14</f>
        <v>8.167333333</v>
      </c>
      <c r="H30" s="31">
        <f t="shared" si="12"/>
        <v>0.0008819171037</v>
      </c>
      <c r="I30" s="31">
        <f t="shared" ref="I30:N30" si="13">H14</f>
        <v>8.217333333</v>
      </c>
      <c r="J30" s="31">
        <f t="shared" si="13"/>
        <v>0.001855921454</v>
      </c>
      <c r="K30" s="31">
        <f t="shared" si="13"/>
        <v>8.192333333</v>
      </c>
      <c r="L30" s="31">
        <f t="shared" si="13"/>
        <v>0.001027402334</v>
      </c>
      <c r="M30" s="31">
        <f t="shared" si="13"/>
        <v>67.11432544</v>
      </c>
      <c r="N30" s="31">
        <f t="shared" si="13"/>
        <v>0.01683364477</v>
      </c>
      <c r="O30" s="30">
        <f t="shared" si="6"/>
        <v>0.03855658341</v>
      </c>
      <c r="P30" s="31">
        <f t="shared" si="7"/>
        <v>0.003113549261</v>
      </c>
    </row>
    <row r="31" ht="14.25" customHeight="1">
      <c r="A31" s="1" t="s">
        <v>78</v>
      </c>
      <c r="B31" s="1">
        <v>0.31224</v>
      </c>
      <c r="D31" s="30">
        <f>B17</f>
        <v>0.112</v>
      </c>
      <c r="E31" s="31">
        <f>A17+B$37/2</f>
        <v>0.173</v>
      </c>
      <c r="F31" s="31">
        <f t="shared" si="3"/>
        <v>0.397</v>
      </c>
      <c r="G31" s="31">
        <f t="shared" ref="G31:H31" si="14">E17</f>
        <v>8.380666667</v>
      </c>
      <c r="H31" s="31">
        <f t="shared" si="14"/>
        <v>0.001855921454</v>
      </c>
      <c r="I31" s="31">
        <f t="shared" ref="I31:N31" si="15">H17</f>
        <v>8.451666667</v>
      </c>
      <c r="J31" s="31">
        <f t="shared" si="15"/>
        <v>0.004333333333</v>
      </c>
      <c r="K31" s="31">
        <f t="shared" si="15"/>
        <v>8.416166667</v>
      </c>
      <c r="L31" s="31">
        <f t="shared" si="15"/>
        <v>0.002357022604</v>
      </c>
      <c r="M31" s="31">
        <f t="shared" si="15"/>
        <v>70.83186136</v>
      </c>
      <c r="N31" s="31">
        <f t="shared" si="15"/>
        <v>0.03967419014</v>
      </c>
      <c r="O31" s="30">
        <f t="shared" si="6"/>
        <v>0.04069227475</v>
      </c>
      <c r="P31" s="31">
        <f t="shared" si="7"/>
        <v>0.004776876018</v>
      </c>
    </row>
    <row r="32" ht="14.25" customHeight="1">
      <c r="A32" s="1" t="s">
        <v>79</v>
      </c>
      <c r="B32" s="1">
        <v>1.0E-5</v>
      </c>
      <c r="D32" s="30">
        <f>B20</f>
        <v>0.127</v>
      </c>
      <c r="E32" s="31">
        <f>A20+B$37/2</f>
        <v>0.158</v>
      </c>
      <c r="F32" s="31">
        <f t="shared" si="3"/>
        <v>0.412</v>
      </c>
      <c r="G32" s="31">
        <f t="shared" ref="G32:H32" si="16">E20</f>
        <v>8.470666667</v>
      </c>
      <c r="H32" s="31">
        <f t="shared" si="16"/>
        <v>0.00202758751</v>
      </c>
      <c r="I32" s="31">
        <f t="shared" ref="I32:N32" si="17">H20</f>
        <v>8.538666667</v>
      </c>
      <c r="J32" s="31">
        <f t="shared" si="17"/>
        <v>0.02313246876</v>
      </c>
      <c r="K32" s="31">
        <f t="shared" si="17"/>
        <v>8.504666667</v>
      </c>
      <c r="L32" s="31">
        <f t="shared" si="17"/>
        <v>0.01161057947</v>
      </c>
      <c r="M32" s="31">
        <f t="shared" si="17"/>
        <v>72.32935511</v>
      </c>
      <c r="N32" s="31">
        <f t="shared" si="17"/>
        <v>0.1974882163</v>
      </c>
      <c r="O32" s="30">
        <f t="shared" si="6"/>
        <v>0.04155257159</v>
      </c>
      <c r="P32" s="31">
        <f t="shared" si="7"/>
        <v>0.01065281249</v>
      </c>
    </row>
    <row r="33" ht="14.25" customHeight="1"/>
    <row r="34" ht="14.25" customHeight="1">
      <c r="A34" s="1" t="s">
        <v>47</v>
      </c>
      <c r="B34" s="20">
        <v>0.61</v>
      </c>
    </row>
    <row r="35" ht="14.25" customHeight="1">
      <c r="A35" s="1" t="s">
        <v>48</v>
      </c>
      <c r="B35" s="1">
        <v>5.0E-4</v>
      </c>
      <c r="F35" s="29" t="s">
        <v>80</v>
      </c>
      <c r="G35" s="29" t="s">
        <v>81</v>
      </c>
      <c r="H35" s="29" t="s">
        <v>82</v>
      </c>
      <c r="I35" s="29" t="s">
        <v>83</v>
      </c>
      <c r="J35" s="29" t="s">
        <v>84</v>
      </c>
      <c r="K35" s="29" t="s">
        <v>85</v>
      </c>
      <c r="L35" s="29" t="s">
        <v>86</v>
      </c>
    </row>
    <row r="36" ht="14.25" customHeight="1">
      <c r="F36" s="30">
        <f t="shared" ref="F36:F42" si="18">M26*B$49/(4*PI()*PI())</f>
        <v>0.03734107851</v>
      </c>
      <c r="G36" s="31">
        <f t="shared" ref="G36:G42" si="19">SQRT((M26/(4*PI()*PI())*B$50)^2+(B$49*K26/(2*PI()*PI())*L26))</f>
        <v>0.003718984902</v>
      </c>
      <c r="H36" s="32">
        <f t="shared" ref="H36:H42" si="20">G36/F36*100</f>
        <v>9.959500503</v>
      </c>
      <c r="I36" s="30">
        <f t="shared" ref="I36:I42" si="21">B$55+B$58*D26^2</f>
        <v>0.045974371</v>
      </c>
      <c r="J36" s="30">
        <f t="shared" ref="J36:J42" si="22">SQRT(B$56^2+(D26^2+B$26)^2+(D26^2*B$29)^2+(D26^2*B$32)^2+(2*(B$25+B$28+B$31)*D26*B$43)^2)</f>
        <v>0.002611739717</v>
      </c>
      <c r="K36" s="32">
        <f t="shared" ref="K36:K42" si="23">J36/I36*100</f>
        <v>5.680860141</v>
      </c>
      <c r="L36" s="32">
        <f t="shared" ref="L36:L42" si="24">(I36-F36)/I36*100</f>
        <v>18.77848963</v>
      </c>
    </row>
    <row r="37" ht="14.25" customHeight="1">
      <c r="A37" s="1" t="s">
        <v>87</v>
      </c>
      <c r="B37" s="17">
        <v>0.04</v>
      </c>
      <c r="F37" s="30">
        <f t="shared" si="18"/>
        <v>0.03750645649</v>
      </c>
      <c r="G37" s="31">
        <f t="shared" si="19"/>
        <v>0.003548583451</v>
      </c>
      <c r="H37" s="32">
        <f t="shared" si="20"/>
        <v>9.461260231</v>
      </c>
      <c r="I37" s="30">
        <f t="shared" si="21"/>
        <v>0.0445585335</v>
      </c>
      <c r="J37" s="30">
        <f t="shared" si="22"/>
        <v>0.0006878569978</v>
      </c>
      <c r="K37" s="32">
        <f t="shared" si="23"/>
        <v>1.543715521</v>
      </c>
      <c r="L37" s="32">
        <f t="shared" si="24"/>
        <v>15.82654648</v>
      </c>
    </row>
    <row r="38" ht="14.25" customHeight="1">
      <c r="A38" s="1" t="s">
        <v>88</v>
      </c>
      <c r="B38" s="1">
        <v>5.0E-5</v>
      </c>
      <c r="F38" s="30">
        <f t="shared" si="18"/>
        <v>0.03796741106</v>
      </c>
      <c r="G38" s="31">
        <f t="shared" si="19"/>
        <v>0.003217013823</v>
      </c>
      <c r="H38" s="32">
        <f t="shared" si="20"/>
        <v>8.473092405</v>
      </c>
      <c r="I38" s="30">
        <f t="shared" si="21"/>
        <v>0.0483095835</v>
      </c>
      <c r="J38" s="30">
        <f t="shared" si="22"/>
        <v>0.005786520843</v>
      </c>
      <c r="K38" s="32">
        <f t="shared" si="23"/>
        <v>11.97799779</v>
      </c>
      <c r="L38" s="32">
        <f t="shared" si="24"/>
        <v>21.40811758</v>
      </c>
    </row>
    <row r="39" ht="14.25" customHeight="1">
      <c r="F39" s="30">
        <f t="shared" si="18"/>
        <v>0.0376256929</v>
      </c>
      <c r="G39" s="31">
        <f t="shared" si="19"/>
        <v>0.003453429641</v>
      </c>
      <c r="H39" s="32">
        <f t="shared" si="20"/>
        <v>9.178381512</v>
      </c>
      <c r="I39" s="30">
        <f t="shared" si="21"/>
        <v>0.0470739435</v>
      </c>
      <c r="J39" s="30">
        <f t="shared" si="22"/>
        <v>0.004106594496</v>
      </c>
      <c r="K39" s="32">
        <f t="shared" si="23"/>
        <v>8.723710382</v>
      </c>
      <c r="L39" s="32">
        <f t="shared" si="24"/>
        <v>20.0710837</v>
      </c>
    </row>
    <row r="40" ht="14.25" customHeight="1">
      <c r="A40" s="1" t="s">
        <v>89</v>
      </c>
      <c r="B40" s="17">
        <v>0.04</v>
      </c>
      <c r="F40" s="30">
        <f t="shared" si="18"/>
        <v>0.03855658341</v>
      </c>
      <c r="G40" s="31">
        <f t="shared" si="19"/>
        <v>0.003113549261</v>
      </c>
      <c r="H40" s="32">
        <f t="shared" si="20"/>
        <v>8.075272718</v>
      </c>
      <c r="I40" s="30">
        <f t="shared" si="21"/>
        <v>0.0500188855</v>
      </c>
      <c r="J40" s="30">
        <f t="shared" si="22"/>
        <v>0.008110469255</v>
      </c>
      <c r="K40" s="32">
        <f t="shared" si="23"/>
        <v>16.21481401</v>
      </c>
      <c r="L40" s="32">
        <f t="shared" si="24"/>
        <v>22.91594861</v>
      </c>
    </row>
    <row r="41" ht="14.25" customHeight="1">
      <c r="A41" s="1" t="s">
        <v>90</v>
      </c>
      <c r="B41" s="1">
        <v>5.0E-5</v>
      </c>
      <c r="F41" s="30">
        <f t="shared" si="18"/>
        <v>0.04069227475</v>
      </c>
      <c r="G41" s="31">
        <f t="shared" si="19"/>
        <v>0.004776876018</v>
      </c>
      <c r="H41" s="32">
        <f t="shared" si="20"/>
        <v>11.73902429</v>
      </c>
      <c r="I41" s="30">
        <f t="shared" si="21"/>
        <v>0.0532874475</v>
      </c>
      <c r="J41" s="30">
        <f t="shared" si="22"/>
        <v>0.01255442379</v>
      </c>
      <c r="K41" s="32">
        <f t="shared" si="23"/>
        <v>23.55981451</v>
      </c>
      <c r="L41" s="32">
        <f t="shared" si="24"/>
        <v>23.63628461</v>
      </c>
    </row>
    <row r="42" ht="14.25" customHeight="1">
      <c r="F42" s="30">
        <f t="shared" si="18"/>
        <v>0.04155257159</v>
      </c>
      <c r="G42" s="31">
        <f t="shared" si="19"/>
        <v>0.01065281249</v>
      </c>
      <c r="H42" s="32">
        <f t="shared" si="20"/>
        <v>25.63695117</v>
      </c>
      <c r="I42" s="30">
        <f t="shared" si="21"/>
        <v>0.055924215</v>
      </c>
      <c r="J42" s="30">
        <f t="shared" si="22"/>
        <v>0.01613940536</v>
      </c>
      <c r="K42" s="32">
        <f t="shared" si="23"/>
        <v>28.85942226</v>
      </c>
      <c r="L42" s="32">
        <f t="shared" si="24"/>
        <v>25.69842671</v>
      </c>
    </row>
    <row r="43" ht="14.25" customHeight="1">
      <c r="A43" s="1" t="s">
        <v>91</v>
      </c>
      <c r="B43" s="17">
        <f>SQRT(B35^2/4+B38^2+0.0005^2)</f>
        <v>0.000561248608</v>
      </c>
    </row>
    <row r="44" ht="14.25" customHeight="1"/>
    <row r="45" ht="14.25" customHeight="1">
      <c r="A45" s="1" t="s">
        <v>92</v>
      </c>
      <c r="B45" s="17">
        <f>SQRT(0.0005^2+B38^2/4)</f>
        <v>0.0005006246099</v>
      </c>
    </row>
    <row r="46" ht="14.25" customHeight="1"/>
    <row r="47" ht="14.25" customHeight="1">
      <c r="A47" s="1" t="s">
        <v>93</v>
      </c>
      <c r="B47" s="17">
        <f>SQRT(B45^2+B35^2+B38^2/2)</f>
        <v>0.0007084313658</v>
      </c>
    </row>
    <row r="48" ht="14.25" customHeight="1"/>
    <row r="49" ht="14.25" customHeight="1">
      <c r="A49" s="1" t="s">
        <v>27</v>
      </c>
      <c r="B49" s="17">
        <v>0.02268</v>
      </c>
    </row>
    <row r="50" ht="14.25" customHeight="1">
      <c r="A50" s="1" t="s">
        <v>28</v>
      </c>
      <c r="B50" s="17">
        <v>9.0E-5</v>
      </c>
    </row>
    <row r="51" ht="14.25" customHeight="1"/>
    <row r="52" ht="14.25" customHeight="1">
      <c r="A52" s="1" t="s">
        <v>94</v>
      </c>
      <c r="B52" s="17">
        <f>(B34-B37)/2</f>
        <v>0.285</v>
      </c>
    </row>
    <row r="53" ht="14.25" customHeight="1">
      <c r="A53" s="1" t="s">
        <v>95</v>
      </c>
      <c r="B53" s="17">
        <f>SQRT(B35^2+B38^2)/2</f>
        <v>0.0002512468905</v>
      </c>
    </row>
    <row r="54" ht="14.25" customHeight="1"/>
    <row r="55" ht="14.25" customHeight="1">
      <c r="A55" s="1" t="s">
        <v>96</v>
      </c>
      <c r="B55" s="17">
        <f>B25*B52^2+B28*B52^2+B31*B34^2/12</f>
        <v>0.0440613355</v>
      </c>
    </row>
    <row r="56" ht="14.25" customHeight="1">
      <c r="A56" s="1" t="s">
        <v>97</v>
      </c>
      <c r="B56" s="17">
        <f>SQRT((B52^2*B26)^2+(B52^2*B29)^2+(2*B52*B25*B53)^2+(2*B52*B28*B53)^2+(B34*B31/6*B35)^2+(B34^2*B32/12)^2)</f>
        <v>0.0000457217781</v>
      </c>
    </row>
    <row r="57" ht="14.25" customHeight="1"/>
    <row r="58" ht="14.25" customHeight="1">
      <c r="A58" s="1" t="s">
        <v>98</v>
      </c>
      <c r="B58" s="1">
        <f>B25+B28+B31</f>
        <v>0.7355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0">
    <mergeCell ref="K11:K13"/>
    <mergeCell ref="L11:L13"/>
    <mergeCell ref="M11:M13"/>
    <mergeCell ref="A11:A13"/>
    <mergeCell ref="B11:B13"/>
    <mergeCell ref="E11:E13"/>
    <mergeCell ref="F11:F13"/>
    <mergeCell ref="H11:H13"/>
    <mergeCell ref="I11:I13"/>
    <mergeCell ref="J11:J13"/>
    <mergeCell ref="K14:K16"/>
    <mergeCell ref="L14:L16"/>
    <mergeCell ref="M14:M16"/>
    <mergeCell ref="A14:A16"/>
    <mergeCell ref="B14:B16"/>
    <mergeCell ref="E14:E16"/>
    <mergeCell ref="F14:F16"/>
    <mergeCell ref="H14:H16"/>
    <mergeCell ref="I14:I16"/>
    <mergeCell ref="J14:J16"/>
    <mergeCell ref="K17:K19"/>
    <mergeCell ref="L17:L19"/>
    <mergeCell ref="M17:M19"/>
    <mergeCell ref="A17:A19"/>
    <mergeCell ref="B17:B19"/>
    <mergeCell ref="E17:E19"/>
    <mergeCell ref="F17:F19"/>
    <mergeCell ref="H17:H19"/>
    <mergeCell ref="I17:I19"/>
    <mergeCell ref="J17:J19"/>
    <mergeCell ref="K2:K4"/>
    <mergeCell ref="L2:L4"/>
    <mergeCell ref="M2:M4"/>
    <mergeCell ref="A2:A4"/>
    <mergeCell ref="B2:B4"/>
    <mergeCell ref="E2:E4"/>
    <mergeCell ref="F2:F4"/>
    <mergeCell ref="H2:H4"/>
    <mergeCell ref="I2:I4"/>
    <mergeCell ref="J2:J4"/>
    <mergeCell ref="K5:K7"/>
    <mergeCell ref="L5:L7"/>
    <mergeCell ref="M5:M7"/>
    <mergeCell ref="A5:A7"/>
    <mergeCell ref="B5:B7"/>
    <mergeCell ref="E5:E7"/>
    <mergeCell ref="F5:F7"/>
    <mergeCell ref="H5:H7"/>
    <mergeCell ref="I5:I7"/>
    <mergeCell ref="J5:J7"/>
    <mergeCell ref="K8:K10"/>
    <mergeCell ref="L8:L10"/>
    <mergeCell ref="M8:M10"/>
    <mergeCell ref="A8:A10"/>
    <mergeCell ref="B8:B10"/>
    <mergeCell ref="E8:E10"/>
    <mergeCell ref="F8:F10"/>
    <mergeCell ref="H8:H10"/>
    <mergeCell ref="I8:I10"/>
    <mergeCell ref="J8:J10"/>
    <mergeCell ref="K20:K22"/>
    <mergeCell ref="L20:L22"/>
    <mergeCell ref="M20:M22"/>
    <mergeCell ref="A20:A22"/>
    <mergeCell ref="B20:B22"/>
    <mergeCell ref="E20:E22"/>
    <mergeCell ref="F20:F22"/>
    <mergeCell ref="H20:H22"/>
    <mergeCell ref="I20:I22"/>
    <mergeCell ref="J20:J2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12.0"/>
    <col customWidth="1" min="9" max="9" width="9.57"/>
    <col customWidth="1" min="10" max="10" width="11.57"/>
    <col customWidth="1" min="11" max="11" width="10.57"/>
    <col customWidth="1" min="12" max="12" width="9.57"/>
    <col customWidth="1" min="13" max="26" width="8.71"/>
  </cols>
  <sheetData>
    <row r="1" ht="14.25" customHeight="1">
      <c r="A1" s="1" t="s">
        <v>27</v>
      </c>
      <c r="B1" s="17">
        <v>0.02268</v>
      </c>
      <c r="D1" s="33"/>
    </row>
    <row r="2" ht="14.25" customHeight="1">
      <c r="A2" s="1" t="s">
        <v>28</v>
      </c>
      <c r="B2" s="17">
        <v>9.0E-5</v>
      </c>
    </row>
    <row r="3" ht="14.25" customHeight="1"/>
    <row r="4" ht="14.25" customHeight="1">
      <c r="A4" s="34" t="s">
        <v>99</v>
      </c>
      <c r="B4" s="35"/>
      <c r="C4" s="36"/>
    </row>
    <row r="5" ht="14.25" customHeight="1"/>
    <row r="6" ht="14.25" customHeight="1">
      <c r="B6" s="37" t="s">
        <v>100</v>
      </c>
      <c r="C6" s="38">
        <v>0.37007</v>
      </c>
      <c r="G6" s="39" t="s">
        <v>2</v>
      </c>
      <c r="H6" s="39" t="s">
        <v>101</v>
      </c>
      <c r="I6" s="39" t="s">
        <v>102</v>
      </c>
      <c r="J6" s="39" t="s">
        <v>103</v>
      </c>
      <c r="K6" s="39" t="s">
        <v>104</v>
      </c>
      <c r="L6" s="39" t="s">
        <v>105</v>
      </c>
      <c r="M6" s="39" t="s">
        <v>106</v>
      </c>
      <c r="N6" s="39" t="s">
        <v>9</v>
      </c>
      <c r="O6" s="39" t="s">
        <v>10</v>
      </c>
    </row>
    <row r="7" ht="14.25" customHeight="1">
      <c r="B7" s="40" t="s">
        <v>107</v>
      </c>
      <c r="C7" s="41">
        <v>1.0E-5</v>
      </c>
      <c r="G7" s="42">
        <v>1.0</v>
      </c>
      <c r="H7" s="43">
        <v>1.181</v>
      </c>
      <c r="I7" s="44">
        <f>AVERAGE(H7:H9)</f>
        <v>1.181666667</v>
      </c>
      <c r="J7" s="44">
        <v>0.001</v>
      </c>
      <c r="K7" s="43">
        <v>1.182</v>
      </c>
      <c r="L7" s="45">
        <f>AVERAGE(K7:K9)</f>
        <v>1.183</v>
      </c>
      <c r="M7" s="45">
        <f>SQRT(((L7-K7)^2+(L7-K8)^2+(L7-K9)^2)/2)/SQRT(3)</f>
        <v>0.001</v>
      </c>
      <c r="N7" s="44">
        <f>(L7+I7)/2</f>
        <v>1.182333333</v>
      </c>
      <c r="O7" s="46">
        <f>1/2*SQRT(J7^2+M7^2)</f>
        <v>0.0007071067812</v>
      </c>
    </row>
    <row r="8" ht="14.25" customHeight="1">
      <c r="B8" s="47"/>
      <c r="C8" s="47"/>
      <c r="D8" s="47"/>
      <c r="E8" s="47"/>
      <c r="G8" s="48">
        <v>2.0</v>
      </c>
      <c r="H8" s="49">
        <v>1.182</v>
      </c>
      <c r="I8" s="7"/>
      <c r="J8" s="7"/>
      <c r="K8" s="49">
        <v>1.182</v>
      </c>
      <c r="L8" s="7"/>
      <c r="M8" s="7"/>
      <c r="N8" s="7"/>
      <c r="O8" s="50"/>
    </row>
    <row r="9" ht="14.25" customHeight="1">
      <c r="A9" s="51"/>
      <c r="B9" s="52" t="s">
        <v>108</v>
      </c>
      <c r="C9" s="53">
        <v>0.0967</v>
      </c>
      <c r="D9" s="52" t="s">
        <v>109</v>
      </c>
      <c r="E9" s="54">
        <f t="shared" ref="E9:E10" si="1">C9/2</f>
        <v>0.04835</v>
      </c>
      <c r="G9" s="55">
        <v>3.0</v>
      </c>
      <c r="H9" s="56">
        <v>1.182</v>
      </c>
      <c r="I9" s="57"/>
      <c r="J9" s="57"/>
      <c r="K9" s="56">
        <v>1.185</v>
      </c>
      <c r="L9" s="57"/>
      <c r="M9" s="57"/>
      <c r="N9" s="57"/>
      <c r="O9" s="58"/>
    </row>
    <row r="10" ht="14.25" customHeight="1">
      <c r="A10" s="51"/>
      <c r="B10" s="40" t="s">
        <v>110</v>
      </c>
      <c r="C10" s="59">
        <v>5.0E-5</v>
      </c>
      <c r="D10" s="60" t="s">
        <v>111</v>
      </c>
      <c r="E10" s="41">
        <f t="shared" si="1"/>
        <v>0.000025</v>
      </c>
    </row>
    <row r="11" ht="14.25" customHeight="1">
      <c r="B11" s="61"/>
      <c r="C11" s="61"/>
      <c r="D11" s="61"/>
      <c r="E11" s="62"/>
    </row>
    <row r="12" ht="14.25" customHeight="1">
      <c r="A12" s="51"/>
      <c r="B12" s="52" t="s">
        <v>112</v>
      </c>
      <c r="C12" s="53">
        <v>0.0915</v>
      </c>
      <c r="D12" s="52" t="s">
        <v>113</v>
      </c>
      <c r="E12" s="53">
        <f t="shared" ref="E12:E13" si="2">C12/2</f>
        <v>0.04575</v>
      </c>
      <c r="G12" s="37" t="s">
        <v>114</v>
      </c>
      <c r="H12" s="63">
        <f>C6/2*(E9^2+E12^2)</f>
        <v>0.0008198503025</v>
      </c>
      <c r="K12" s="37" t="s">
        <v>115</v>
      </c>
      <c r="L12" s="64">
        <f>B1/(4*PI()*PI())*N7^2</f>
        <v>0.0008030880821</v>
      </c>
    </row>
    <row r="13" ht="14.25" customHeight="1">
      <c r="A13" s="51"/>
      <c r="B13" s="40" t="s">
        <v>116</v>
      </c>
      <c r="C13" s="59">
        <v>5.0E-5</v>
      </c>
      <c r="D13" s="60" t="s">
        <v>117</v>
      </c>
      <c r="E13" s="41">
        <f t="shared" si="2"/>
        <v>0.000025</v>
      </c>
      <c r="G13" s="65" t="s">
        <v>118</v>
      </c>
      <c r="H13" s="66">
        <f>SQRT(((E12^2+E9^2)*C7/2)^2+(C6*E12*E13)^2+(C6*E9*E10)^2)</f>
        <v>0.0000006162331525</v>
      </c>
      <c r="K13" s="67" t="s">
        <v>119</v>
      </c>
      <c r="L13" s="66">
        <f>SQRT((N7^2/(4*PI()*PI())*B2)^2+(B1*N7/(2*PI()*PI())*O7)^2)</f>
        <v>0.000003328482305</v>
      </c>
    </row>
    <row r="14" ht="14.25" customHeight="1">
      <c r="G14" s="40" t="s">
        <v>120</v>
      </c>
      <c r="H14" s="68">
        <f>H13/H12*100</f>
        <v>0.07516410625</v>
      </c>
      <c r="K14" s="40" t="s">
        <v>121</v>
      </c>
      <c r="L14" s="68">
        <f>L13/L12*100</f>
        <v>0.4144604283</v>
      </c>
    </row>
    <row r="15" ht="14.25" customHeight="1">
      <c r="B15" s="37" t="s">
        <v>122</v>
      </c>
      <c r="C15" s="38">
        <v>0.1008</v>
      </c>
    </row>
    <row r="16" ht="14.25" customHeight="1">
      <c r="B16" s="40" t="s">
        <v>123</v>
      </c>
      <c r="C16" s="59">
        <v>5.0E-5</v>
      </c>
      <c r="I16" s="69" t="s">
        <v>124</v>
      </c>
      <c r="J16" s="70">
        <f>(H12-L12)/H12*100</f>
        <v>2.044546459</v>
      </c>
    </row>
    <row r="17" ht="14.25" customHeight="1"/>
    <row r="18" ht="14.25" customHeight="1"/>
    <row r="19" ht="14.25" customHeight="1">
      <c r="A19" s="34" t="s">
        <v>125</v>
      </c>
      <c r="B19" s="35"/>
      <c r="C19" s="36"/>
    </row>
    <row r="20" ht="14.25" customHeight="1"/>
    <row r="21" ht="14.25" customHeight="1">
      <c r="B21" s="37" t="s">
        <v>100</v>
      </c>
      <c r="C21" s="38">
        <v>0.23181</v>
      </c>
      <c r="G21" s="39" t="s">
        <v>2</v>
      </c>
      <c r="H21" s="39" t="s">
        <v>126</v>
      </c>
      <c r="I21" s="39" t="s">
        <v>127</v>
      </c>
      <c r="J21" s="39" t="s">
        <v>128</v>
      </c>
      <c r="K21" s="39" t="s">
        <v>129</v>
      </c>
      <c r="L21" s="39" t="s">
        <v>130</v>
      </c>
      <c r="M21" s="39" t="s">
        <v>131</v>
      </c>
      <c r="N21" s="39" t="s">
        <v>9</v>
      </c>
      <c r="O21" s="39" t="s">
        <v>10</v>
      </c>
    </row>
    <row r="22" ht="14.25" customHeight="1">
      <c r="B22" s="40" t="s">
        <v>107</v>
      </c>
      <c r="C22" s="41">
        <v>1.0E-5</v>
      </c>
      <c r="G22" s="42">
        <v>1.0</v>
      </c>
      <c r="H22" s="43">
        <v>1.459</v>
      </c>
      <c r="I22" s="44">
        <f>AVERAGE(H22:H24)</f>
        <v>1.457666667</v>
      </c>
      <c r="J22" s="44">
        <v>0.001</v>
      </c>
      <c r="K22" s="43">
        <v>1.462</v>
      </c>
      <c r="L22" s="44">
        <f>AVERAGE(K22:K24)</f>
        <v>1.459333333</v>
      </c>
      <c r="M22" s="44">
        <f>SQRT(((L22-K22)^2+(L22-K23)^2+(L22-K24)^2)/2)/SQRT(3)</f>
        <v>0.001333333333</v>
      </c>
      <c r="N22" s="44">
        <f>(L22+I22)/2</f>
        <v>1.4585</v>
      </c>
      <c r="O22" s="46">
        <f>1/2*SQRT(J22^2+M22^2)</f>
        <v>0.0008333333333</v>
      </c>
    </row>
    <row r="23" ht="14.25" customHeight="1">
      <c r="G23" s="48">
        <v>2.0</v>
      </c>
      <c r="H23" s="49">
        <v>1.458</v>
      </c>
      <c r="I23" s="7"/>
      <c r="J23" s="7"/>
      <c r="K23" s="49">
        <v>1.458</v>
      </c>
      <c r="L23" s="7"/>
      <c r="M23" s="7"/>
      <c r="N23" s="7"/>
      <c r="O23" s="50"/>
    </row>
    <row r="24" ht="14.25" customHeight="1">
      <c r="B24" s="37" t="s">
        <v>132</v>
      </c>
      <c r="C24" s="71">
        <v>0.216</v>
      </c>
      <c r="G24" s="55">
        <v>3.0</v>
      </c>
      <c r="H24" s="56">
        <v>1.456</v>
      </c>
      <c r="I24" s="57"/>
      <c r="J24" s="57"/>
      <c r="K24" s="56">
        <v>1.458</v>
      </c>
      <c r="L24" s="57"/>
      <c r="M24" s="57"/>
      <c r="N24" s="57"/>
      <c r="O24" s="58"/>
    </row>
    <row r="25" ht="14.25" customHeight="1">
      <c r="B25" s="40" t="s">
        <v>91</v>
      </c>
      <c r="C25" s="59">
        <v>5.0E-4</v>
      </c>
    </row>
    <row r="26" ht="14.25" customHeight="1"/>
    <row r="27" ht="14.25" customHeight="1">
      <c r="B27" s="37" t="s">
        <v>133</v>
      </c>
      <c r="C27" s="71">
        <f t="shared" ref="C27:C28" si="3">C24/2</f>
        <v>0.108</v>
      </c>
      <c r="G27" s="37" t="s">
        <v>134</v>
      </c>
      <c r="H27" s="72">
        <f>C21*C27^2/2</f>
        <v>0.00135191592</v>
      </c>
      <c r="K27" s="37" t="s">
        <v>135</v>
      </c>
      <c r="L27" s="73">
        <f>B1/(4*PI()*PI())*N22^2</f>
        <v>0.001222070274</v>
      </c>
    </row>
    <row r="28" ht="14.25" customHeight="1">
      <c r="B28" s="40" t="s">
        <v>136</v>
      </c>
      <c r="C28" s="74">
        <f t="shared" si="3"/>
        <v>0.00025</v>
      </c>
      <c r="G28" s="65" t="s">
        <v>137</v>
      </c>
      <c r="H28" s="75">
        <f>SQRT(((C27^2*C22)/2)^2+(C21*C27*C28)^2)</f>
        <v>0.000006259141706</v>
      </c>
      <c r="K28" s="67" t="s">
        <v>138</v>
      </c>
      <c r="L28" s="75">
        <f>SQRT((N22^2/(4*PI()*PI())*B2)^2+(B1*N22/(2*PI()*PI())*O22)^2)</f>
        <v>0.000005046552998</v>
      </c>
    </row>
    <row r="29" ht="14.25" customHeight="1">
      <c r="G29" s="40" t="s">
        <v>139</v>
      </c>
      <c r="H29" s="68">
        <f>H28/H27*100</f>
        <v>0.4629830608</v>
      </c>
      <c r="K29" s="40" t="s">
        <v>140</v>
      </c>
      <c r="L29" s="68">
        <f>L28/L27*100</f>
        <v>0.4129511292</v>
      </c>
    </row>
    <row r="30" ht="14.25" customHeight="1"/>
    <row r="31" ht="14.25" customHeight="1">
      <c r="I31" s="69" t="s">
        <v>141</v>
      </c>
      <c r="J31" s="70">
        <f>(H27-L27)/H27*100</f>
        <v>9.60456518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I7:I9"/>
    <mergeCell ref="I22:I24"/>
    <mergeCell ref="J22:J24"/>
    <mergeCell ref="L22:L24"/>
    <mergeCell ref="M22:M24"/>
    <mergeCell ref="N22:N24"/>
    <mergeCell ref="O22:O24"/>
    <mergeCell ref="A4:C4"/>
    <mergeCell ref="J7:J9"/>
    <mergeCell ref="L7:L9"/>
    <mergeCell ref="M7:M9"/>
    <mergeCell ref="N7:N9"/>
    <mergeCell ref="O7:O9"/>
    <mergeCell ref="A19:C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2022-05-24T09:52:05Z</dcterms:created>
  <dc:creator>Salomé Gomes</dc:creator>
</cp:coreProperties>
</file>