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03l\2º SEMESTRE\LABS I\T5A - Determinação de Momentos de Inércia\"/>
    </mc:Choice>
  </mc:AlternateContent>
  <xr:revisionPtr revIDLastSave="0" documentId="13_ncr:1_{5108D531-E812-4D6F-8D76-3AE1D0FF74C2}" xr6:coauthVersionLast="47" xr6:coauthVersionMax="47" xr10:uidLastSave="{00000000-0000-0000-0000-000000000000}"/>
  <bookViews>
    <workbookView xWindow="-108" yWindow="-108" windowWidth="23256" windowHeight="12456" xr2:uid="{70748165-469D-410E-A2A0-FF0DD83F65C2}"/>
  </bookViews>
  <sheets>
    <sheet name="distância" sheetId="1" r:id="rId1"/>
    <sheet name="steiner" sheetId="2" r:id="rId2"/>
    <sheet name="cilind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C5" i="2" l="1"/>
  <c r="C12" i="3"/>
  <c r="C23" i="2"/>
  <c r="C39" i="1"/>
  <c r="E5" i="2"/>
  <c r="D5" i="2"/>
  <c r="D40" i="2"/>
  <c r="S5" i="2"/>
  <c r="U5" i="2" s="1"/>
  <c r="Q5" i="2"/>
  <c r="U8" i="2"/>
  <c r="U11" i="2"/>
  <c r="R5" i="2"/>
  <c r="B22" i="2"/>
  <c r="J31" i="1"/>
  <c r="B12" i="3"/>
  <c r="P5" i="2"/>
  <c r="O4" i="1"/>
  <c r="N4" i="1"/>
  <c r="M7" i="1"/>
  <c r="S8" i="2"/>
  <c r="S11" i="2"/>
  <c r="M10" i="1"/>
  <c r="M13" i="1"/>
  <c r="M16" i="1"/>
  <c r="M19" i="1"/>
  <c r="M22" i="1"/>
  <c r="M25" i="1"/>
  <c r="M28" i="1"/>
  <c r="M31" i="1"/>
  <c r="M4" i="1"/>
  <c r="L7" i="1"/>
  <c r="F60" i="1"/>
  <c r="Q4" i="1"/>
  <c r="P4" i="1"/>
  <c r="E60" i="1" s="1"/>
  <c r="F69" i="1"/>
  <c r="F68" i="1"/>
  <c r="F67" i="1"/>
  <c r="F66" i="1"/>
  <c r="F65" i="1"/>
  <c r="F64" i="1"/>
  <c r="F63" i="1"/>
  <c r="F62" i="1"/>
  <c r="F61" i="1"/>
  <c r="Q7" i="1"/>
  <c r="Q10" i="1"/>
  <c r="Q13" i="1"/>
  <c r="Q16" i="1"/>
  <c r="Q19" i="1"/>
  <c r="Q22" i="1"/>
  <c r="Q25" i="1"/>
  <c r="Q28" i="1"/>
  <c r="Q31" i="1"/>
  <c r="U22" i="1" l="1"/>
  <c r="V18" i="2"/>
  <c r="V17" i="2"/>
  <c r="V16" i="2"/>
  <c r="U13" i="1"/>
  <c r="U14" i="1"/>
  <c r="V22" i="1"/>
  <c r="V21" i="1"/>
  <c r="V20" i="1"/>
  <c r="V19" i="1"/>
  <c r="V18" i="1"/>
  <c r="V17" i="1"/>
  <c r="V16" i="1"/>
  <c r="V15" i="1"/>
  <c r="V14" i="1"/>
  <c r="V13" i="1"/>
  <c r="U21" i="1"/>
  <c r="U20" i="1"/>
  <c r="U19" i="1"/>
  <c r="U18" i="1"/>
  <c r="U17" i="1"/>
  <c r="U16" i="1"/>
  <c r="U15" i="1"/>
  <c r="C14" i="3"/>
  <c r="L6" i="3" l="1"/>
  <c r="D4" i="1"/>
  <c r="B11" i="3"/>
  <c r="K6" i="3"/>
  <c r="J6" i="3"/>
  <c r="I6" i="3"/>
  <c r="H6" i="3"/>
  <c r="F6" i="3"/>
  <c r="H4" i="1"/>
  <c r="B11" i="2"/>
  <c r="C11" i="2" s="1"/>
  <c r="E11" i="2" s="1"/>
  <c r="B8" i="2"/>
  <c r="C8" i="2" s="1"/>
  <c r="D8" i="2" s="1"/>
  <c r="O17" i="2" s="1"/>
  <c r="B5" i="2"/>
  <c r="A11" i="2"/>
  <c r="A8" i="2"/>
  <c r="R8" i="2" s="1"/>
  <c r="A5" i="2"/>
  <c r="F7" i="1"/>
  <c r="F10" i="1"/>
  <c r="F13" i="1"/>
  <c r="F16" i="1"/>
  <c r="F19" i="1"/>
  <c r="F22" i="1"/>
  <c r="F25" i="1"/>
  <c r="F28" i="1"/>
  <c r="F31" i="1"/>
  <c r="F4" i="1"/>
  <c r="D7" i="1"/>
  <c r="D10" i="1"/>
  <c r="D13" i="1"/>
  <c r="D16" i="1"/>
  <c r="D19" i="1"/>
  <c r="D22" i="1"/>
  <c r="D25" i="1"/>
  <c r="D28" i="1"/>
  <c r="D31" i="1"/>
  <c r="L10" i="1"/>
  <c r="L13" i="1"/>
  <c r="L16" i="1"/>
  <c r="L19" i="1"/>
  <c r="L22" i="1"/>
  <c r="L25" i="1"/>
  <c r="L28" i="1"/>
  <c r="L31" i="1"/>
  <c r="J8" i="2"/>
  <c r="J11" i="2"/>
  <c r="J5" i="2"/>
  <c r="H11" i="2"/>
  <c r="H8" i="2"/>
  <c r="H5" i="2"/>
  <c r="L5" i="2" s="1"/>
  <c r="B7" i="1"/>
  <c r="D61" i="1" s="1"/>
  <c r="B10" i="1"/>
  <c r="D62" i="1" s="1"/>
  <c r="B13" i="1"/>
  <c r="D63" i="1" s="1"/>
  <c r="B16" i="1"/>
  <c r="D64" i="1" s="1"/>
  <c r="B19" i="1"/>
  <c r="D65" i="1" s="1"/>
  <c r="B22" i="1"/>
  <c r="D66" i="1" s="1"/>
  <c r="B25" i="1"/>
  <c r="D67" i="1" s="1"/>
  <c r="B28" i="1"/>
  <c r="D68" i="1" s="1"/>
  <c r="B31" i="1"/>
  <c r="D69" i="1" s="1"/>
  <c r="B4" i="1"/>
  <c r="D60" i="1" s="1"/>
  <c r="C6" i="3"/>
  <c r="B6" i="3"/>
  <c r="R11" i="2" l="1"/>
  <c r="E8" i="2"/>
  <c r="K8" i="2"/>
  <c r="L11" i="2"/>
  <c r="K5" i="2"/>
  <c r="N5" i="2" s="1"/>
  <c r="D11" i="2"/>
  <c r="O18" i="2" s="1"/>
  <c r="C60" i="1"/>
  <c r="C61" i="1"/>
  <c r="C62" i="1"/>
  <c r="C63" i="1"/>
  <c r="C64" i="1"/>
  <c r="C65" i="1"/>
  <c r="C66" i="1"/>
  <c r="C67" i="1"/>
  <c r="C68" i="1"/>
  <c r="C69" i="1"/>
  <c r="M5" i="2" l="1"/>
  <c r="O16" i="2"/>
  <c r="K11" i="2"/>
  <c r="M11" i="2" s="1"/>
  <c r="M8" i="2"/>
  <c r="L8" i="2"/>
  <c r="N8" i="2" s="1"/>
  <c r="N11" i="2"/>
  <c r="G31" i="1"/>
  <c r="I31" i="1" s="1"/>
  <c r="A69" i="1" s="1"/>
  <c r="H31" i="1"/>
  <c r="H13" i="1"/>
  <c r="G25" i="1"/>
  <c r="H19" i="1"/>
  <c r="H16" i="1"/>
  <c r="G10" i="1"/>
  <c r="H22" i="1" l="1"/>
  <c r="H28" i="1"/>
  <c r="G4" i="1"/>
  <c r="G22" i="1"/>
  <c r="I22" i="1" s="1"/>
  <c r="I25" i="1"/>
  <c r="I10" i="1"/>
  <c r="G19" i="1"/>
  <c r="G28" i="1"/>
  <c r="G16" i="1"/>
  <c r="H10" i="1"/>
  <c r="J10" i="1" s="1"/>
  <c r="G13" i="1"/>
  <c r="H25" i="1"/>
  <c r="J25" i="1" s="1"/>
  <c r="G7" i="1"/>
  <c r="I7" i="1" s="1"/>
  <c r="H7" i="1"/>
  <c r="I4" i="1" l="1"/>
  <c r="J4" i="1"/>
  <c r="J22" i="1"/>
  <c r="A61" i="1"/>
  <c r="A66" i="1"/>
  <c r="A67" i="1"/>
  <c r="A62" i="1"/>
  <c r="J7" i="1"/>
  <c r="I13" i="1"/>
  <c r="J13" i="1"/>
  <c r="J16" i="1"/>
  <c r="I16" i="1"/>
  <c r="J19" i="1"/>
  <c r="I19" i="1"/>
  <c r="I28" i="1"/>
  <c r="J28" i="1"/>
  <c r="A60" i="1" l="1"/>
  <c r="F39" i="1" s="1" a="1"/>
  <c r="A64" i="1"/>
  <c r="A68" i="1"/>
  <c r="A63" i="1"/>
  <c r="A65" i="1"/>
  <c r="F39" i="1" l="1"/>
  <c r="C1" i="3"/>
  <c r="K1" i="2"/>
  <c r="O31" i="1"/>
  <c r="O25" i="1"/>
  <c r="O7" i="1"/>
  <c r="O22" i="1"/>
  <c r="O10" i="1"/>
  <c r="O16" i="1"/>
  <c r="O13" i="1"/>
  <c r="O28" i="1"/>
  <c r="O19" i="1"/>
  <c r="B39" i="1" l="1"/>
  <c r="J1" i="2"/>
  <c r="N16" i="1"/>
  <c r="N22" i="1"/>
  <c r="N19" i="1"/>
  <c r="N31" i="1"/>
  <c r="N7" i="1"/>
  <c r="N25" i="1"/>
  <c r="N13" i="1"/>
  <c r="N28" i="1"/>
  <c r="N10" i="1"/>
  <c r="U16" i="2" l="1"/>
  <c r="Q8" i="2"/>
  <c r="U17" i="2" s="1"/>
  <c r="Q11" i="2"/>
  <c r="U18" i="2" s="1"/>
  <c r="G1" i="2"/>
  <c r="T5" i="2" s="1"/>
  <c r="P16" i="2" s="1"/>
  <c r="D1" i="3"/>
  <c r="P13" i="1"/>
  <c r="E63" i="1" s="1"/>
  <c r="P19" i="1"/>
  <c r="E65" i="1" s="1"/>
  <c r="P22" i="1"/>
  <c r="E66" i="1" s="1"/>
  <c r="P7" i="1"/>
  <c r="E61" i="1" s="1"/>
  <c r="P10" i="1"/>
  <c r="E62" i="1" s="1"/>
  <c r="P16" i="1"/>
  <c r="E64" i="1" s="1"/>
  <c r="P25" i="1"/>
  <c r="E67" i="1" s="1"/>
  <c r="P31" i="1"/>
  <c r="E69" i="1" s="1"/>
  <c r="P28" i="1"/>
  <c r="E68" i="1" s="1"/>
  <c r="P8" i="2"/>
  <c r="P11" i="2"/>
  <c r="O22" i="2" l="1" a="1"/>
  <c r="T11" i="2"/>
  <c r="P18" i="2" s="1"/>
  <c r="T8" i="2"/>
  <c r="P17" i="2" s="1"/>
  <c r="O22" i="2" l="1"/>
  <c r="B23" i="2" l="1"/>
  <c r="C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<sst xmlns="http://schemas.openxmlformats.org/spreadsheetml/2006/main" count="139" uniqueCount="70">
  <si>
    <t>d1 e d2</t>
  </si>
  <si>
    <r>
      <t xml:space="preserve">(cm) </t>
    </r>
    <r>
      <rPr>
        <sz val="11"/>
        <color theme="1"/>
        <rFont val="Calibri"/>
        <family val="2"/>
      </rPr>
      <t>± E-02</t>
    </r>
  </si>
  <si>
    <t>m1</t>
  </si>
  <si>
    <t>m2</t>
  </si>
  <si>
    <t>(s)</t>
  </si>
  <si>
    <t>(s) ± E-03</t>
  </si>
  <si>
    <t>1/2 T_D</t>
  </si>
  <si>
    <t xml:space="preserve"> T̅_D</t>
  </si>
  <si>
    <t>1/2 T_I</t>
  </si>
  <si>
    <t xml:space="preserve"> T̅_I</t>
  </si>
  <si>
    <t>(s) ± 2E-03</t>
  </si>
  <si>
    <t>Incerteza T</t>
  </si>
  <si>
    <t>I'</t>
  </si>
  <si>
    <t>Incerteza I</t>
  </si>
  <si>
    <t>m</t>
  </si>
  <si>
    <t>L</t>
  </si>
  <si>
    <t>g</t>
  </si>
  <si>
    <t>cm</t>
  </si>
  <si>
    <r>
      <t>T</t>
    </r>
    <r>
      <rPr>
        <sz val="11"/>
        <color theme="1"/>
        <rFont val="Calibri"/>
        <family val="2"/>
      </rPr>
      <t>²</t>
    </r>
  </si>
  <si>
    <t>Incerteza</t>
  </si>
  <si>
    <t>Incerteza T²</t>
  </si>
  <si>
    <t>(s²)</t>
  </si>
  <si>
    <t>Incerteza I'</t>
  </si>
  <si>
    <t>I</t>
  </si>
  <si>
    <t>(kg m²)</t>
  </si>
  <si>
    <t xml:space="preserve"> T</t>
  </si>
  <si>
    <t>Valor</t>
  </si>
  <si>
    <t>D (kg m²/s²)</t>
  </si>
  <si>
    <t>d</t>
  </si>
  <si>
    <t>d1'</t>
  </si>
  <si>
    <t>d2'</t>
  </si>
  <si>
    <t>Diferença relativa I e I'</t>
  </si>
  <si>
    <t>s(m)</t>
  </si>
  <si>
    <t>b</t>
  </si>
  <si>
    <t>s(b)</t>
  </si>
  <si>
    <t>(m) ± E-04</t>
  </si>
  <si>
    <t>I_OO'</t>
  </si>
  <si>
    <t>r_int</t>
  </si>
  <si>
    <t>r_ext</t>
  </si>
  <si>
    <t>Resíduos</t>
  </si>
  <si>
    <t>(kg) ± E-05</t>
  </si>
  <si>
    <t xml:space="preserve">Erro relativo percentual </t>
  </si>
  <si>
    <t>I_ZZ'</t>
  </si>
  <si>
    <r>
      <t xml:space="preserve">(m) </t>
    </r>
    <r>
      <rPr>
        <sz val="11"/>
        <color theme="1"/>
        <rFont val="Calibri"/>
        <family val="2"/>
      </rPr>
      <t>± E-04</t>
    </r>
  </si>
  <si>
    <t>d1=d2</t>
  </si>
  <si>
    <t>izz-ioo</t>
  </si>
  <si>
    <t xml:space="preserve">dif </t>
  </si>
  <si>
    <t>d²</t>
  </si>
  <si>
    <t>Incerteza d²</t>
  </si>
  <si>
    <t xml:space="preserve">Incerteza I_ZZ' </t>
  </si>
  <si>
    <t>d2</t>
  </si>
  <si>
    <t xml:space="preserve">Incerteza I_OO' </t>
  </si>
  <si>
    <t>I_ZZ' - I_OO'</t>
  </si>
  <si>
    <t xml:space="preserve">Incerteza I_ZZ' - I_OO' </t>
  </si>
  <si>
    <t>(m²)</t>
  </si>
  <si>
    <t>Teórico</t>
  </si>
  <si>
    <t>Experimental</t>
  </si>
  <si>
    <t>---</t>
  </si>
  <si>
    <r>
      <t xml:space="preserve">d2 (m) </t>
    </r>
    <r>
      <rPr>
        <sz val="11"/>
        <color theme="1"/>
        <rFont val="Calibri"/>
        <family val="2"/>
      </rPr>
      <t xml:space="preserve">± E-04 </t>
    </r>
  </si>
  <si>
    <t>i</t>
  </si>
  <si>
    <t>T2</t>
  </si>
  <si>
    <t>r²</t>
  </si>
  <si>
    <t>s(y)</t>
  </si>
  <si>
    <t>I-I'</t>
  </si>
  <si>
    <t>M (kg)</t>
  </si>
  <si>
    <t>Ajuste linear 1</t>
  </si>
  <si>
    <t>Ajuste linear 2</t>
  </si>
  <si>
    <t>I _cilindro (kg m²)</t>
  </si>
  <si>
    <t>m_cilindro</t>
  </si>
  <si>
    <t>D ((kg m²)/s²)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</si>
</sst>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E+00"/>
    <numFmt numFmtId="166" formatCode="0E+00"/>
    <numFmt numFmtId="167" formatCode="0.0%"/>
    <numFmt numFmtId="168" formatCode="0.0000"/>
    <numFmt numFmtId="169" formatCode="0.0000000"/>
    <numFmt numFmtId="172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11" fontId="0" fillId="0" borderId="0" xfId="0" applyNumberFormat="1"/>
    <xf numFmtId="167" fontId="0" fillId="0" borderId="0" xfId="0" applyNumberFormat="1" applyFont="1"/>
    <xf numFmtId="0" fontId="1" fillId="2" borderId="4" xfId="0" applyFont="1" applyFill="1" applyBorder="1" applyAlignment="1">
      <alignment horizontal="center" vertical="center"/>
    </xf>
    <xf numFmtId="169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8" fontId="0" fillId="0" borderId="0" xfId="0" applyNumberFormat="1" applyFill="1" applyBorder="1"/>
    <xf numFmtId="11" fontId="0" fillId="0" borderId="0" xfId="0" applyNumberFormat="1" applyFill="1" applyBorder="1"/>
    <xf numFmtId="165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1" xfId="0" quotePrefix="1" applyNumberFormat="1" applyBorder="1" applyAlignment="1">
      <alignment horizontal="center" vertical="center"/>
    </xf>
    <xf numFmtId="167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165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/>
    <xf numFmtId="165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8" fontId="0" fillId="5" borderId="3" xfId="0" applyNumberFormat="1" applyFill="1" applyBorder="1" applyAlignment="1">
      <alignment horizontal="center" vertical="center"/>
    </xf>
    <xf numFmtId="168" fontId="0" fillId="5" borderId="7" xfId="0" applyNumberFormat="1" applyFill="1" applyBorder="1" applyAlignment="1">
      <alignment horizontal="center" vertical="center"/>
    </xf>
    <xf numFmtId="168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Determinação</a:t>
            </a:r>
            <a:r>
              <a:rPr lang="pt-PT" baseline="0"/>
              <a:t> da constante 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distância!$C$59</c:f>
              <c:strCache>
                <c:ptCount val="1"/>
                <c:pt idx="0">
                  <c:v>I'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260152079173829E-2"/>
                  <c:y val="5.36708842671880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0.0006x - 0.0001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distância!$V$13:$V$22</c:f>
                <c:numCache>
                  <c:formatCode>General</c:formatCode>
                  <c:ptCount val="10"/>
                  <c:pt idx="0">
                    <c:v>0.43551555555555538</c:v>
                  </c:pt>
                  <c:pt idx="1">
                    <c:v>0.82047288888888903</c:v>
                  </c:pt>
                  <c:pt idx="2">
                    <c:v>5.1946666666666134E-2</c:v>
                  </c:pt>
                  <c:pt idx="3">
                    <c:v>1.2805722222222273</c:v>
                  </c:pt>
                  <c:pt idx="4">
                    <c:v>1.7952000000000019</c:v>
                  </c:pt>
                  <c:pt idx="5">
                    <c:v>1.9882160000000089</c:v>
                  </c:pt>
                  <c:pt idx="6">
                    <c:v>1.6346879999999957</c:v>
                  </c:pt>
                  <c:pt idx="7">
                    <c:v>1.8995697777777785</c:v>
                  </c:pt>
                  <c:pt idx="8">
                    <c:v>1.5118353333333396</c:v>
                  </c:pt>
                  <c:pt idx="9">
                    <c:v>1.7061733333333311</c:v>
                  </c:pt>
                </c:numCache>
              </c:numRef>
            </c:plus>
            <c:minus>
              <c:numRef>
                <c:f>distância!$V$13:$V$22</c:f>
                <c:numCache>
                  <c:formatCode>General</c:formatCode>
                  <c:ptCount val="10"/>
                  <c:pt idx="0">
                    <c:v>0.43551555555555538</c:v>
                  </c:pt>
                  <c:pt idx="1">
                    <c:v>0.82047288888888903</c:v>
                  </c:pt>
                  <c:pt idx="2">
                    <c:v>5.1946666666666134E-2</c:v>
                  </c:pt>
                  <c:pt idx="3">
                    <c:v>1.2805722222222273</c:v>
                  </c:pt>
                  <c:pt idx="4">
                    <c:v>1.7952000000000019</c:v>
                  </c:pt>
                  <c:pt idx="5">
                    <c:v>1.9882160000000089</c:v>
                  </c:pt>
                  <c:pt idx="6">
                    <c:v>1.6346879999999957</c:v>
                  </c:pt>
                  <c:pt idx="7">
                    <c:v>1.8995697777777785</c:v>
                  </c:pt>
                  <c:pt idx="8">
                    <c:v>1.5118353333333396</c:v>
                  </c:pt>
                  <c:pt idx="9">
                    <c:v>1.7061733333333311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distância!$U$13:$U$22</c:f>
                <c:numCache>
                  <c:formatCode>General</c:formatCode>
                  <c:ptCount val="10"/>
                  <c:pt idx="0">
                    <c:v>7.3098915712333162E-6</c:v>
                  </c:pt>
                  <c:pt idx="1">
                    <c:v>7.9493459102696421E-6</c:v>
                  </c:pt>
                  <c:pt idx="2">
                    <c:v>9.196239912757339E-6</c:v>
                  </c:pt>
                  <c:pt idx="3">
                    <c:v>9.8745230152246173E-6</c:v>
                  </c:pt>
                  <c:pt idx="4">
                    <c:v>1.125739435441651E-5</c:v>
                  </c:pt>
                  <c:pt idx="5">
                    <c:v>1.2240041149247854E-5</c:v>
                  </c:pt>
                  <c:pt idx="6">
                    <c:v>1.4042502806741278E-5</c:v>
                  </c:pt>
                  <c:pt idx="7">
                    <c:v>1.4893284418599488E-5</c:v>
                  </c:pt>
                  <c:pt idx="8">
                    <c:v>1.6742702542911545E-5</c:v>
                  </c:pt>
                  <c:pt idx="9">
                    <c:v>1.762885833450307E-5</c:v>
                  </c:pt>
                </c:numCache>
              </c:numRef>
            </c:plus>
            <c:minus>
              <c:numRef>
                <c:f>distância!$U$13:$U$22</c:f>
                <c:numCache>
                  <c:formatCode>General</c:formatCode>
                  <c:ptCount val="10"/>
                  <c:pt idx="0">
                    <c:v>7.3098915712333162E-6</c:v>
                  </c:pt>
                  <c:pt idx="1">
                    <c:v>7.9493459102696421E-6</c:v>
                  </c:pt>
                  <c:pt idx="2">
                    <c:v>9.196239912757339E-6</c:v>
                  </c:pt>
                  <c:pt idx="3">
                    <c:v>9.8745230152246173E-6</c:v>
                  </c:pt>
                  <c:pt idx="4">
                    <c:v>1.125739435441651E-5</c:v>
                  </c:pt>
                  <c:pt idx="5">
                    <c:v>1.2240041149247854E-5</c:v>
                  </c:pt>
                  <c:pt idx="6">
                    <c:v>1.4042502806741278E-5</c:v>
                  </c:pt>
                  <c:pt idx="7">
                    <c:v>1.4893284418599488E-5</c:v>
                  </c:pt>
                  <c:pt idx="8">
                    <c:v>1.6742702542911545E-5</c:v>
                  </c:pt>
                  <c:pt idx="9">
                    <c:v>1.762885833450307E-5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distância!$A$60:$A$69</c:f>
              <c:numCache>
                <c:formatCode>0.000E+00</c:formatCode>
                <c:ptCount val="10"/>
                <c:pt idx="0" formatCode="0.000">
                  <c:v>8.9800111111111107</c:v>
                </c:pt>
                <c:pt idx="1">
                  <c:v>10.828487111111111</c:v>
                </c:pt>
                <c:pt idx="2">
                  <c:v>15.178815999999999</c:v>
                </c:pt>
                <c:pt idx="3">
                  <c:v>17.822469444444444</c:v>
                </c:pt>
                <c:pt idx="4">
                  <c:v>23.970815999999999</c:v>
                </c:pt>
                <c:pt idx="5">
                  <c:v>28.565461777777781</c:v>
                </c:pt>
                <c:pt idx="6">
                  <c:v>38.340863999999989</c:v>
                </c:pt>
                <c:pt idx="7">
                  <c:v>43.103601777777776</c:v>
                </c:pt>
                <c:pt idx="8">
                  <c:v>56.015245444444453</c:v>
                </c:pt>
                <c:pt idx="9">
                  <c:v>60.1451951111111</c:v>
                </c:pt>
              </c:numCache>
            </c:numRef>
          </c:xVal>
          <c:yVal>
            <c:numRef>
              <c:f>distância!$C$60:$C$69</c:f>
              <c:numCache>
                <c:formatCode>0.000E+00</c:formatCode>
                <c:ptCount val="10"/>
                <c:pt idx="0">
                  <c:v>5.0633992221999994E-3</c:v>
                </c:pt>
                <c:pt idx="1">
                  <c:v>6.2158029981999995E-3</c:v>
                </c:pt>
                <c:pt idx="2">
                  <c:v>8.7394792461999993E-3</c:v>
                </c:pt>
                <c:pt idx="3">
                  <c:v>1.0265635598199999E-2</c:v>
                </c:pt>
                <c:pt idx="4">
                  <c:v>1.3711167158199998E-2</c:v>
                </c:pt>
                <c:pt idx="5">
                  <c:v>1.64313681982E-2</c:v>
                </c:pt>
                <c:pt idx="6">
                  <c:v>2.2006341518199996E-2</c:v>
                </c:pt>
                <c:pt idx="7">
                  <c:v>2.49002156302E-2</c:v>
                </c:pt>
                <c:pt idx="8">
                  <c:v>3.1769104118199998E-2</c:v>
                </c:pt>
                <c:pt idx="9">
                  <c:v>3.5340066230200001E-2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E-4AA6-B30C-18157E896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189599"/>
        <c:axId val="782187935"/>
      </c:scatterChart>
      <c:valAx>
        <c:axId val="782189599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T²</a:t>
                </a:r>
                <a:r>
                  <a:rPr lang="pt-PT" sz="1400" b="0" i="0" u="none" strike="noStrike" baseline="0"/>
                  <a:t> (s</a:t>
                </a:r>
                <a:r>
                  <a:rPr lang="pt-PT" sz="1400" b="0" i="0" u="none" strike="noStrike" baseline="0">
                    <a:effectLst/>
                  </a:rPr>
                  <a:t>²)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82187935"/>
        <c:crosses val="autoZero"/>
        <c:crossBetween val="midCat"/>
      </c:valAx>
      <c:valAx>
        <c:axId val="782187935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I' (</a:t>
                </a:r>
                <a:r>
                  <a:rPr lang="pt-PT" sz="1400" b="0" i="0" u="none" strike="noStrike" baseline="0">
                    <a:effectLst/>
                  </a:rPr>
                  <a:t>kg m²)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8218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Diferença</a:t>
            </a:r>
            <a:r>
              <a:rPr lang="pt-PT" sz="1600" baseline="0"/>
              <a:t> relativa I e I' em função de d1=d2</a:t>
            </a:r>
            <a:endParaRPr lang="pt-P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distância!$D$60:$D$69</c:f>
              <c:numCache>
                <c:formatCode>0.0000</c:formatCode>
                <c:ptCount val="10"/>
                <c:pt idx="0">
                  <c:v>4.7699999999999999E-2</c:v>
                </c:pt>
                <c:pt idx="1">
                  <c:v>7.0699999999999999E-2</c:v>
                </c:pt>
                <c:pt idx="2">
                  <c:v>0.10470000000000002</c:v>
                </c:pt>
                <c:pt idx="3">
                  <c:v>0.1207</c:v>
                </c:pt>
                <c:pt idx="4">
                  <c:v>0.1507</c:v>
                </c:pt>
                <c:pt idx="5">
                  <c:v>0.17070000000000002</c:v>
                </c:pt>
                <c:pt idx="6">
                  <c:v>0.20569999999999999</c:v>
                </c:pt>
                <c:pt idx="7">
                  <c:v>0.22170000000000001</c:v>
                </c:pt>
                <c:pt idx="8">
                  <c:v>0.25569999999999998</c:v>
                </c:pt>
                <c:pt idx="9">
                  <c:v>0.2717</c:v>
                </c:pt>
              </c:numCache>
            </c:numRef>
          </c:xVal>
          <c:yVal>
            <c:numRef>
              <c:f>distância!$E$60:$E$69</c:f>
              <c:numCache>
                <c:formatCode>0.00E+00</c:formatCode>
                <c:ptCount val="10"/>
                <c:pt idx="0">
                  <c:v>2.8414953044579899E-2</c:v>
                </c:pt>
                <c:pt idx="1">
                  <c:v>1.0192689863091804E-2</c:v>
                </c:pt>
                <c:pt idx="2">
                  <c:v>7.1311303320787302E-3</c:v>
                </c:pt>
                <c:pt idx="3">
                  <c:v>6.7362668926176546E-3</c:v>
                </c:pt>
                <c:pt idx="4">
                  <c:v>1.3776154792376684E-2</c:v>
                </c:pt>
                <c:pt idx="5">
                  <c:v>8.0943964246187744E-3</c:v>
                </c:pt>
                <c:pt idx="6">
                  <c:v>1.0293888764566403E-2</c:v>
                </c:pt>
                <c:pt idx="7">
                  <c:v>3.7929308687788916E-3</c:v>
                </c:pt>
                <c:pt idx="8">
                  <c:v>2.2433226292323406E-2</c:v>
                </c:pt>
                <c:pt idx="9">
                  <c:v>1.3113386361393286E-2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B-40CB-9767-9787F63EC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89216"/>
        <c:axId val="2090487968"/>
      </c:scatterChart>
      <c:valAx>
        <c:axId val="20904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d1=d2</a:t>
                </a:r>
                <a:r>
                  <a:rPr lang="pt-PT" sz="1400" b="0" i="0" u="none" strike="noStrike" baseline="0"/>
                  <a:t> (m)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0487968"/>
        <c:crosses val="autoZero"/>
        <c:crossBetween val="midCat"/>
      </c:valAx>
      <c:valAx>
        <c:axId val="20904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Diferença relativa I e I'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048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I</a:t>
            </a:r>
            <a:r>
              <a:rPr lang="pt-PT" sz="1600" baseline="0"/>
              <a:t> </a:t>
            </a:r>
            <a:r>
              <a:rPr lang="pt-PT" sz="1600"/>
              <a:t>- I'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distância!$D$60:$D$69</c:f>
              <c:numCache>
                <c:formatCode>0.0000</c:formatCode>
                <c:ptCount val="10"/>
                <c:pt idx="0">
                  <c:v>4.7699999999999999E-2</c:v>
                </c:pt>
                <c:pt idx="1">
                  <c:v>7.0699999999999999E-2</c:v>
                </c:pt>
                <c:pt idx="2">
                  <c:v>0.10470000000000002</c:v>
                </c:pt>
                <c:pt idx="3">
                  <c:v>0.1207</c:v>
                </c:pt>
                <c:pt idx="4">
                  <c:v>0.1507</c:v>
                </c:pt>
                <c:pt idx="5">
                  <c:v>0.17070000000000002</c:v>
                </c:pt>
                <c:pt idx="6">
                  <c:v>0.20569999999999999</c:v>
                </c:pt>
                <c:pt idx="7">
                  <c:v>0.22170000000000001</c:v>
                </c:pt>
                <c:pt idx="8">
                  <c:v>0.25569999999999998</c:v>
                </c:pt>
                <c:pt idx="9">
                  <c:v>0.2717</c:v>
                </c:pt>
              </c:numCache>
            </c:numRef>
          </c:xVal>
          <c:yVal>
            <c:numRef>
              <c:f>distância!$F$60:$F$69</c:f>
              <c:numCache>
                <c:formatCode>0.000E+00</c:formatCode>
                <c:ptCount val="10"/>
                <c:pt idx="0">
                  <c:v>1.4387625114477536E-4</c:v>
                </c:pt>
                <c:pt idx="1">
                  <c:v>6.3355752210728783E-5</c:v>
                </c:pt>
                <c:pt idx="2">
                  <c:v>6.2322365539149369E-5</c:v>
                </c:pt>
                <c:pt idx="3">
                  <c:v>6.9152061211831886E-5</c:v>
                </c:pt>
                <c:pt idx="4">
                  <c:v>1.8888716115551471E-4</c:v>
                </c:pt>
                <c:pt idx="5">
                  <c:v>1.330020079951047E-4</c:v>
                </c:pt>
                <c:pt idx="6">
                  <c:v>2.265308317034101E-4</c:v>
                </c:pt>
                <c:pt idx="7">
                  <c:v>9.4444796503036221E-5</c:v>
                </c:pt>
                <c:pt idx="8">
                  <c:v>7.1268350178796402E-4</c:v>
                </c:pt>
                <c:pt idx="9">
                  <c:v>-4.6342794251384017E-4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1-4228-87F1-70E9BF923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26208"/>
        <c:axId val="467823712"/>
      </c:scatterChart>
      <c:valAx>
        <c:axId val="4678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d1=d2 (m)</a:t>
                </a:r>
                <a:endParaRPr lang="pt-PT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7823712"/>
        <c:crossesAt val="-6.0000000000000016E-4"/>
        <c:crossBetween val="midCat"/>
      </c:valAx>
      <c:valAx>
        <c:axId val="4678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</a:t>
                </a:r>
                <a:r>
                  <a:rPr lang="pt-PT" sz="1400" baseline="0"/>
                  <a:t> - I' (kg m²) 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6782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Relação</a:t>
            </a:r>
            <a:r>
              <a:rPr lang="en-US" sz="1600" baseline="0"/>
              <a:t> Teorema de Steiner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steiner!$P$15</c:f>
              <c:strCache>
                <c:ptCount val="1"/>
                <c:pt idx="0">
                  <c:v>izz-ioo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772485308360577E-2"/>
                  <c:y val="-6.6943219225478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steiner!$O$16:$O$18</c:f>
              <c:numCache>
                <c:formatCode>0.00E+00</c:formatCode>
                <c:ptCount val="3"/>
                <c:pt idx="0">
                  <c:v>2.5502499999999991E-3</c:v>
                </c:pt>
                <c:pt idx="1">
                  <c:v>9.0249999999999948E-3</c:v>
                </c:pt>
                <c:pt idx="2">
                  <c:v>2.2052249999999999E-2</c:v>
                </c:pt>
              </c:numCache>
            </c:numRef>
          </c:xVal>
          <c:yVal>
            <c:numRef>
              <c:f>steiner!$P$16:$P$18</c:f>
              <c:numCache>
                <c:formatCode>0.00E+00</c:formatCode>
                <c:ptCount val="3"/>
                <c:pt idx="0">
                  <c:v>2.1376974953470212E-3</c:v>
                </c:pt>
                <c:pt idx="1">
                  <c:v>1.4926672686204574E-2</c:v>
                </c:pt>
                <c:pt idx="2">
                  <c:v>7.6341534737979014E-3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9-4CFF-9B24-4C2917C2F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322063"/>
        <c:axId val="533319567"/>
      </c:scatterChart>
      <c:valAx>
        <c:axId val="53332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d² (m</a:t>
                </a:r>
                <a:r>
                  <a:rPr lang="pt-PT" sz="1400" b="0" i="0" u="none" strike="noStrike" baseline="0">
                    <a:effectLst/>
                  </a:rPr>
                  <a:t>²)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3319567"/>
        <c:crossesAt val="-1.0000000000000002E-2"/>
        <c:crossBetween val="midCat"/>
      </c:valAx>
      <c:valAx>
        <c:axId val="5333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I_ZZ' - I_OO' (kg m²)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332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0</xdr:colOff>
      <xdr:row>1</xdr:row>
      <xdr:rowOff>0</xdr:rowOff>
    </xdr:to>
    <xdr:pic>
      <xdr:nvPicPr>
        <xdr:cNvPr id="2" name="Imagem 1" descr="{\displaystyle {\bar {x}}=4,8}">
          <a:extLst>
            <a:ext uri="{FF2B5EF4-FFF2-40B4-BE49-F238E27FC236}">
              <a16:creationId xmlns:a16="http://schemas.microsoft.com/office/drawing/2014/main" id="{2E8AFE8A-CF2C-4C9B-8EF0-12BE50A0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620" y="18288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127072</xdr:colOff>
      <xdr:row>35</xdr:row>
      <xdr:rowOff>121807</xdr:rowOff>
    </xdr:from>
    <xdr:to>
      <xdr:col>16</xdr:col>
      <xdr:colOff>431443</xdr:colOff>
      <xdr:row>54</xdr:row>
      <xdr:rowOff>58911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1C0C8C-F07C-439E-83DF-3FB7B19D9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159326</xdr:colOff>
      <xdr:row>55</xdr:row>
      <xdr:rowOff>62345</xdr:rowOff>
    </xdr:from>
    <xdr:to>
      <xdr:col>16</xdr:col>
      <xdr:colOff>401781</xdr:colOff>
      <xdr:row>76</xdr:row>
      <xdr:rowOff>55418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DBF774E-2BD1-4E71-AF56-B25DEA9A6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159326</xdr:colOff>
      <xdr:row>77</xdr:row>
      <xdr:rowOff>103909</xdr:rowOff>
    </xdr:from>
    <xdr:to>
      <xdr:col>16</xdr:col>
      <xdr:colOff>429490</xdr:colOff>
      <xdr:row>96</xdr:row>
      <xdr:rowOff>110836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C3E008-EB7D-4E3C-B038-9488D022F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207818</xdr:colOff>
      <xdr:row>16</xdr:row>
      <xdr:rowOff>62346</xdr:rowOff>
    </xdr:from>
    <xdr:to>
      <xdr:col>12</xdr:col>
      <xdr:colOff>99060</xdr:colOff>
      <xdr:row>34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04E8DF-380A-45A8-A99A-5D5BB6BB0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006C-5433-4B57-A90C-90C3F6BC9A16}">
  <dimension ref="A1:Z69"/>
  <sheetViews>
    <sheetView tabSelected="1" topLeftCell="A34" zoomScale="55" zoomScaleNormal="55" workbookViewId="0">
      <selection activeCell="I31" sqref="I31:I33"/>
    </sheetView>
  </sheetViews>
  <sheetFormatPr defaultRowHeight="14.4" x14ac:dyDescent="0.3"/>
  <cols>
    <col min="1" max="1" width="12" bestFit="1" customWidth="1"/>
    <col min="2" max="2" width="12" customWidth="1"/>
    <col min="3" max="3" width="11.44140625" bestFit="1" customWidth="1"/>
    <col min="4" max="4" width="14.6640625" bestFit="1" customWidth="1"/>
    <col min="5" max="5" width="10.44140625" bestFit="1" customWidth="1"/>
    <col min="6" max="6" width="13.77734375" bestFit="1" customWidth="1"/>
    <col min="7" max="7" width="11.77734375" bestFit="1" customWidth="1"/>
    <col min="8" max="8" width="11.6640625" bestFit="1" customWidth="1"/>
    <col min="9" max="9" width="9.77734375" customWidth="1"/>
    <col min="10" max="10" width="12.21875" bestFit="1" customWidth="1"/>
    <col min="11" max="11" width="10.6640625" customWidth="1"/>
    <col min="12" max="12" width="11.44140625" bestFit="1" customWidth="1"/>
    <col min="13" max="13" width="15.33203125" bestFit="1" customWidth="1"/>
    <col min="14" max="15" width="11.44140625" bestFit="1" customWidth="1"/>
    <col min="16" max="16" width="20.5546875" bestFit="1" customWidth="1"/>
    <col min="17" max="17" width="12.44140625" bestFit="1" customWidth="1"/>
    <col min="18" max="18" width="10.6640625" bestFit="1" customWidth="1"/>
    <col min="21" max="21" width="10.6640625" bestFit="1" customWidth="1"/>
  </cols>
  <sheetData>
    <row r="1" spans="1:26" x14ac:dyDescent="0.3">
      <c r="W1" t="s">
        <v>2</v>
      </c>
      <c r="X1">
        <v>212.39</v>
      </c>
      <c r="Y1" t="s">
        <v>16</v>
      </c>
      <c r="Z1">
        <v>0.01</v>
      </c>
    </row>
    <row r="2" spans="1:26" x14ac:dyDescent="0.3">
      <c r="A2" s="18" t="s">
        <v>0</v>
      </c>
      <c r="B2" s="6" t="s">
        <v>44</v>
      </c>
      <c r="C2" s="2" t="s">
        <v>6</v>
      </c>
      <c r="D2" s="3" t="s">
        <v>7</v>
      </c>
      <c r="E2" s="2" t="s">
        <v>8</v>
      </c>
      <c r="F2" s="16" t="s">
        <v>9</v>
      </c>
      <c r="G2" s="3" t="s">
        <v>25</v>
      </c>
      <c r="H2" s="3" t="s">
        <v>11</v>
      </c>
      <c r="I2" s="2" t="s">
        <v>18</v>
      </c>
      <c r="J2" s="5" t="s">
        <v>20</v>
      </c>
      <c r="K2" s="8"/>
      <c r="L2" s="5" t="s">
        <v>12</v>
      </c>
      <c r="M2" s="2" t="s">
        <v>22</v>
      </c>
      <c r="N2" s="2" t="s">
        <v>23</v>
      </c>
      <c r="O2" s="2" t="s">
        <v>13</v>
      </c>
      <c r="P2" s="52" t="s">
        <v>31</v>
      </c>
      <c r="Q2" s="6" t="s">
        <v>63</v>
      </c>
      <c r="R2" s="53"/>
      <c r="W2" t="s">
        <v>3</v>
      </c>
      <c r="X2">
        <v>210.79</v>
      </c>
      <c r="Y2" t="s">
        <v>16</v>
      </c>
    </row>
    <row r="3" spans="1:26" x14ac:dyDescent="0.3">
      <c r="A3" s="18" t="s">
        <v>1</v>
      </c>
      <c r="B3" s="6" t="s">
        <v>43</v>
      </c>
      <c r="C3" s="2" t="s">
        <v>5</v>
      </c>
      <c r="D3" s="6" t="s">
        <v>10</v>
      </c>
      <c r="E3" s="2" t="s">
        <v>5</v>
      </c>
      <c r="F3" s="16" t="s">
        <v>10</v>
      </c>
      <c r="G3" s="74" t="s">
        <v>4</v>
      </c>
      <c r="H3" s="74"/>
      <c r="I3" s="59" t="s">
        <v>21</v>
      </c>
      <c r="J3" s="60"/>
      <c r="K3" s="9"/>
      <c r="L3" s="73" t="s">
        <v>24</v>
      </c>
      <c r="M3" s="73"/>
      <c r="N3" s="73"/>
      <c r="O3" s="73"/>
      <c r="P3" s="49"/>
      <c r="Q3" s="52" t="s">
        <v>24</v>
      </c>
      <c r="R3" s="54"/>
      <c r="W3" t="s">
        <v>14</v>
      </c>
      <c r="X3">
        <v>132.24</v>
      </c>
      <c r="Y3" t="s">
        <v>16</v>
      </c>
    </row>
    <row r="4" spans="1:26" x14ac:dyDescent="0.3">
      <c r="A4" s="67">
        <v>4.7699999999999996</v>
      </c>
      <c r="B4" s="61">
        <f>A4*10^(-2)</f>
        <v>4.7699999999999999E-2</v>
      </c>
      <c r="C4" s="37">
        <v>1.4630000000000001</v>
      </c>
      <c r="D4" s="65">
        <f>AVERAGE(C4:C6)*2</f>
        <v>2.9239999999999999</v>
      </c>
      <c r="E4" s="37">
        <v>1.5349999999999999</v>
      </c>
      <c r="F4" s="65">
        <f>AVERAGE(E4:E6)*2</f>
        <v>3.0693333333333332</v>
      </c>
      <c r="G4" s="65">
        <f>(D4+F4)/2</f>
        <v>2.9966666666666666</v>
      </c>
      <c r="H4" s="65">
        <f>STDEV(D4,F4)/SQRT(2)</f>
        <v>7.2666666666666643E-2</v>
      </c>
      <c r="I4" s="64">
        <f>G4*G4</f>
        <v>8.9800111111111107</v>
      </c>
      <c r="J4" s="65">
        <f>2*G4*H4</f>
        <v>0.43551555555555538</v>
      </c>
      <c r="K4" s="19"/>
      <c r="L4" s="71">
        <f>(X$1*A4*A4*10^(-7))+(X$2*A4*A4*10^(-7))+((X$3*X$4*X$4*10^(-7))/12)</f>
        <v>5.0633992221999994E-3</v>
      </c>
      <c r="M4" s="66">
        <f>SQRT((2*X$1*10^(-3)*B4*10^(-4))^2+(2*X$2*10^(-3)*B4*10^(-4))^2+((B4)^2*10^(-5))^2+((B4)^2*10^(-5))^2+(((((X$4)^2)*10^(-4))/12)*10^(-5))^2+(((X$3*10^(-3))/6)*X$4*10^(-2)*5*10^(-4))^2)</f>
        <v>7.3098915712333162E-6</v>
      </c>
      <c r="N4" s="71">
        <f>F$39*I4</f>
        <v>5.2072754733447748E-3</v>
      </c>
      <c r="O4" s="66">
        <f>SQRT((I4*F$40)^2+(F$39*J4)^2)</f>
        <v>2.57213085965839E-4</v>
      </c>
      <c r="P4" s="71">
        <f>ABS(L4-N4)/L4</f>
        <v>2.8414953044579899E-2</v>
      </c>
      <c r="Q4" s="66">
        <f>N4-L4</f>
        <v>1.4387625114477536E-4</v>
      </c>
      <c r="R4" s="55"/>
      <c r="W4" t="s">
        <v>15</v>
      </c>
      <c r="X4" s="1">
        <v>61</v>
      </c>
      <c r="Y4" t="s">
        <v>17</v>
      </c>
      <c r="Z4">
        <v>0.01</v>
      </c>
    </row>
    <row r="5" spans="1:26" x14ac:dyDescent="0.3">
      <c r="A5" s="67"/>
      <c r="B5" s="62"/>
      <c r="C5" s="37">
        <v>1.4610000000000001</v>
      </c>
      <c r="D5" s="65"/>
      <c r="E5" s="37">
        <v>1.5349999999999999</v>
      </c>
      <c r="F5" s="65"/>
      <c r="G5" s="65"/>
      <c r="H5" s="65"/>
      <c r="I5" s="64"/>
      <c r="J5" s="65"/>
      <c r="K5" s="20"/>
      <c r="L5" s="71"/>
      <c r="M5" s="66"/>
      <c r="N5" s="71"/>
      <c r="O5" s="66"/>
      <c r="P5" s="71"/>
      <c r="Q5" s="66"/>
      <c r="R5" s="56"/>
    </row>
    <row r="6" spans="1:26" x14ac:dyDescent="0.3">
      <c r="A6" s="67"/>
      <c r="B6" s="63"/>
      <c r="C6" s="37">
        <v>1.462</v>
      </c>
      <c r="D6" s="65"/>
      <c r="E6" s="37">
        <v>1.534</v>
      </c>
      <c r="F6" s="65"/>
      <c r="G6" s="65"/>
      <c r="H6" s="65"/>
      <c r="I6" s="64"/>
      <c r="J6" s="65"/>
      <c r="K6" s="20"/>
      <c r="L6" s="71"/>
      <c r="M6" s="66"/>
      <c r="N6" s="71"/>
      <c r="O6" s="66"/>
      <c r="P6" s="71"/>
      <c r="Q6" s="66"/>
      <c r="R6" s="56"/>
    </row>
    <row r="7" spans="1:26" x14ac:dyDescent="0.3">
      <c r="A7" s="67">
        <v>7.07</v>
      </c>
      <c r="B7" s="61">
        <f t="shared" ref="B7" si="0">A7*10^(-2)</f>
        <v>7.0699999999999999E-2</v>
      </c>
      <c r="C7" s="37">
        <v>1.7090000000000001</v>
      </c>
      <c r="D7" s="65">
        <f>AVERAGE(C7:C9)*2</f>
        <v>3.4153333333333333</v>
      </c>
      <c r="E7" s="37">
        <v>1.583</v>
      </c>
      <c r="F7" s="65">
        <f>AVERAGE(E7:E9)*2</f>
        <v>3.1659999999999999</v>
      </c>
      <c r="G7" s="65">
        <f>(D7+F7)/2</f>
        <v>3.2906666666666666</v>
      </c>
      <c r="H7" s="65">
        <f>STDEV(D7,F7)/SQRT(2)</f>
        <v>0.12466666666666669</v>
      </c>
      <c r="I7" s="64">
        <f>G7*G7</f>
        <v>10.828487111111111</v>
      </c>
      <c r="J7" s="65">
        <f t="shared" ref="J7" si="1">2*G7*H7</f>
        <v>0.82047288888888903</v>
      </c>
      <c r="K7" s="19"/>
      <c r="L7" s="68">
        <f>(X$1*A7*A7*10^(-7))+(X$2*A7*A7*10^(-7))+((X$3*X$4*X$4*10^(-7))/12)</f>
        <v>6.2158029981999995E-3</v>
      </c>
      <c r="M7" s="66">
        <f>SQRT((2*X$1*10^(-3)*B7*10^(-4))^2+(2*X$2*10^(-3)*B7*10^(-4))^2+((B7)^2*10^(-5))^2+((B7)^2*10^(-5))^2+(((((X$4)^2)*10^(-4))/12)*10^(-5))^2+(((X$3*10^(-3))/6)*X$4*10^(-2)*5*10^(-4))^2)</f>
        <v>7.9493459102696421E-6</v>
      </c>
      <c r="N7" s="71">
        <f>F$39*I7</f>
        <v>6.2791587504107283E-3</v>
      </c>
      <c r="O7" s="66">
        <f>SQRT((I7*F$40)^2+(F$39*J7)^2)</f>
        <v>4.7939406248848982E-4</v>
      </c>
      <c r="P7" s="71">
        <f t="shared" ref="P7" si="2">ABS(L7-N7)/L7</f>
        <v>1.0192689863091804E-2</v>
      </c>
      <c r="Q7" s="66">
        <f t="shared" ref="Q7" si="3">N7-L7</f>
        <v>6.3355752210728783E-5</v>
      </c>
      <c r="R7" s="57"/>
    </row>
    <row r="8" spans="1:26" x14ac:dyDescent="0.3">
      <c r="A8" s="67"/>
      <c r="B8" s="62"/>
      <c r="C8" s="37">
        <v>1.7070000000000001</v>
      </c>
      <c r="D8" s="65"/>
      <c r="E8" s="37">
        <v>1.583</v>
      </c>
      <c r="F8" s="65"/>
      <c r="G8" s="65"/>
      <c r="H8" s="65"/>
      <c r="I8" s="64"/>
      <c r="J8" s="65"/>
      <c r="K8" s="20"/>
      <c r="L8" s="69"/>
      <c r="M8" s="66"/>
      <c r="N8" s="71"/>
      <c r="O8" s="66"/>
      <c r="P8" s="71"/>
      <c r="Q8" s="66"/>
      <c r="R8" s="58"/>
    </row>
    <row r="9" spans="1:26" x14ac:dyDescent="0.3">
      <c r="A9" s="67"/>
      <c r="B9" s="63"/>
      <c r="C9" s="37">
        <v>1.7070000000000001</v>
      </c>
      <c r="D9" s="65"/>
      <c r="E9" s="37">
        <v>1.583</v>
      </c>
      <c r="F9" s="65"/>
      <c r="G9" s="65"/>
      <c r="H9" s="65"/>
      <c r="I9" s="64"/>
      <c r="J9" s="65"/>
      <c r="K9" s="20"/>
      <c r="L9" s="70"/>
      <c r="M9" s="66"/>
      <c r="N9" s="71"/>
      <c r="O9" s="66"/>
      <c r="P9" s="71"/>
      <c r="Q9" s="66"/>
      <c r="R9" s="58"/>
    </row>
    <row r="10" spans="1:26" x14ac:dyDescent="0.3">
      <c r="A10" s="67">
        <v>10.47</v>
      </c>
      <c r="B10" s="61">
        <f t="shared" ref="B10" si="4">A10*10^(-2)</f>
        <v>0.10470000000000002</v>
      </c>
      <c r="C10" s="37">
        <v>1.954</v>
      </c>
      <c r="D10" s="65">
        <f>AVERAGE(C10:C12)*2</f>
        <v>3.9026666666666667</v>
      </c>
      <c r="E10" s="37">
        <v>1.9450000000000001</v>
      </c>
      <c r="F10" s="65">
        <f>AVERAGE(E10:E12)*2</f>
        <v>3.8893333333333335</v>
      </c>
      <c r="G10" s="65">
        <f>(D10+F10)/2</f>
        <v>3.8959999999999999</v>
      </c>
      <c r="H10" s="65">
        <f>STDEV(D10,F10)/SQRT(2)</f>
        <v>6.6666666666665986E-3</v>
      </c>
      <c r="I10" s="64">
        <f t="shared" ref="I10" si="5">G10*G10</f>
        <v>15.178815999999999</v>
      </c>
      <c r="J10" s="65">
        <f t="shared" ref="J10" si="6">2*G10*H10</f>
        <v>5.1946666666666134E-2</v>
      </c>
      <c r="K10" s="19"/>
      <c r="L10" s="68">
        <f>(X$1*A10*A10*10^(-7))+(X$2*A10*A10*10^(-7))+((X$3*X$4*X$4*10^(-7))/12)</f>
        <v>8.7394792461999993E-3</v>
      </c>
      <c r="M10" s="66">
        <f t="shared" ref="M10" si="7">SQRT((2*X$1*10^(-3)*B10*10^(-4))^2+(2*X$2*10^(-3)*B10*10^(-4))^2+((B10)^2*10^(-5))^2+((B10)^2*10^(-5))^2+(((((X$4)^2)*10^(-4))/12)*10^(-5))^2+(((X$3*10^(-3))/6)*X$4*10^(-2)*5*10^(-4))^2)</f>
        <v>9.196239912757339E-6</v>
      </c>
      <c r="N10" s="71">
        <f>F$39*I10</f>
        <v>8.8018016117391486E-3</v>
      </c>
      <c r="O10" s="66">
        <f>SQRT((I10*F$40)^2+(F$39*J10)^2)</f>
        <v>8.7790932300595771E-5</v>
      </c>
      <c r="P10" s="71">
        <f t="shared" ref="P10" si="8">ABS(L10-N10)/L10</f>
        <v>7.1311303320787302E-3</v>
      </c>
      <c r="Q10" s="66">
        <f t="shared" ref="Q10" si="9">N10-L10</f>
        <v>6.2322365539149369E-5</v>
      </c>
      <c r="R10" s="57"/>
    </row>
    <row r="11" spans="1:26" x14ac:dyDescent="0.3">
      <c r="A11" s="67"/>
      <c r="B11" s="62"/>
      <c r="C11" s="37">
        <v>1.9510000000000001</v>
      </c>
      <c r="D11" s="65"/>
      <c r="E11" s="37">
        <v>1.944</v>
      </c>
      <c r="F11" s="65"/>
      <c r="G11" s="65"/>
      <c r="H11" s="65"/>
      <c r="I11" s="64"/>
      <c r="J11" s="65"/>
      <c r="K11" s="20"/>
      <c r="L11" s="69"/>
      <c r="M11" s="66"/>
      <c r="N11" s="71"/>
      <c r="O11" s="66"/>
      <c r="P11" s="71"/>
      <c r="Q11" s="66"/>
      <c r="R11" s="58"/>
    </row>
    <row r="12" spans="1:26" x14ac:dyDescent="0.3">
      <c r="A12" s="67"/>
      <c r="B12" s="63"/>
      <c r="C12" s="37">
        <v>1.9490000000000001</v>
      </c>
      <c r="D12" s="65"/>
      <c r="E12" s="37">
        <v>1.9450000000000001</v>
      </c>
      <c r="F12" s="65"/>
      <c r="G12" s="65"/>
      <c r="H12" s="65"/>
      <c r="I12" s="64"/>
      <c r="J12" s="65"/>
      <c r="K12" s="20"/>
      <c r="L12" s="70"/>
      <c r="M12" s="66"/>
      <c r="N12" s="71"/>
      <c r="O12" s="66"/>
      <c r="P12" s="71"/>
      <c r="Q12" s="66"/>
      <c r="R12" s="58"/>
      <c r="U12" t="s">
        <v>59</v>
      </c>
      <c r="V12" t="s">
        <v>60</v>
      </c>
    </row>
    <row r="13" spans="1:26" x14ac:dyDescent="0.3">
      <c r="A13" s="67">
        <v>12.07</v>
      </c>
      <c r="B13" s="61">
        <f t="shared" ref="B13" si="10">A13*10^(-2)</f>
        <v>0.1207</v>
      </c>
      <c r="C13" s="37">
        <v>2.1880000000000002</v>
      </c>
      <c r="D13" s="65">
        <f>AVERAGE(C13:C15)*2</f>
        <v>4.373333333333334</v>
      </c>
      <c r="E13" s="37">
        <v>2.036</v>
      </c>
      <c r="F13" s="65">
        <f>AVERAGE(E13:E15)*2</f>
        <v>4.0699999999999994</v>
      </c>
      <c r="G13" s="65">
        <f>(D13+F13)/2</f>
        <v>4.2216666666666667</v>
      </c>
      <c r="H13" s="65">
        <f>STDEV(D13,F13)/SQRT(2)</f>
        <v>0.15166666666666728</v>
      </c>
      <c r="I13" s="64">
        <f t="shared" ref="I13" si="11">G13*G13</f>
        <v>17.822469444444444</v>
      </c>
      <c r="J13" s="65">
        <f t="shared" ref="J13" si="12">2*G13*H13</f>
        <v>1.2805722222222273</v>
      </c>
      <c r="K13" s="19"/>
      <c r="L13" s="68">
        <f>(X$1*A13*A13*10^(-7))+(X$2*A13*A13*10^(-7))+((X$3*X$4*X$4*10^(-7))/12)</f>
        <v>1.0265635598199999E-2</v>
      </c>
      <c r="M13" s="66">
        <f t="shared" ref="M13" si="13">SQRT((2*X$1*10^(-3)*B13*10^(-4))^2+(2*X$2*10^(-3)*B13*10^(-4))^2+((B13)^2*10^(-5))^2+((B13)^2*10^(-5))^2+(((((X$4)^2)*10^(-4))/12)*10^(-5))^2+(((X$3*10^(-3))/6)*X$4*10^(-2)*5*10^(-4))^2)</f>
        <v>9.8745230152246173E-6</v>
      </c>
      <c r="N13" s="71">
        <f>F$39*I13</f>
        <v>1.033478765941183E-2</v>
      </c>
      <c r="O13" s="66">
        <f>SQRT((I13*F$40)^2+(F$39*J13)^2)</f>
        <v>7.488563912918275E-4</v>
      </c>
      <c r="P13" s="71">
        <f t="shared" ref="P13" si="14">ABS(L13-N13)/L13</f>
        <v>6.7362668926176546E-3</v>
      </c>
      <c r="Q13" s="66">
        <f t="shared" ref="Q13" si="15">N13-L13</f>
        <v>6.9152061211831886E-5</v>
      </c>
      <c r="R13" s="57"/>
      <c r="U13" s="4">
        <f>M4</f>
        <v>7.3098915712333162E-6</v>
      </c>
      <c r="V13" s="51">
        <f>J4</f>
        <v>0.43551555555555538</v>
      </c>
    </row>
    <row r="14" spans="1:26" x14ac:dyDescent="0.3">
      <c r="A14" s="67"/>
      <c r="B14" s="62"/>
      <c r="C14" s="37">
        <v>2.1859999999999999</v>
      </c>
      <c r="D14" s="65"/>
      <c r="E14" s="37">
        <v>2.0350000000000001</v>
      </c>
      <c r="F14" s="65"/>
      <c r="G14" s="65"/>
      <c r="H14" s="65"/>
      <c r="I14" s="64"/>
      <c r="J14" s="65"/>
      <c r="K14" s="20"/>
      <c r="L14" s="69"/>
      <c r="M14" s="66"/>
      <c r="N14" s="71"/>
      <c r="O14" s="66"/>
      <c r="P14" s="71"/>
      <c r="Q14" s="66"/>
      <c r="R14" s="58"/>
      <c r="U14" s="4">
        <f>M7</f>
        <v>7.9493459102696421E-6</v>
      </c>
      <c r="V14" s="51">
        <f>J7</f>
        <v>0.82047288888888903</v>
      </c>
    </row>
    <row r="15" spans="1:26" x14ac:dyDescent="0.3">
      <c r="A15" s="67"/>
      <c r="B15" s="63"/>
      <c r="C15" s="37">
        <v>2.1859999999999999</v>
      </c>
      <c r="D15" s="65"/>
      <c r="E15" s="37">
        <v>2.0339999999999998</v>
      </c>
      <c r="F15" s="65"/>
      <c r="G15" s="65"/>
      <c r="H15" s="65"/>
      <c r="I15" s="64"/>
      <c r="J15" s="65"/>
      <c r="K15" s="20"/>
      <c r="L15" s="70"/>
      <c r="M15" s="66"/>
      <c r="N15" s="71"/>
      <c r="O15" s="66"/>
      <c r="P15" s="71"/>
      <c r="Q15" s="66"/>
      <c r="R15" s="58"/>
      <c r="U15" s="4">
        <f>M10</f>
        <v>9.196239912757339E-6</v>
      </c>
      <c r="V15" s="51">
        <f>J10</f>
        <v>5.1946666666666134E-2</v>
      </c>
    </row>
    <row r="16" spans="1:26" x14ac:dyDescent="0.3">
      <c r="A16" s="67">
        <v>15.07</v>
      </c>
      <c r="B16" s="61">
        <f t="shared" ref="B16" si="16">A16*10^(-2)</f>
        <v>0.1507</v>
      </c>
      <c r="C16" s="37">
        <v>2.54</v>
      </c>
      <c r="D16" s="65">
        <f>AVERAGE(C16:C18)*2</f>
        <v>5.0793333333333335</v>
      </c>
      <c r="E16" s="37">
        <v>2.355</v>
      </c>
      <c r="F16" s="65">
        <f>AVERAGE(E16:E18)*2</f>
        <v>4.7126666666666663</v>
      </c>
      <c r="G16" s="65">
        <f>(D16+F16)/2</f>
        <v>4.8959999999999999</v>
      </c>
      <c r="H16" s="65">
        <f>STDEV(D16,F16)/SQRT(2)</f>
        <v>0.18333333333333354</v>
      </c>
      <c r="I16" s="64">
        <f t="shared" ref="I16" si="17">G16*G16</f>
        <v>23.970815999999999</v>
      </c>
      <c r="J16" s="65">
        <f t="shared" ref="J16" si="18">2*G16*H16</f>
        <v>1.7952000000000019</v>
      </c>
      <c r="K16" s="19"/>
      <c r="L16" s="68">
        <f>(X$1*A16*A16*10^(-7))+(X$2*A16*A16*10^(-7))+((X$3*X$4*X$4*10^(-7))/12)</f>
        <v>1.3711167158199998E-2</v>
      </c>
      <c r="M16" s="66">
        <f t="shared" ref="M16" si="19">SQRT((2*X$1*10^(-3)*B16*10^(-4))^2+(2*X$2*10^(-3)*B16*10^(-4))^2+((B16)^2*10^(-5))^2+((B16)^2*10^(-5))^2+(((((X$4)^2)*10^(-4))/12)*10^(-5))^2+(((X$3*10^(-3))/6)*X$4*10^(-2)*5*10^(-4))^2)</f>
        <v>1.125739435441651E-5</v>
      </c>
      <c r="N16" s="71">
        <f>F$39*I16</f>
        <v>1.3900054319355513E-2</v>
      </c>
      <c r="O16" s="66">
        <f>SQRT((I16*F$40)^2+(F$39*J16)^2)</f>
        <v>1.0491037280320457E-3</v>
      </c>
      <c r="P16" s="71">
        <f t="shared" ref="P16" si="20">ABS(L16-N16)/L16</f>
        <v>1.3776154792376684E-2</v>
      </c>
      <c r="Q16" s="66">
        <f t="shared" ref="Q16" si="21">N16-L16</f>
        <v>1.8888716115551471E-4</v>
      </c>
      <c r="R16" s="57"/>
      <c r="U16" s="4">
        <f>M13</f>
        <v>9.8745230152246173E-6</v>
      </c>
      <c r="V16" s="51">
        <f>J13</f>
        <v>1.2805722222222273</v>
      </c>
    </row>
    <row r="17" spans="1:22" x14ac:dyDescent="0.3">
      <c r="A17" s="67"/>
      <c r="B17" s="62"/>
      <c r="C17" s="37">
        <v>2.5409999999999999</v>
      </c>
      <c r="D17" s="65"/>
      <c r="E17" s="37">
        <v>2.3570000000000002</v>
      </c>
      <c r="F17" s="65"/>
      <c r="G17" s="65"/>
      <c r="H17" s="65"/>
      <c r="I17" s="64"/>
      <c r="J17" s="65"/>
      <c r="K17" s="20"/>
      <c r="L17" s="69"/>
      <c r="M17" s="66"/>
      <c r="N17" s="71"/>
      <c r="O17" s="66"/>
      <c r="P17" s="71"/>
      <c r="Q17" s="66"/>
      <c r="R17" s="58"/>
      <c r="U17" s="4">
        <f>M16</f>
        <v>1.125739435441651E-5</v>
      </c>
      <c r="V17" s="51">
        <f>J16</f>
        <v>1.7952000000000019</v>
      </c>
    </row>
    <row r="18" spans="1:22" x14ac:dyDescent="0.3">
      <c r="A18" s="67"/>
      <c r="B18" s="63"/>
      <c r="C18" s="37">
        <v>2.5379999999999998</v>
      </c>
      <c r="D18" s="65"/>
      <c r="E18" s="37">
        <v>2.3570000000000002</v>
      </c>
      <c r="F18" s="65"/>
      <c r="G18" s="65"/>
      <c r="H18" s="65"/>
      <c r="I18" s="64"/>
      <c r="J18" s="65"/>
      <c r="K18" s="20"/>
      <c r="L18" s="70"/>
      <c r="M18" s="66"/>
      <c r="N18" s="71"/>
      <c r="O18" s="66"/>
      <c r="P18" s="71"/>
      <c r="Q18" s="66"/>
      <c r="R18" s="58"/>
      <c r="U18" s="4">
        <f>M19</f>
        <v>1.2240041149247854E-5</v>
      </c>
      <c r="V18" s="51">
        <f>J19</f>
        <v>1.9882160000000089</v>
      </c>
    </row>
    <row r="19" spans="1:22" x14ac:dyDescent="0.3">
      <c r="A19" s="67">
        <v>17.07</v>
      </c>
      <c r="B19" s="61">
        <f t="shared" ref="B19" si="22">A19*10^(-2)</f>
        <v>0.17070000000000002</v>
      </c>
      <c r="C19" s="37">
        <v>2.766</v>
      </c>
      <c r="D19" s="65">
        <f>AVERAGE(C19:C21)*2</f>
        <v>5.5306666666666677</v>
      </c>
      <c r="E19" s="37">
        <v>2.5840000000000001</v>
      </c>
      <c r="F19" s="65">
        <f>AVERAGE(E19:E21)*2</f>
        <v>5.1586666666666661</v>
      </c>
      <c r="G19" s="65">
        <f>(D19+F19)/2</f>
        <v>5.3446666666666669</v>
      </c>
      <c r="H19" s="65">
        <f>STDEV(D19,F19)/SQRT(2)</f>
        <v>0.18600000000000083</v>
      </c>
      <c r="I19" s="64">
        <f t="shared" ref="I19" si="23">G19*G19</f>
        <v>28.565461777777781</v>
      </c>
      <c r="J19" s="65">
        <f t="shared" ref="J19" si="24">2*G19*H19</f>
        <v>1.9882160000000089</v>
      </c>
      <c r="K19" s="19"/>
      <c r="L19" s="68">
        <f>(X$1*A19*A19*10^(-7))+(X$2*A19*A19*10^(-7))+((X$3*X$4*X$4*10^(-7))/12)</f>
        <v>1.64313681982E-2</v>
      </c>
      <c r="M19" s="66">
        <f t="shared" ref="M19" si="25">SQRT((2*X$1*10^(-3)*B19*10^(-4))^2+(2*X$2*10^(-3)*B19*10^(-4))^2+((B19)^2*10^(-5))^2+((B19)^2*10^(-5))^2+(((((X$4)^2)*10^(-4))/12)*10^(-5))^2+(((X$3*10^(-3))/6)*X$4*10^(-2)*5*10^(-4))^2)</f>
        <v>1.2240041149247854E-5</v>
      </c>
      <c r="N19" s="71">
        <f>F$39*I19</f>
        <v>1.6564370206195105E-2</v>
      </c>
      <c r="O19" s="66">
        <f>SQRT((I19*F$40)^2+(F$39*J19)^2)</f>
        <v>1.1633123287066111E-3</v>
      </c>
      <c r="P19" s="71">
        <f t="shared" ref="P19" si="26">ABS(L19-N19)/L19</f>
        <v>8.0943964246187744E-3</v>
      </c>
      <c r="Q19" s="66">
        <f t="shared" ref="Q19" si="27">N19-L19</f>
        <v>1.330020079951047E-4</v>
      </c>
      <c r="R19" s="57"/>
      <c r="U19" s="4">
        <f>M22</f>
        <v>1.4042502806741278E-5</v>
      </c>
      <c r="V19" s="51">
        <f>J22</f>
        <v>1.6346879999999957</v>
      </c>
    </row>
    <row r="20" spans="1:22" x14ac:dyDescent="0.3">
      <c r="A20" s="67"/>
      <c r="B20" s="62"/>
      <c r="C20" s="37">
        <v>2.7650000000000001</v>
      </c>
      <c r="D20" s="65"/>
      <c r="E20" s="37">
        <v>2.5760000000000001</v>
      </c>
      <c r="F20" s="65"/>
      <c r="G20" s="65"/>
      <c r="H20" s="65"/>
      <c r="I20" s="64"/>
      <c r="J20" s="65"/>
      <c r="K20" s="20"/>
      <c r="L20" s="69"/>
      <c r="M20" s="66"/>
      <c r="N20" s="71"/>
      <c r="O20" s="66"/>
      <c r="P20" s="71"/>
      <c r="Q20" s="66"/>
      <c r="R20" s="58"/>
      <c r="U20" s="4">
        <f>M25</f>
        <v>1.4893284418599488E-5</v>
      </c>
      <c r="V20" s="51">
        <f>J25</f>
        <v>1.8995697777777785</v>
      </c>
    </row>
    <row r="21" spans="1:22" x14ac:dyDescent="0.3">
      <c r="A21" s="67"/>
      <c r="B21" s="63"/>
      <c r="C21" s="37">
        <v>2.7650000000000001</v>
      </c>
      <c r="D21" s="65"/>
      <c r="E21" s="37">
        <v>2.5779999999999998</v>
      </c>
      <c r="F21" s="65"/>
      <c r="G21" s="65"/>
      <c r="H21" s="65"/>
      <c r="I21" s="64"/>
      <c r="J21" s="65"/>
      <c r="K21" s="20"/>
      <c r="L21" s="70"/>
      <c r="M21" s="66"/>
      <c r="N21" s="71"/>
      <c r="O21" s="66"/>
      <c r="P21" s="71"/>
      <c r="Q21" s="66"/>
      <c r="R21" s="58"/>
      <c r="U21" s="4">
        <f>M28</f>
        <v>1.6742702542911545E-5</v>
      </c>
      <c r="V21" s="51">
        <f>J28</f>
        <v>1.5118353333333396</v>
      </c>
    </row>
    <row r="22" spans="1:22" x14ac:dyDescent="0.3">
      <c r="A22" s="67">
        <v>20.57</v>
      </c>
      <c r="B22" s="61">
        <f t="shared" ref="B22" si="28">A22*10^(-2)</f>
        <v>0.20569999999999999</v>
      </c>
      <c r="C22" s="37">
        <v>3.165</v>
      </c>
      <c r="D22" s="65">
        <f>AVERAGE(C22:C24)*2</f>
        <v>6.323999999999999</v>
      </c>
      <c r="E22" s="37">
        <v>3.0289999999999999</v>
      </c>
      <c r="F22" s="65">
        <f>AVERAGE(E22:E24)*2</f>
        <v>6.06</v>
      </c>
      <c r="G22" s="65">
        <f>(D22+F22)/2</f>
        <v>6.1919999999999993</v>
      </c>
      <c r="H22" s="65">
        <f>STDEV(D22,F22)/SQRT(2)</f>
        <v>0.13199999999999967</v>
      </c>
      <c r="I22" s="64">
        <f t="shared" ref="I22" si="29">G22*G22</f>
        <v>38.340863999999989</v>
      </c>
      <c r="J22" s="65">
        <f t="shared" ref="J22" si="30">2*G22*H22</f>
        <v>1.6346879999999957</v>
      </c>
      <c r="K22" s="19"/>
      <c r="L22" s="68">
        <f>(X$1*A22*A22*10^(-7))+(X$2*A22*A22*10^(-7))+((X$3*X$4*X$4*10^(-7))/12)</f>
        <v>2.2006341518199996E-2</v>
      </c>
      <c r="M22" s="66">
        <f t="shared" ref="M22" si="31">SQRT((2*X$1*10^(-3)*B22*10^(-4))^2+(2*X$2*10^(-3)*B22*10^(-4))^2+((B22)^2*10^(-5))^2+((B22)^2*10^(-5))^2+(((((X$4)^2)*10^(-4))/12)*10^(-5))^2+(((X$3*10^(-3))/6)*X$4*10^(-2)*5*10^(-4))^2)</f>
        <v>1.4042502806741278E-5</v>
      </c>
      <c r="N22" s="71">
        <f>F$39*I22</f>
        <v>2.2232872349903406E-2</v>
      </c>
      <c r="O22" s="66">
        <f>SQRT((I22*F$40)^2+(F$39*J22)^2)</f>
        <v>9.7052837929069544E-4</v>
      </c>
      <c r="P22" s="71">
        <f t="shared" ref="P22" si="32">ABS(L22-N22)/L22</f>
        <v>1.0293888764566403E-2</v>
      </c>
      <c r="Q22" s="66">
        <f t="shared" ref="Q22" si="33">N22-L22</f>
        <v>2.265308317034101E-4</v>
      </c>
      <c r="R22" s="57"/>
      <c r="U22" s="4">
        <f>M31</f>
        <v>1.762885833450307E-5</v>
      </c>
      <c r="V22" s="51">
        <f>J31</f>
        <v>1.7061733333333311</v>
      </c>
    </row>
    <row r="23" spans="1:22" x14ac:dyDescent="0.3">
      <c r="A23" s="67"/>
      <c r="B23" s="62"/>
      <c r="C23" s="37">
        <v>3.1629999999999998</v>
      </c>
      <c r="D23" s="65"/>
      <c r="E23" s="37">
        <v>3.03</v>
      </c>
      <c r="F23" s="65"/>
      <c r="G23" s="65"/>
      <c r="H23" s="65"/>
      <c r="I23" s="64"/>
      <c r="J23" s="65"/>
      <c r="K23" s="20"/>
      <c r="L23" s="69"/>
      <c r="M23" s="66"/>
      <c r="N23" s="71"/>
      <c r="O23" s="66"/>
      <c r="P23" s="71"/>
      <c r="Q23" s="66"/>
      <c r="R23" s="58"/>
      <c r="U23" s="4"/>
    </row>
    <row r="24" spans="1:22" x14ac:dyDescent="0.3">
      <c r="A24" s="67"/>
      <c r="B24" s="63"/>
      <c r="C24" s="37">
        <v>3.1579999999999999</v>
      </c>
      <c r="D24" s="65"/>
      <c r="E24" s="37">
        <v>3.0310000000000001</v>
      </c>
      <c r="F24" s="65"/>
      <c r="G24" s="65"/>
      <c r="H24" s="65"/>
      <c r="I24" s="64"/>
      <c r="J24" s="65"/>
      <c r="K24" s="20"/>
      <c r="L24" s="70"/>
      <c r="M24" s="66"/>
      <c r="N24" s="71"/>
      <c r="O24" s="66"/>
      <c r="P24" s="71"/>
      <c r="Q24" s="66"/>
      <c r="R24" s="58"/>
      <c r="U24" s="4"/>
    </row>
    <row r="25" spans="1:22" x14ac:dyDescent="0.3">
      <c r="A25" s="67">
        <v>22.17</v>
      </c>
      <c r="B25" s="61">
        <f t="shared" ref="B25" si="34">A25*10^(-2)</f>
        <v>0.22170000000000001</v>
      </c>
      <c r="C25" s="37">
        <v>3.3580000000000001</v>
      </c>
      <c r="D25" s="65">
        <f>AVERAGE(C25:C27)*2</f>
        <v>6.71</v>
      </c>
      <c r="E25" s="37">
        <v>3.214</v>
      </c>
      <c r="F25" s="65">
        <f>AVERAGE(E25:E27)*2</f>
        <v>6.4206666666666665</v>
      </c>
      <c r="G25" s="65">
        <f>(D25+F25)/2</f>
        <v>6.5653333333333332</v>
      </c>
      <c r="H25" s="65">
        <f>STDEV(D25,F25)/SQRT(2)</f>
        <v>0.14466666666666672</v>
      </c>
      <c r="I25" s="64">
        <f t="shared" ref="I25" si="35">G25*G25</f>
        <v>43.103601777777776</v>
      </c>
      <c r="J25" s="65">
        <f t="shared" ref="J25" si="36">2*G25*H25</f>
        <v>1.8995697777777785</v>
      </c>
      <c r="K25" s="19"/>
      <c r="L25" s="68">
        <f>(X$1*A25*A25*10^(-7))+(X$2*A25*A25*10^(-7))+((X$3*X$4*X$4*10^(-7))/12)</f>
        <v>2.49002156302E-2</v>
      </c>
      <c r="M25" s="66">
        <f t="shared" ref="M25" si="37">SQRT((2*X$1*10^(-3)*B25*10^(-4))^2+(2*X$2*10^(-3)*B25*10^(-4))^2+((B25)^2*10^(-5))^2+((B25)^2*10^(-5))^2+(((((X$4)^2)*10^(-4))/12)*10^(-5))^2+(((X$3*10^(-3))/6)*X$4*10^(-2)*5*10^(-4))^2)</f>
        <v>1.4893284418599488E-5</v>
      </c>
      <c r="N25" s="71">
        <f>F$39*I25</f>
        <v>2.4994660426703036E-2</v>
      </c>
      <c r="O25" s="66">
        <f>SQRT((I25*F$40)^2+(F$39*J25)^2)</f>
        <v>1.1261266991115337E-3</v>
      </c>
      <c r="P25" s="71">
        <f t="shared" ref="P25" si="38">ABS(L25-N25)/L25</f>
        <v>3.7929308687788916E-3</v>
      </c>
      <c r="Q25" s="66">
        <f t="shared" ref="Q25" si="39">N25-L25</f>
        <v>9.4444796503036221E-5</v>
      </c>
      <c r="R25" s="57"/>
      <c r="U25" s="4"/>
    </row>
    <row r="26" spans="1:22" x14ac:dyDescent="0.3">
      <c r="A26" s="67"/>
      <c r="B26" s="62"/>
      <c r="C26" s="37">
        <v>3.355</v>
      </c>
      <c r="D26" s="65"/>
      <c r="E26" s="37">
        <v>3.2090000000000001</v>
      </c>
      <c r="F26" s="65"/>
      <c r="G26" s="65"/>
      <c r="H26" s="65"/>
      <c r="I26" s="64"/>
      <c r="J26" s="65"/>
      <c r="K26" s="20"/>
      <c r="L26" s="69"/>
      <c r="M26" s="66"/>
      <c r="N26" s="71"/>
      <c r="O26" s="66"/>
      <c r="P26" s="71"/>
      <c r="Q26" s="66"/>
      <c r="R26" s="58"/>
      <c r="U26" s="4"/>
    </row>
    <row r="27" spans="1:22" x14ac:dyDescent="0.3">
      <c r="A27" s="67"/>
      <c r="B27" s="63"/>
      <c r="C27" s="37">
        <v>3.3519999999999999</v>
      </c>
      <c r="D27" s="65"/>
      <c r="E27" s="37">
        <v>3.2080000000000002</v>
      </c>
      <c r="F27" s="65"/>
      <c r="G27" s="65"/>
      <c r="H27" s="65"/>
      <c r="I27" s="64"/>
      <c r="J27" s="65"/>
      <c r="K27" s="20"/>
      <c r="L27" s="70"/>
      <c r="M27" s="66"/>
      <c r="N27" s="71"/>
      <c r="O27" s="66"/>
      <c r="P27" s="71"/>
      <c r="Q27" s="66"/>
      <c r="R27" s="58"/>
      <c r="U27" s="4"/>
    </row>
    <row r="28" spans="1:22" x14ac:dyDescent="0.3">
      <c r="A28" s="67">
        <v>25.57</v>
      </c>
      <c r="B28" s="61">
        <f t="shared" ref="B28" si="40">A28*10^(-2)</f>
        <v>0.25569999999999998</v>
      </c>
      <c r="C28" s="37">
        <v>3.794</v>
      </c>
      <c r="D28" s="65">
        <f>AVERAGE(C28:C30)*2</f>
        <v>7.5853333333333337</v>
      </c>
      <c r="E28" s="37">
        <v>3.7</v>
      </c>
      <c r="F28" s="65">
        <f>AVERAGE(E28:E30)*2</f>
        <v>7.3833333333333329</v>
      </c>
      <c r="G28" s="65">
        <f>(D28+F28)/2</f>
        <v>7.4843333333333337</v>
      </c>
      <c r="H28" s="65">
        <f>STDEV(D28,F28)/SQRT(2)</f>
        <v>0.10100000000000042</v>
      </c>
      <c r="I28" s="64">
        <f t="shared" ref="I28" si="41">G28*G28</f>
        <v>56.015245444444453</v>
      </c>
      <c r="J28" s="65">
        <f t="shared" ref="J28" si="42">2*G28*H28</f>
        <v>1.5118353333333396</v>
      </c>
      <c r="K28" s="19"/>
      <c r="L28" s="68">
        <f>(X$1*A28*A28*10^(-7))+(X$2*A28*A28*10^(-7))+((X$3*X$4*X$4*10^(-7))/12)</f>
        <v>3.1769104118199998E-2</v>
      </c>
      <c r="M28" s="66">
        <f t="shared" ref="M28" si="43">SQRT((2*X$1*10^(-3)*B28*10^(-4))^2+(2*X$2*10^(-3)*B28*10^(-4))^2+((B28)^2*10^(-5))^2+((B28)^2*10^(-5))^2+(((((X$4)^2)*10^(-4))/12)*10^(-5))^2+(((X$3*10^(-3))/6)*X$4*10^(-2)*5*10^(-4))^2)</f>
        <v>1.6742702542911545E-5</v>
      </c>
      <c r="N28" s="71">
        <f>F$39*I28</f>
        <v>3.2481787619987962E-2</v>
      </c>
      <c r="O28" s="66">
        <f>SQRT((I28*F$40)^2+(F$39*J28)^2)</f>
        <v>9.2798880500135229E-4</v>
      </c>
      <c r="P28" s="71">
        <f t="shared" ref="P28" si="44">ABS(L28-N28)/L28</f>
        <v>2.2433226292323406E-2</v>
      </c>
      <c r="Q28" s="66">
        <f t="shared" ref="Q28" si="45">N28-L28</f>
        <v>7.1268350178796402E-4</v>
      </c>
      <c r="R28" s="57"/>
      <c r="U28" s="4"/>
    </row>
    <row r="29" spans="1:22" x14ac:dyDescent="0.3">
      <c r="A29" s="67"/>
      <c r="B29" s="62"/>
      <c r="C29" s="37">
        <v>3.7919999999999998</v>
      </c>
      <c r="D29" s="65"/>
      <c r="E29" s="37">
        <v>3.6920000000000002</v>
      </c>
      <c r="F29" s="65"/>
      <c r="G29" s="65"/>
      <c r="H29" s="65"/>
      <c r="I29" s="64"/>
      <c r="J29" s="65"/>
      <c r="K29" s="20"/>
      <c r="L29" s="69"/>
      <c r="M29" s="66"/>
      <c r="N29" s="71"/>
      <c r="O29" s="66"/>
      <c r="P29" s="71"/>
      <c r="Q29" s="66"/>
      <c r="R29" s="58"/>
      <c r="U29" s="4"/>
    </row>
    <row r="30" spans="1:22" x14ac:dyDescent="0.3">
      <c r="A30" s="67"/>
      <c r="B30" s="63"/>
      <c r="C30" s="37">
        <v>3.7919999999999998</v>
      </c>
      <c r="D30" s="65"/>
      <c r="E30" s="37">
        <v>3.6829999999999998</v>
      </c>
      <c r="F30" s="65"/>
      <c r="G30" s="65"/>
      <c r="H30" s="65"/>
      <c r="I30" s="64"/>
      <c r="J30" s="65"/>
      <c r="K30" s="20"/>
      <c r="L30" s="70"/>
      <c r="M30" s="66"/>
      <c r="N30" s="71"/>
      <c r="O30" s="66"/>
      <c r="P30" s="71"/>
      <c r="Q30" s="66"/>
      <c r="R30" s="58"/>
      <c r="U30" s="4"/>
    </row>
    <row r="31" spans="1:22" x14ac:dyDescent="0.3">
      <c r="A31" s="67">
        <v>27.17</v>
      </c>
      <c r="B31" s="61">
        <f t="shared" ref="B31" si="46">A31*10^(-2)</f>
        <v>0.2717</v>
      </c>
      <c r="C31" s="37">
        <v>3.9359999999999999</v>
      </c>
      <c r="D31" s="65">
        <f>AVERAGE(C31:C33)*2</f>
        <v>7.8653333333333331</v>
      </c>
      <c r="E31" s="37">
        <v>3.8260000000000001</v>
      </c>
      <c r="F31" s="65">
        <f>AVERAGE(E31:E33)*2</f>
        <v>7.6453333333333333</v>
      </c>
      <c r="G31" s="65">
        <f>(D31+F31)/2</f>
        <v>7.7553333333333327</v>
      </c>
      <c r="H31" s="65">
        <f>STDEV(D31,F31)/SQRT(2)</f>
        <v>0.10999999999999986</v>
      </c>
      <c r="I31" s="64">
        <f t="shared" ref="I31" si="47">G31*G31</f>
        <v>60.1451951111111</v>
      </c>
      <c r="J31" s="65">
        <f>2*G31*H31</f>
        <v>1.7061733333333311</v>
      </c>
      <c r="K31" s="19"/>
      <c r="L31" s="68">
        <f>(X$1*A31*A31*10^(-7))+(X$2*A31*A31*10^(-7))+((X$3*X$4*X$4*10^(-7))/12)</f>
        <v>3.5340066230200001E-2</v>
      </c>
      <c r="M31" s="66">
        <f t="shared" ref="M31" si="48">SQRT((2*X$1*10^(-3)*B31*10^(-4))^2+(2*X$2*10^(-3)*B31*10^(-4))^2+((B31)^2*10^(-5))^2+((B31)^2*10^(-5))^2+(((((X$4)^2)*10^(-4))/12)*10^(-5))^2+(((X$3*10^(-3))/6)*X$4*10^(-2)*5*10^(-4))^2)</f>
        <v>1.762885833450307E-5</v>
      </c>
      <c r="N31" s="71">
        <f>F$39*I31</f>
        <v>3.4876638287686161E-2</v>
      </c>
      <c r="O31" s="66">
        <f>SQRT((I31*F$40)^2+(F$39*J31)^2)</f>
        <v>1.0419256347901315E-3</v>
      </c>
      <c r="P31" s="71">
        <f t="shared" ref="P31" si="49">ABS(L31-N31)/L31</f>
        <v>1.3113386361393286E-2</v>
      </c>
      <c r="Q31" s="66">
        <f t="shared" ref="Q31" si="50">N31-L31</f>
        <v>-4.6342794251384017E-4</v>
      </c>
      <c r="R31" s="57"/>
      <c r="U31" s="4"/>
    </row>
    <row r="32" spans="1:22" x14ac:dyDescent="0.3">
      <c r="A32" s="67"/>
      <c r="B32" s="62"/>
      <c r="C32" s="37">
        <v>3.9319999999999999</v>
      </c>
      <c r="D32" s="65"/>
      <c r="E32" s="37">
        <v>3.823</v>
      </c>
      <c r="F32" s="65"/>
      <c r="G32" s="65"/>
      <c r="H32" s="65"/>
      <c r="I32" s="64"/>
      <c r="J32" s="65"/>
      <c r="K32" s="20"/>
      <c r="L32" s="69"/>
      <c r="M32" s="66"/>
      <c r="N32" s="71"/>
      <c r="O32" s="66"/>
      <c r="P32" s="71"/>
      <c r="Q32" s="66"/>
      <c r="R32" s="58"/>
      <c r="U32" s="4"/>
    </row>
    <row r="33" spans="1:21" x14ac:dyDescent="0.3">
      <c r="A33" s="67"/>
      <c r="B33" s="63"/>
      <c r="C33" s="37">
        <v>3.93</v>
      </c>
      <c r="D33" s="65"/>
      <c r="E33" s="37">
        <v>3.819</v>
      </c>
      <c r="F33" s="65"/>
      <c r="G33" s="65"/>
      <c r="H33" s="65"/>
      <c r="I33" s="64"/>
      <c r="J33" s="65"/>
      <c r="K33" s="20"/>
      <c r="L33" s="70"/>
      <c r="M33" s="66"/>
      <c r="N33" s="71"/>
      <c r="O33" s="66"/>
      <c r="P33" s="71"/>
      <c r="Q33" s="66"/>
      <c r="R33" s="58"/>
      <c r="U33" s="4"/>
    </row>
    <row r="34" spans="1:21" x14ac:dyDescent="0.3">
      <c r="U34" s="4"/>
    </row>
    <row r="35" spans="1:21" x14ac:dyDescent="0.3">
      <c r="U35" s="4"/>
    </row>
    <row r="36" spans="1:21" x14ac:dyDescent="0.3">
      <c r="A36" s="42"/>
      <c r="U36" s="4"/>
    </row>
    <row r="37" spans="1:21" x14ac:dyDescent="0.3">
      <c r="A37" s="42"/>
      <c r="E37" s="42"/>
      <c r="H37" s="42"/>
      <c r="U37" s="4"/>
    </row>
    <row r="38" spans="1:21" x14ac:dyDescent="0.3">
      <c r="A38" s="20"/>
      <c r="B38" s="30" t="s">
        <v>26</v>
      </c>
      <c r="C38" s="30" t="s">
        <v>19</v>
      </c>
      <c r="E38" s="46"/>
      <c r="F38" s="72" t="s">
        <v>65</v>
      </c>
      <c r="G38" s="72"/>
      <c r="H38" s="46"/>
      <c r="U38" s="4"/>
    </row>
    <row r="39" spans="1:21" x14ac:dyDescent="0.3">
      <c r="A39" s="30" t="s">
        <v>69</v>
      </c>
      <c r="B39" s="86">
        <f>F39*4*(PI())^2</f>
        <v>2.2892510173319478E-2</v>
      </c>
      <c r="C39" s="29">
        <f>F40*4*(PI())^2</f>
        <v>2.1447294082636856E-4</v>
      </c>
      <c r="E39" s="33" t="s">
        <v>14</v>
      </c>
      <c r="F39" s="43" cm="1">
        <f t="array" ref="F39:G43">LINEST(C60:C69,A60:A69,TRUE,TRUE)</f>
        <v>5.7987405682624713E-4</v>
      </c>
      <c r="G39" s="43">
        <v>-1.2308267867376654E-4</v>
      </c>
      <c r="H39" s="33" t="s">
        <v>33</v>
      </c>
      <c r="U39" s="4"/>
    </row>
    <row r="40" spans="1:21" x14ac:dyDescent="0.3">
      <c r="E40" s="33" t="s">
        <v>32</v>
      </c>
      <c r="F40" s="43">
        <v>5.4326630559451829E-6</v>
      </c>
      <c r="G40" s="43">
        <v>1.8990723473799587E-4</v>
      </c>
      <c r="H40" s="33" t="s">
        <v>34</v>
      </c>
      <c r="U40" s="4"/>
    </row>
    <row r="41" spans="1:21" x14ac:dyDescent="0.3">
      <c r="E41" s="41" t="s">
        <v>61</v>
      </c>
      <c r="F41" s="44">
        <v>0.9992983131733526</v>
      </c>
      <c r="G41" s="44">
        <v>2.9961936615584256E-4</v>
      </c>
      <c r="H41" s="41" t="s">
        <v>62</v>
      </c>
      <c r="U41" s="4"/>
    </row>
    <row r="42" spans="1:21" x14ac:dyDescent="0.3">
      <c r="E42" s="46"/>
      <c r="F42" s="45">
        <v>11393.097606782032</v>
      </c>
      <c r="G42" s="45">
        <v>8</v>
      </c>
      <c r="H42" s="46"/>
      <c r="U42" s="4"/>
    </row>
    <row r="43" spans="1:21" x14ac:dyDescent="0.3">
      <c r="E43" s="46"/>
      <c r="F43" s="45">
        <v>1.0227784761431971E-3</v>
      </c>
      <c r="G43" s="45">
        <v>7.1817411660503085E-7</v>
      </c>
      <c r="H43" s="46"/>
      <c r="U43" s="4"/>
    </row>
    <row r="44" spans="1:21" x14ac:dyDescent="0.3">
      <c r="E44" s="42"/>
      <c r="H44" s="42"/>
    </row>
    <row r="45" spans="1:21" x14ac:dyDescent="0.3">
      <c r="E45" s="42"/>
    </row>
    <row r="59" spans="1:6" x14ac:dyDescent="0.3">
      <c r="A59" s="8" t="s">
        <v>18</v>
      </c>
      <c r="B59" s="8"/>
      <c r="C59" s="8" t="s">
        <v>12</v>
      </c>
      <c r="D59" s="21" t="s">
        <v>44</v>
      </c>
      <c r="E59" s="21" t="s">
        <v>46</v>
      </c>
      <c r="F59" s="8" t="s">
        <v>39</v>
      </c>
    </row>
    <row r="60" spans="1:6" x14ac:dyDescent="0.3">
      <c r="A60" s="22">
        <f>I4</f>
        <v>8.9800111111111107</v>
      </c>
      <c r="B60" s="22"/>
      <c r="C60" s="23">
        <f>L4</f>
        <v>5.0633992221999994E-3</v>
      </c>
      <c r="D60" s="24">
        <f>B4</f>
        <v>4.7699999999999999E-2</v>
      </c>
      <c r="E60" s="25">
        <f>P4</f>
        <v>2.8414953044579899E-2</v>
      </c>
      <c r="F60" s="4">
        <f>Q4</f>
        <v>1.4387625114477536E-4</v>
      </c>
    </row>
    <row r="61" spans="1:6" x14ac:dyDescent="0.3">
      <c r="A61" s="23">
        <f>I7</f>
        <v>10.828487111111111</v>
      </c>
      <c r="B61" s="23"/>
      <c r="C61" s="23">
        <f>L7</f>
        <v>6.2158029981999995E-3</v>
      </c>
      <c r="D61" s="24">
        <f>B7</f>
        <v>7.0699999999999999E-2</v>
      </c>
      <c r="E61" s="25">
        <f>P7</f>
        <v>1.0192689863091804E-2</v>
      </c>
      <c r="F61" s="4">
        <f>Q7</f>
        <v>6.3355752210728783E-5</v>
      </c>
    </row>
    <row r="62" spans="1:6" x14ac:dyDescent="0.3">
      <c r="A62" s="23">
        <f>I10</f>
        <v>15.178815999999999</v>
      </c>
      <c r="B62" s="23"/>
      <c r="C62" s="23">
        <f>L10</f>
        <v>8.7394792461999993E-3</v>
      </c>
      <c r="D62" s="24">
        <f>B10</f>
        <v>0.10470000000000002</v>
      </c>
      <c r="E62" s="25">
        <f>P10</f>
        <v>7.1311303320787302E-3</v>
      </c>
      <c r="F62" s="4">
        <f>Q10</f>
        <v>6.2322365539149369E-5</v>
      </c>
    </row>
    <row r="63" spans="1:6" x14ac:dyDescent="0.3">
      <c r="A63" s="23">
        <f>I13</f>
        <v>17.822469444444444</v>
      </c>
      <c r="B63" s="23"/>
      <c r="C63" s="23">
        <f>L13</f>
        <v>1.0265635598199999E-2</v>
      </c>
      <c r="D63" s="24">
        <f>B13</f>
        <v>0.1207</v>
      </c>
      <c r="E63" s="25">
        <f>P13</f>
        <v>6.7362668926176546E-3</v>
      </c>
      <c r="F63" s="4">
        <f>Q13</f>
        <v>6.9152061211831886E-5</v>
      </c>
    </row>
    <row r="64" spans="1:6" x14ac:dyDescent="0.3">
      <c r="A64" s="23">
        <f>I16</f>
        <v>23.970815999999999</v>
      </c>
      <c r="B64" s="23"/>
      <c r="C64" s="23">
        <f>L16</f>
        <v>1.3711167158199998E-2</v>
      </c>
      <c r="D64" s="24">
        <f>B16</f>
        <v>0.1507</v>
      </c>
      <c r="E64" s="25">
        <f>P16</f>
        <v>1.3776154792376684E-2</v>
      </c>
      <c r="F64" s="4">
        <f>Q16</f>
        <v>1.8888716115551471E-4</v>
      </c>
    </row>
    <row r="65" spans="1:6" x14ac:dyDescent="0.3">
      <c r="A65" s="23">
        <f>I19</f>
        <v>28.565461777777781</v>
      </c>
      <c r="B65" s="23"/>
      <c r="C65" s="23">
        <f>L19</f>
        <v>1.64313681982E-2</v>
      </c>
      <c r="D65" s="24">
        <f>B19</f>
        <v>0.17070000000000002</v>
      </c>
      <c r="E65" s="25">
        <f>P19</f>
        <v>8.0943964246187744E-3</v>
      </c>
      <c r="F65" s="4">
        <f>Q19</f>
        <v>1.330020079951047E-4</v>
      </c>
    </row>
    <row r="66" spans="1:6" x14ac:dyDescent="0.3">
      <c r="A66" s="23">
        <f>I22</f>
        <v>38.340863999999989</v>
      </c>
      <c r="B66" s="23"/>
      <c r="C66" s="23">
        <f>L22</f>
        <v>2.2006341518199996E-2</v>
      </c>
      <c r="D66" s="24">
        <f>B22</f>
        <v>0.20569999999999999</v>
      </c>
      <c r="E66" s="25">
        <f>P22</f>
        <v>1.0293888764566403E-2</v>
      </c>
      <c r="F66" s="4">
        <f>Q22</f>
        <v>2.265308317034101E-4</v>
      </c>
    </row>
    <row r="67" spans="1:6" x14ac:dyDescent="0.3">
      <c r="A67" s="23">
        <f>I25</f>
        <v>43.103601777777776</v>
      </c>
      <c r="B67" s="23"/>
      <c r="C67" s="23">
        <f>L25</f>
        <v>2.49002156302E-2</v>
      </c>
      <c r="D67" s="24">
        <f>B25</f>
        <v>0.22170000000000001</v>
      </c>
      <c r="E67" s="25">
        <f>P25</f>
        <v>3.7929308687788916E-3</v>
      </c>
      <c r="F67" s="4">
        <f>Q25</f>
        <v>9.4444796503036221E-5</v>
      </c>
    </row>
    <row r="68" spans="1:6" x14ac:dyDescent="0.3">
      <c r="A68" s="23">
        <f>I28</f>
        <v>56.015245444444453</v>
      </c>
      <c r="B68" s="23"/>
      <c r="C68" s="23">
        <f>L28</f>
        <v>3.1769104118199998E-2</v>
      </c>
      <c r="D68" s="24">
        <f>B28</f>
        <v>0.25569999999999998</v>
      </c>
      <c r="E68" s="25">
        <f>P28</f>
        <v>2.2433226292323406E-2</v>
      </c>
      <c r="F68" s="4">
        <f>Q28</f>
        <v>7.1268350178796402E-4</v>
      </c>
    </row>
    <row r="69" spans="1:6" x14ac:dyDescent="0.3">
      <c r="A69" s="23">
        <f>I31</f>
        <v>60.1451951111111</v>
      </c>
      <c r="B69" s="23"/>
      <c r="C69" s="23">
        <f>L31</f>
        <v>3.5340066230200001E-2</v>
      </c>
      <c r="D69" s="24">
        <f>B31</f>
        <v>0.2717</v>
      </c>
      <c r="E69" s="25">
        <f>P31</f>
        <v>1.3113386361393286E-2</v>
      </c>
      <c r="F69" s="4">
        <f>Q31</f>
        <v>-4.6342794251384017E-4</v>
      </c>
    </row>
  </sheetData>
  <mergeCells count="154">
    <mergeCell ref="L3:O3"/>
    <mergeCell ref="G3:H3"/>
    <mergeCell ref="P19:P21"/>
    <mergeCell ref="N31:N33"/>
    <mergeCell ref="O13:O15"/>
    <mergeCell ref="O10:O12"/>
    <mergeCell ref="O7:O9"/>
    <mergeCell ref="M28:M30"/>
    <mergeCell ref="O4:O6"/>
    <mergeCell ref="N22:N24"/>
    <mergeCell ref="L28:L30"/>
    <mergeCell ref="M25:M27"/>
    <mergeCell ref="J25:J27"/>
    <mergeCell ref="P22:P24"/>
    <mergeCell ref="N19:N21"/>
    <mergeCell ref="N16:N18"/>
    <mergeCell ref="M7:M9"/>
    <mergeCell ref="I22:I24"/>
    <mergeCell ref="I19:I21"/>
    <mergeCell ref="I16:I18"/>
    <mergeCell ref="I13:I15"/>
    <mergeCell ref="M4:M6"/>
    <mergeCell ref="L22:L24"/>
    <mergeCell ref="L19:L21"/>
    <mergeCell ref="P7:P9"/>
    <mergeCell ref="P4:P6"/>
    <mergeCell ref="O28:O30"/>
    <mergeCell ref="O25:O27"/>
    <mergeCell ref="O22:O24"/>
    <mergeCell ref="O19:O21"/>
    <mergeCell ref="O16:O18"/>
    <mergeCell ref="N13:N15"/>
    <mergeCell ref="N10:N12"/>
    <mergeCell ref="N7:N9"/>
    <mergeCell ref="N4:N6"/>
    <mergeCell ref="P28:P30"/>
    <mergeCell ref="P25:P27"/>
    <mergeCell ref="N28:N30"/>
    <mergeCell ref="N25:N27"/>
    <mergeCell ref="M22:M24"/>
    <mergeCell ref="M19:M21"/>
    <mergeCell ref="M16:M18"/>
    <mergeCell ref="M13:M15"/>
    <mergeCell ref="M10:M12"/>
    <mergeCell ref="F38:G38"/>
    <mergeCell ref="P16:P18"/>
    <mergeCell ref="P13:P15"/>
    <mergeCell ref="P10:P12"/>
    <mergeCell ref="P31:P33"/>
    <mergeCell ref="O31:O33"/>
    <mergeCell ref="J31:J33"/>
    <mergeCell ref="M31:M33"/>
    <mergeCell ref="L31:L33"/>
    <mergeCell ref="J10:J12"/>
    <mergeCell ref="J7:J9"/>
    <mergeCell ref="J4:J6"/>
    <mergeCell ref="J22:J24"/>
    <mergeCell ref="L25:L27"/>
    <mergeCell ref="I10:I12"/>
    <mergeCell ref="I7:I9"/>
    <mergeCell ref="I4:I6"/>
    <mergeCell ref="J28:J30"/>
    <mergeCell ref="L16:L18"/>
    <mergeCell ref="L13:L15"/>
    <mergeCell ref="L10:L12"/>
    <mergeCell ref="L7:L9"/>
    <mergeCell ref="L4:L6"/>
    <mergeCell ref="G4:G6"/>
    <mergeCell ref="H13:H15"/>
    <mergeCell ref="H10:H12"/>
    <mergeCell ref="H7:H9"/>
    <mergeCell ref="H4:H6"/>
    <mergeCell ref="G13:G15"/>
    <mergeCell ref="G10:G12"/>
    <mergeCell ref="G7:G9"/>
    <mergeCell ref="I28:I30"/>
    <mergeCell ref="I25:I27"/>
    <mergeCell ref="G31:G33"/>
    <mergeCell ref="G28:G30"/>
    <mergeCell ref="G25:G27"/>
    <mergeCell ref="G22:G24"/>
    <mergeCell ref="G19:G21"/>
    <mergeCell ref="G16:G18"/>
    <mergeCell ref="J19:J21"/>
    <mergeCell ref="J16:J18"/>
    <mergeCell ref="J13:J15"/>
    <mergeCell ref="A4:A6"/>
    <mergeCell ref="A7:A9"/>
    <mergeCell ref="F7:F9"/>
    <mergeCell ref="F4:F6"/>
    <mergeCell ref="F31:F33"/>
    <mergeCell ref="F28:F30"/>
    <mergeCell ref="F25:F27"/>
    <mergeCell ref="F22:F24"/>
    <mergeCell ref="F19:F21"/>
    <mergeCell ref="F16:F18"/>
    <mergeCell ref="F13:F15"/>
    <mergeCell ref="F10:F12"/>
    <mergeCell ref="A28:A30"/>
    <mergeCell ref="A31:A33"/>
    <mergeCell ref="A10:A12"/>
    <mergeCell ref="A13:A15"/>
    <mergeCell ref="A16:A18"/>
    <mergeCell ref="A19:A21"/>
    <mergeCell ref="A22:A24"/>
    <mergeCell ref="A25:A27"/>
    <mergeCell ref="D13:D15"/>
    <mergeCell ref="D10:D12"/>
    <mergeCell ref="D7:D9"/>
    <mergeCell ref="D4:D6"/>
    <mergeCell ref="Q4:Q6"/>
    <mergeCell ref="Q19:Q21"/>
    <mergeCell ref="Q31:Q33"/>
    <mergeCell ref="Q28:Q30"/>
    <mergeCell ref="Q25:Q27"/>
    <mergeCell ref="Q22:Q24"/>
    <mergeCell ref="Q16:Q18"/>
    <mergeCell ref="Q13:Q15"/>
    <mergeCell ref="Q10:Q12"/>
    <mergeCell ref="Q7:Q9"/>
    <mergeCell ref="I3:J3"/>
    <mergeCell ref="B31:B33"/>
    <mergeCell ref="B28:B30"/>
    <mergeCell ref="B25:B27"/>
    <mergeCell ref="B22:B24"/>
    <mergeCell ref="B19:B21"/>
    <mergeCell ref="B16:B18"/>
    <mergeCell ref="B13:B15"/>
    <mergeCell ref="B10:B12"/>
    <mergeCell ref="B7:B9"/>
    <mergeCell ref="B4:B6"/>
    <mergeCell ref="I31:I33"/>
    <mergeCell ref="D31:D33"/>
    <mergeCell ref="D28:D30"/>
    <mergeCell ref="D25:D27"/>
    <mergeCell ref="D22:D24"/>
    <mergeCell ref="D19:D21"/>
    <mergeCell ref="D16:D18"/>
    <mergeCell ref="H31:H33"/>
    <mergeCell ref="H28:H30"/>
    <mergeCell ref="H25:H27"/>
    <mergeCell ref="H22:H24"/>
    <mergeCell ref="H19:H21"/>
    <mergeCell ref="H16:H18"/>
    <mergeCell ref="R4:R6"/>
    <mergeCell ref="R31:R33"/>
    <mergeCell ref="R28:R30"/>
    <mergeCell ref="R25:R27"/>
    <mergeCell ref="R22:R24"/>
    <mergeCell ref="R19:R21"/>
    <mergeCell ref="R16:R18"/>
    <mergeCell ref="R13:R15"/>
    <mergeCell ref="R10:R12"/>
    <mergeCell ref="R7:R9"/>
  </mergeCells>
  <pageMargins left="0.7" right="0.7" top="0.75" bottom="0.75" header="0.3" footer="0.3"/>
  <pageSetup paperSize="9" orientation="portrait" horizontalDpi="4294967293" verticalDpi="0" r:id="rId1"/>
  <ignoredErrors>
    <ignoredError sqref="D4:D33 F4:F3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3808-58EC-4381-B959-3A532E8A5941}">
  <dimension ref="A1:V40"/>
  <sheetViews>
    <sheetView zoomScale="70" zoomScaleNormal="70" workbookViewId="0">
      <selection activeCell="C8" sqref="C8:C10"/>
    </sheetView>
  </sheetViews>
  <sheetFormatPr defaultRowHeight="14.4" x14ac:dyDescent="0.3"/>
  <cols>
    <col min="1" max="1" width="14.88671875" bestFit="1" customWidth="1"/>
    <col min="2" max="2" width="10.5546875" bestFit="1" customWidth="1"/>
    <col min="3" max="3" width="10.109375" customWidth="1"/>
    <col min="4" max="4" width="13" bestFit="1" customWidth="1"/>
    <col min="5" max="6" width="10.44140625" customWidth="1"/>
    <col min="7" max="7" width="11.44140625" bestFit="1" customWidth="1"/>
    <col min="8" max="8" width="9.6640625" bestFit="1" customWidth="1"/>
    <col min="9" max="10" width="9" bestFit="1" customWidth="1"/>
    <col min="11" max="11" width="12.109375" bestFit="1" customWidth="1"/>
    <col min="12" max="12" width="10.109375" bestFit="1" customWidth="1"/>
    <col min="13" max="13" width="10.6640625" bestFit="1" customWidth="1"/>
    <col min="14" max="14" width="10.77734375" bestFit="1" customWidth="1"/>
    <col min="15" max="15" width="14.6640625" bestFit="1" customWidth="1"/>
    <col min="16" max="16" width="14.77734375" bestFit="1" customWidth="1"/>
    <col min="17" max="17" width="13.44140625" bestFit="1" customWidth="1"/>
    <col min="18" max="18" width="15.6640625" bestFit="1" customWidth="1"/>
    <col min="19" max="19" width="14.21875" bestFit="1" customWidth="1"/>
    <col min="20" max="20" width="11.21875" bestFit="1" customWidth="1"/>
    <col min="21" max="21" width="19.6640625" bestFit="1" customWidth="1"/>
    <col min="22" max="22" width="9.77734375" bestFit="1" customWidth="1"/>
  </cols>
  <sheetData>
    <row r="1" spans="1:22" x14ac:dyDescent="0.3">
      <c r="A1" s="7" t="s">
        <v>58</v>
      </c>
      <c r="B1" s="31">
        <v>0.28420000000000001</v>
      </c>
      <c r="C1" s="8"/>
      <c r="D1" t="s">
        <v>27</v>
      </c>
      <c r="G1" s="4">
        <f>distância!B39</f>
        <v>2.2892510173319478E-2</v>
      </c>
      <c r="I1" t="s">
        <v>14</v>
      </c>
      <c r="J1">
        <f>distância!F39</f>
        <v>5.7987405682624713E-4</v>
      </c>
      <c r="K1">
        <f>distância!F40</f>
        <v>5.4326630559451829E-6</v>
      </c>
    </row>
    <row r="2" spans="1:22" x14ac:dyDescent="0.3">
      <c r="B2" s="8"/>
      <c r="C2" s="8"/>
    </row>
    <row r="3" spans="1:22" x14ac:dyDescent="0.3">
      <c r="A3" s="5" t="s">
        <v>29</v>
      </c>
      <c r="B3" s="5" t="s">
        <v>30</v>
      </c>
      <c r="C3" s="5" t="s">
        <v>28</v>
      </c>
      <c r="D3" s="6" t="s">
        <v>47</v>
      </c>
      <c r="E3" s="6" t="s">
        <v>48</v>
      </c>
      <c r="F3" s="8"/>
      <c r="G3" s="6" t="s">
        <v>6</v>
      </c>
      <c r="H3" s="3" t="s">
        <v>7</v>
      </c>
      <c r="I3" s="5" t="s">
        <v>8</v>
      </c>
      <c r="J3" s="3" t="s">
        <v>9</v>
      </c>
      <c r="K3" s="3" t="s">
        <v>25</v>
      </c>
      <c r="L3" s="3" t="s">
        <v>11</v>
      </c>
      <c r="M3" s="5" t="s">
        <v>18</v>
      </c>
      <c r="N3" s="5" t="s">
        <v>20</v>
      </c>
      <c r="P3" s="27" t="s">
        <v>42</v>
      </c>
      <c r="Q3" s="27" t="s">
        <v>49</v>
      </c>
      <c r="R3" s="27" t="s">
        <v>36</v>
      </c>
      <c r="S3" s="27" t="s">
        <v>51</v>
      </c>
      <c r="T3" s="27" t="s">
        <v>52</v>
      </c>
      <c r="U3" s="27" t="s">
        <v>53</v>
      </c>
    </row>
    <row r="4" spans="1:22" x14ac:dyDescent="0.3">
      <c r="A4" s="5" t="s">
        <v>43</v>
      </c>
      <c r="B4" s="6" t="s">
        <v>43</v>
      </c>
      <c r="C4" s="5" t="s">
        <v>35</v>
      </c>
      <c r="D4" s="73" t="s">
        <v>54</v>
      </c>
      <c r="E4" s="73"/>
      <c r="F4" s="8"/>
      <c r="G4" s="6" t="s">
        <v>5</v>
      </c>
      <c r="H4" s="6" t="s">
        <v>10</v>
      </c>
      <c r="I4" s="5" t="s">
        <v>5</v>
      </c>
      <c r="J4" s="59" t="s">
        <v>4</v>
      </c>
      <c r="K4" s="80"/>
      <c r="L4" s="60"/>
      <c r="M4" s="59" t="s">
        <v>21</v>
      </c>
      <c r="N4" s="60"/>
      <c r="P4" s="73" t="s">
        <v>24</v>
      </c>
      <c r="Q4" s="73"/>
      <c r="R4" s="73"/>
      <c r="S4" s="73"/>
      <c r="T4" s="73"/>
      <c r="U4" s="73"/>
    </row>
    <row r="5" spans="1:22" x14ac:dyDescent="0.3">
      <c r="A5" s="77">
        <f>(31.5+2.07)*10^(-2)</f>
        <v>0.3357</v>
      </c>
      <c r="B5" s="77">
        <f>(21.3+2.07)*10^(-2)</f>
        <v>0.23370000000000002</v>
      </c>
      <c r="C5" s="77">
        <f>B$1-B5</f>
        <v>5.0499999999999989E-2</v>
      </c>
      <c r="D5" s="71">
        <f>C5*C5</f>
        <v>2.5502499999999991E-3</v>
      </c>
      <c r="E5" s="78">
        <f>C5*2*10^(-4)</f>
        <v>1.0099999999999998E-5</v>
      </c>
      <c r="F5" s="26"/>
      <c r="G5" s="10">
        <v>3.722</v>
      </c>
      <c r="H5" s="75">
        <f>AVERAGE(G5:G7)*2</f>
        <v>7.4520000000000008</v>
      </c>
      <c r="I5" s="11">
        <v>4.7789999999999999</v>
      </c>
      <c r="J5" s="75">
        <f>AVERAGE(I5:I7)*2</f>
        <v>9.5053333333333327</v>
      </c>
      <c r="K5" s="75">
        <f>(H5+J5)/2</f>
        <v>8.4786666666666672</v>
      </c>
      <c r="L5" s="75">
        <f>STDEV(H5,J5)/SQRT(2)</f>
        <v>1.0266666666666591</v>
      </c>
      <c r="M5" s="64">
        <f>K5*K5</f>
        <v>71.887788444444453</v>
      </c>
      <c r="N5" s="75">
        <f>2*K5*L5</f>
        <v>17.409528888888762</v>
      </c>
      <c r="P5" s="71">
        <f>(G$1/(4*(PI())^2))*M5</f>
        <v>4.1685863521547017E-2</v>
      </c>
      <c r="Q5" s="78">
        <f>SQRT((J$1*N5)^2+(M5*K$1)^2)</f>
        <v>1.0102885461141946E-2</v>
      </c>
      <c r="R5" s="71">
        <f>(B$16*10^(-3)*(A5^2))+(B$17*10^(-3)*(B5^2))+((B$18*10^(-3)*((B$19^2)*10^(-4)))/12)</f>
        <v>3.9548166026199996E-2</v>
      </c>
      <c r="S5" s="78">
        <f>SQRT((2*B$16*10^(-3)*A5*10^(-4))^2+(2*B$17*10^(-3)*B5*10^(-4))^2+((A5)^2*10^(-5))^2+((B5)^2*10^(-5))^2+(((((B$19)^2)*10^(-4))/12)*10^(-5))^2+(((B$18*10^(-3))/6)*B$19*10^(-2)*5*10^(-4))^2)</f>
        <v>1.8635033005464817E-5</v>
      </c>
      <c r="T5" s="71">
        <f>P5-R5</f>
        <v>2.1376974953470212E-3</v>
      </c>
      <c r="U5" s="81">
        <f>SQRT(Q5^2+S5^2)</f>
        <v>1.0102902647527019E-2</v>
      </c>
    </row>
    <row r="6" spans="1:22" x14ac:dyDescent="0.3">
      <c r="A6" s="77"/>
      <c r="B6" s="77"/>
      <c r="C6" s="77"/>
      <c r="D6" s="71"/>
      <c r="E6" s="78"/>
      <c r="F6" s="26"/>
      <c r="G6" s="10">
        <v>3.72</v>
      </c>
      <c r="H6" s="76"/>
      <c r="I6" s="11">
        <v>4.7350000000000003</v>
      </c>
      <c r="J6" s="76"/>
      <c r="K6" s="75"/>
      <c r="L6" s="75"/>
      <c r="M6" s="64"/>
      <c r="N6" s="75"/>
      <c r="P6" s="71"/>
      <c r="Q6" s="78"/>
      <c r="R6" s="71"/>
      <c r="S6" s="78"/>
      <c r="T6" s="71"/>
      <c r="U6" s="82"/>
    </row>
    <row r="7" spans="1:22" x14ac:dyDescent="0.3">
      <c r="A7" s="77"/>
      <c r="B7" s="77"/>
      <c r="C7" s="77"/>
      <c r="D7" s="71"/>
      <c r="E7" s="78"/>
      <c r="F7" s="26"/>
      <c r="G7" s="10">
        <v>3.7360000000000002</v>
      </c>
      <c r="H7" s="76"/>
      <c r="I7" s="11">
        <v>4.7439999999999998</v>
      </c>
      <c r="J7" s="76"/>
      <c r="K7" s="75"/>
      <c r="L7" s="75"/>
      <c r="M7" s="64"/>
      <c r="N7" s="75"/>
      <c r="P7" s="71"/>
      <c r="Q7" s="78"/>
      <c r="R7" s="71"/>
      <c r="S7" s="78"/>
      <c r="T7" s="71"/>
      <c r="U7" s="82"/>
    </row>
    <row r="8" spans="1:22" x14ac:dyDescent="0.3">
      <c r="A8" s="77">
        <f>(36.05+2.07)*10^(-2)</f>
        <v>0.38119999999999998</v>
      </c>
      <c r="B8" s="77">
        <f>(16.85+2.07)*10^(-2)</f>
        <v>0.18920000000000003</v>
      </c>
      <c r="C8" s="77">
        <f>B$1-B8</f>
        <v>9.4999999999999973E-2</v>
      </c>
      <c r="D8" s="71">
        <f t="shared" ref="D8" si="0">C8*C8</f>
        <v>9.0249999999999948E-3</v>
      </c>
      <c r="E8" s="78">
        <f t="shared" ref="E8" si="1">C8*2*10^(-4)</f>
        <v>1.8999999999999994E-5</v>
      </c>
      <c r="F8" s="26"/>
      <c r="G8" s="10">
        <v>5.0599999999999996</v>
      </c>
      <c r="H8" s="75">
        <f>AVERAGE(G8:G10)*2</f>
        <v>10.119999999999999</v>
      </c>
      <c r="I8" s="11">
        <v>4.9160000000000004</v>
      </c>
      <c r="J8" s="75">
        <f>AVERAGE(I8:I10)*2</f>
        <v>9.7846666666666664</v>
      </c>
      <c r="K8" s="75">
        <f>(H8+J8)/2</f>
        <v>9.9523333333333319</v>
      </c>
      <c r="L8" s="75">
        <f>STDEV(H8,J8)/SQRT(2)</f>
        <v>0.16766666666666641</v>
      </c>
      <c r="M8" s="64">
        <f t="shared" ref="M8" si="2">K8*K8</f>
        <v>99.048938777777749</v>
      </c>
      <c r="N8" s="75">
        <f>2*K8*L8</f>
        <v>3.3373491111111053</v>
      </c>
      <c r="P8" s="71">
        <f>(G$1/(4*(PI())^2))*M8</f>
        <v>5.7435909953404571E-2</v>
      </c>
      <c r="Q8" s="78">
        <f>SQRT((J$1*N8)^2+(M8*K$1)^2)</f>
        <v>2.0086595859769409E-3</v>
      </c>
      <c r="R8" s="71">
        <f t="shared" ref="R8" si="3">(B$16*10^(-3)*(A8^2))+(B$17*10^(-3)*(B8^2))+((B$18*10^(-3)*((B$19^2)*10^(-4)))/12)</f>
        <v>4.2509237267199997E-2</v>
      </c>
      <c r="S8" s="78">
        <f>SQRT((2*B$16*10^(-3)*A8*10^(-4))^2+(2*B$17*10^(-3)*B8*10^(-4))^2+((A8)^2*10^(-5))^2+((B8)^2*10^(-5))^2+(((((B$19)^2)*10^(-4))/12)*10^(-5))^2+(((B$18*10^(-3))/6)*B$19*10^(-2)*5*10^(-4))^2)</f>
        <v>1.9322159786988341E-5</v>
      </c>
      <c r="T8" s="71">
        <f t="shared" ref="T8" si="4">P8-R8</f>
        <v>1.4926672686204574E-2</v>
      </c>
      <c r="U8" s="81">
        <f t="shared" ref="U8" si="5">SQRT(Q8^2+S8^2)</f>
        <v>2.0087525179065461E-3</v>
      </c>
    </row>
    <row r="9" spans="1:22" x14ac:dyDescent="0.3">
      <c r="A9" s="77"/>
      <c r="B9" s="77"/>
      <c r="C9" s="77"/>
      <c r="D9" s="71"/>
      <c r="E9" s="78"/>
      <c r="F9" s="26"/>
      <c r="G9" s="10">
        <v>5.05</v>
      </c>
      <c r="H9" s="76"/>
      <c r="I9" s="11">
        <v>4.8940000000000001</v>
      </c>
      <c r="J9" s="76"/>
      <c r="K9" s="75"/>
      <c r="L9" s="75"/>
      <c r="M9" s="64"/>
      <c r="N9" s="75"/>
      <c r="P9" s="71"/>
      <c r="Q9" s="78"/>
      <c r="R9" s="71"/>
      <c r="S9" s="78"/>
      <c r="T9" s="71"/>
      <c r="U9" s="82"/>
    </row>
    <row r="10" spans="1:22" x14ac:dyDescent="0.3">
      <c r="A10" s="77"/>
      <c r="B10" s="77"/>
      <c r="C10" s="77"/>
      <c r="D10" s="71"/>
      <c r="E10" s="78"/>
      <c r="F10" s="26"/>
      <c r="G10" s="10">
        <v>5.07</v>
      </c>
      <c r="H10" s="76"/>
      <c r="I10" s="11">
        <v>4.867</v>
      </c>
      <c r="J10" s="76"/>
      <c r="K10" s="75"/>
      <c r="L10" s="75"/>
      <c r="M10" s="64"/>
      <c r="N10" s="75"/>
      <c r="P10" s="71"/>
      <c r="Q10" s="78"/>
      <c r="R10" s="71"/>
      <c r="S10" s="78"/>
      <c r="T10" s="71"/>
      <c r="U10" s="82"/>
    </row>
    <row r="11" spans="1:22" x14ac:dyDescent="0.3">
      <c r="A11" s="77">
        <f>(41.45+2.07)*10^(-2)</f>
        <v>0.43520000000000003</v>
      </c>
      <c r="B11" s="77">
        <f>(11.5+2.07)*10^(-2)</f>
        <v>0.13570000000000002</v>
      </c>
      <c r="C11" s="77">
        <f>B$1-B11</f>
        <v>0.14849999999999999</v>
      </c>
      <c r="D11" s="71">
        <f t="shared" ref="D11" si="6">C11*C11</f>
        <v>2.2052249999999999E-2</v>
      </c>
      <c r="E11" s="78">
        <f t="shared" ref="E11" si="7">C11*2*10^(-4)</f>
        <v>2.97E-5</v>
      </c>
      <c r="F11" s="26"/>
      <c r="G11" s="10">
        <v>4.8689999999999998</v>
      </c>
      <c r="H11" s="75">
        <f>AVERAGE(G11:G13)*2</f>
        <v>9.7093333333333334</v>
      </c>
      <c r="I11" s="11">
        <v>4.9660000000000002</v>
      </c>
      <c r="J11" s="75">
        <f>AVERAGE(I11:I13)*2</f>
        <v>9.9173333333333336</v>
      </c>
      <c r="K11" s="75">
        <f>(H11+J11)/2</f>
        <v>9.8133333333333326</v>
      </c>
      <c r="L11" s="75">
        <f>STDEV(H11,J11)/SQRT(2)</f>
        <v>0.10400000000000009</v>
      </c>
      <c r="M11" s="64">
        <f t="shared" ref="M11" si="8">K11*K11</f>
        <v>96.301511111111097</v>
      </c>
      <c r="N11" s="75">
        <f t="shared" ref="N11" si="9">2*K11*L11</f>
        <v>2.0411733333333348</v>
      </c>
      <c r="P11" s="71">
        <f>(G$1/(4*(PI())^2))*M11</f>
        <v>5.5842747926497904E-2</v>
      </c>
      <c r="Q11" s="78">
        <f t="shared" ref="Q11" si="10">SQRT((J$1*N11)^2+(M11*K$1)^2)</f>
        <v>1.2940924150995213E-3</v>
      </c>
      <c r="R11" s="71">
        <f t="shared" ref="R11" si="11">(B$16*10^(-3)*(A11^2))+(B$17*10^(-3)*(B11^2))+((B$18*10^(-3)*((B$19^2)*10^(-4)))/12)</f>
        <v>4.8208594452700003E-2</v>
      </c>
      <c r="S11" s="78">
        <f t="shared" ref="S11" si="12">SQRT((2*B$16*10^(-3)*A11*10^(-4))^2+(2*B$17*10^(-3)*B11*10^(-4))^2+((A11)^2*10^(-5))^2+((B11)^2*10^(-5))^2+(((((B$19)^2)*10^(-4))/12)*10^(-5))^2+(((B$18*10^(-3))/6)*B$19*10^(-2)*5*10^(-4))^2)</f>
        <v>2.0576228569104762E-5</v>
      </c>
      <c r="T11" s="71">
        <f t="shared" ref="T11" si="13">P11-R11</f>
        <v>7.6341534737979014E-3</v>
      </c>
      <c r="U11" s="81">
        <f t="shared" ref="U11" si="14">SQRT(Q11^2+S11^2)</f>
        <v>1.2942559870443868E-3</v>
      </c>
    </row>
    <row r="12" spans="1:22" x14ac:dyDescent="0.3">
      <c r="A12" s="77"/>
      <c r="B12" s="77"/>
      <c r="C12" s="77"/>
      <c r="D12" s="71"/>
      <c r="E12" s="78"/>
      <c r="F12" s="26"/>
      <c r="G12" s="10">
        <v>4.8010000000000002</v>
      </c>
      <c r="H12" s="76"/>
      <c r="I12" s="11">
        <v>4.9470000000000001</v>
      </c>
      <c r="J12" s="76"/>
      <c r="K12" s="75"/>
      <c r="L12" s="75"/>
      <c r="M12" s="64"/>
      <c r="N12" s="75"/>
      <c r="P12" s="71"/>
      <c r="Q12" s="78"/>
      <c r="R12" s="71"/>
      <c r="S12" s="78"/>
      <c r="T12" s="71"/>
      <c r="U12" s="82"/>
    </row>
    <row r="13" spans="1:22" x14ac:dyDescent="0.3">
      <c r="A13" s="77"/>
      <c r="B13" s="77"/>
      <c r="C13" s="77"/>
      <c r="D13" s="71"/>
      <c r="E13" s="78"/>
      <c r="F13" s="26"/>
      <c r="G13" s="10">
        <v>4.8940000000000001</v>
      </c>
      <c r="H13" s="76"/>
      <c r="I13" s="11">
        <v>4.9630000000000001</v>
      </c>
      <c r="J13" s="76"/>
      <c r="K13" s="75"/>
      <c r="L13" s="75"/>
      <c r="M13" s="64"/>
      <c r="N13" s="75"/>
      <c r="P13" s="71"/>
      <c r="Q13" s="78"/>
      <c r="R13" s="71"/>
      <c r="S13" s="78"/>
      <c r="T13" s="71"/>
      <c r="U13" s="82"/>
    </row>
    <row r="15" spans="1:22" x14ac:dyDescent="0.3">
      <c r="O15" t="s">
        <v>50</v>
      </c>
      <c r="P15" t="s">
        <v>45</v>
      </c>
      <c r="U15" t="s">
        <v>59</v>
      </c>
      <c r="V15" t="s">
        <v>50</v>
      </c>
    </row>
    <row r="16" spans="1:22" x14ac:dyDescent="0.3">
      <c r="A16" t="s">
        <v>2</v>
      </c>
      <c r="B16">
        <v>212.39</v>
      </c>
      <c r="C16" t="s">
        <v>16</v>
      </c>
      <c r="O16" s="14">
        <f>D5</f>
        <v>2.5502499999999991E-3</v>
      </c>
      <c r="P16" s="14">
        <f>T5</f>
        <v>2.1376974953470212E-3</v>
      </c>
      <c r="Q16" s="17"/>
      <c r="U16" s="4">
        <f>U5</f>
        <v>1.0102902647527019E-2</v>
      </c>
      <c r="V16" s="4">
        <f>D5</f>
        <v>2.5502499999999991E-3</v>
      </c>
    </row>
    <row r="17" spans="1:22" x14ac:dyDescent="0.3">
      <c r="A17" t="s">
        <v>3</v>
      </c>
      <c r="B17">
        <v>210.79</v>
      </c>
      <c r="C17" t="s">
        <v>16</v>
      </c>
      <c r="O17" s="14">
        <f>D8</f>
        <v>9.0249999999999948E-3</v>
      </c>
      <c r="P17" s="14">
        <f>T8</f>
        <v>1.4926672686204574E-2</v>
      </c>
      <c r="Q17" s="17"/>
      <c r="U17" s="4">
        <f>U8</f>
        <v>2.0087525179065461E-3</v>
      </c>
      <c r="V17" s="4">
        <f>D8</f>
        <v>9.0249999999999948E-3</v>
      </c>
    </row>
    <row r="18" spans="1:22" x14ac:dyDescent="0.3">
      <c r="A18" t="s">
        <v>14</v>
      </c>
      <c r="B18">
        <v>132.24</v>
      </c>
      <c r="C18" t="s">
        <v>16</v>
      </c>
      <c r="O18" s="14">
        <f>D11</f>
        <v>2.2052249999999999E-2</v>
      </c>
      <c r="P18" s="14">
        <f>T11</f>
        <v>7.6341534737979014E-3</v>
      </c>
      <c r="Q18" s="17"/>
      <c r="U18" s="4">
        <f>U11</f>
        <v>1.2942559870443868E-3</v>
      </c>
      <c r="V18" s="4">
        <f>D11</f>
        <v>2.2052249999999999E-2</v>
      </c>
    </row>
    <row r="19" spans="1:22" x14ac:dyDescent="0.3">
      <c r="A19" t="s">
        <v>15</v>
      </c>
      <c r="B19" s="1">
        <v>61</v>
      </c>
      <c r="C19" t="s">
        <v>17</v>
      </c>
    </row>
    <row r="20" spans="1:22" x14ac:dyDescent="0.3">
      <c r="N20" s="42"/>
      <c r="Q20" s="42"/>
    </row>
    <row r="21" spans="1:22" x14ac:dyDescent="0.3">
      <c r="A21" s="27" t="s">
        <v>64</v>
      </c>
      <c r="B21" s="27" t="s">
        <v>26</v>
      </c>
      <c r="C21" s="27" t="s">
        <v>19</v>
      </c>
      <c r="N21" s="46"/>
      <c r="O21" s="79" t="s">
        <v>66</v>
      </c>
      <c r="P21" s="79"/>
      <c r="Q21" s="46"/>
    </row>
    <row r="22" spans="1:22" x14ac:dyDescent="0.3">
      <c r="A22" s="27" t="s">
        <v>55</v>
      </c>
      <c r="B22" s="38">
        <f>(B16+B17)*10^(-3)</f>
        <v>0.42317999999999995</v>
      </c>
      <c r="C22" s="39" t="s">
        <v>57</v>
      </c>
      <c r="N22" s="50" t="s">
        <v>14</v>
      </c>
      <c r="O22" s="48" cm="1">
        <f t="array" ref="O22:P26">LINEST(P16:P18,O16:O18,TRUE,TRUE)</f>
        <v>0.16047687244645709</v>
      </c>
      <c r="P22" s="48">
        <v>6.4340292090520872E-3</v>
      </c>
      <c r="Q22" s="50" t="s">
        <v>33</v>
      </c>
    </row>
    <row r="23" spans="1:22" x14ac:dyDescent="0.3">
      <c r="A23" s="27" t="s">
        <v>56</v>
      </c>
      <c r="B23" s="38">
        <f>O22</f>
        <v>0.16047687244645709</v>
      </c>
      <c r="C23" s="38">
        <f>O23</f>
        <v>0.6256360512732273</v>
      </c>
      <c r="N23" s="50" t="s">
        <v>32</v>
      </c>
      <c r="O23" s="48">
        <v>0.6256360512732273</v>
      </c>
      <c r="P23" s="48">
        <v>8.6559344494638608E-3</v>
      </c>
      <c r="Q23" s="50" t="s">
        <v>34</v>
      </c>
    </row>
    <row r="24" spans="1:22" x14ac:dyDescent="0.3">
      <c r="A24" s="42"/>
      <c r="B24" s="42"/>
      <c r="C24" s="42"/>
      <c r="N24" s="50" t="s">
        <v>61</v>
      </c>
      <c r="O24" s="48">
        <v>6.1731723683795543E-2</v>
      </c>
      <c r="P24" s="48">
        <v>8.788346780684856E-3</v>
      </c>
      <c r="Q24" s="50" t="s">
        <v>62</v>
      </c>
    </row>
    <row r="25" spans="1:22" x14ac:dyDescent="0.3">
      <c r="A25" s="79" t="s">
        <v>41</v>
      </c>
      <c r="B25" s="79"/>
      <c r="C25" s="47">
        <f>ABS(B23-B22)/B22</f>
        <v>0.62078341971157169</v>
      </c>
      <c r="N25" s="46"/>
      <c r="O25" s="35">
        <v>6.5793254703403636E-2</v>
      </c>
      <c r="P25" s="35">
        <v>1</v>
      </c>
      <c r="Q25" s="46"/>
    </row>
    <row r="26" spans="1:22" x14ac:dyDescent="0.3">
      <c r="N26" s="46"/>
      <c r="O26" s="35">
        <v>5.0815446020057456E-6</v>
      </c>
      <c r="P26" s="35">
        <v>7.7235039137573866E-5</v>
      </c>
      <c r="Q26" s="46"/>
    </row>
    <row r="27" spans="1:22" x14ac:dyDescent="0.3">
      <c r="N27" s="42"/>
      <c r="Q27" s="42"/>
    </row>
    <row r="28" spans="1:22" x14ac:dyDescent="0.3">
      <c r="Q28" s="42"/>
    </row>
    <row r="40" spans="4:4" x14ac:dyDescent="0.3">
      <c r="D40">
        <f>SQRT(3.47264*10^(-10))</f>
        <v>1.8635020794192852E-5</v>
      </c>
    </row>
  </sheetData>
  <mergeCells count="57">
    <mergeCell ref="O21:P21"/>
    <mergeCell ref="M4:N4"/>
    <mergeCell ref="J4:L4"/>
    <mergeCell ref="A25:B25"/>
    <mergeCell ref="D4:E4"/>
    <mergeCell ref="P4:U4"/>
    <mergeCell ref="Q11:Q13"/>
    <mergeCell ref="Q8:Q10"/>
    <mergeCell ref="Q5:Q7"/>
    <mergeCell ref="S11:S13"/>
    <mergeCell ref="S8:S10"/>
    <mergeCell ref="S5:S7"/>
    <mergeCell ref="U11:U13"/>
    <mergeCell ref="U8:U10"/>
    <mergeCell ref="U5:U7"/>
    <mergeCell ref="L8:L10"/>
    <mergeCell ref="L5:L7"/>
    <mergeCell ref="P5:P7"/>
    <mergeCell ref="P8:P10"/>
    <mergeCell ref="P11:P13"/>
    <mergeCell ref="N11:N13"/>
    <mergeCell ref="N8:N10"/>
    <mergeCell ref="N5:N7"/>
    <mergeCell ref="M11:M13"/>
    <mergeCell ref="M8:M10"/>
    <mergeCell ref="M5:M7"/>
    <mergeCell ref="C5:C7"/>
    <mergeCell ref="C8:C10"/>
    <mergeCell ref="C11:C13"/>
    <mergeCell ref="H5:H7"/>
    <mergeCell ref="H8:H10"/>
    <mergeCell ref="H11:H13"/>
    <mergeCell ref="E11:E13"/>
    <mergeCell ref="E8:E10"/>
    <mergeCell ref="E5:E7"/>
    <mergeCell ref="A5:A7"/>
    <mergeCell ref="A8:A10"/>
    <mergeCell ref="A11:A13"/>
    <mergeCell ref="B5:B7"/>
    <mergeCell ref="B8:B10"/>
    <mergeCell ref="B11:B13"/>
    <mergeCell ref="T11:T13"/>
    <mergeCell ref="T8:T10"/>
    <mergeCell ref="T5:T7"/>
    <mergeCell ref="D11:D13"/>
    <mergeCell ref="D8:D10"/>
    <mergeCell ref="D5:D7"/>
    <mergeCell ref="R5:R7"/>
    <mergeCell ref="R8:R10"/>
    <mergeCell ref="R11:R13"/>
    <mergeCell ref="J5:J7"/>
    <mergeCell ref="J8:J10"/>
    <mergeCell ref="J11:J13"/>
    <mergeCell ref="K5:K7"/>
    <mergeCell ref="K8:K10"/>
    <mergeCell ref="K11:K13"/>
    <mergeCell ref="L11:L13"/>
  </mergeCells>
  <pageMargins left="0.7" right="0.7" top="0.75" bottom="0.75" header="0.3" footer="0.3"/>
  <pageSetup paperSize="9" orientation="portrait" horizontalDpi="4294967293" verticalDpi="0" r:id="rId1"/>
  <ignoredErrors>
    <ignoredError sqref="H5:J13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01F4-7F45-4895-92B4-98E5BCDB1F6D}">
  <dimension ref="A1:L14"/>
  <sheetViews>
    <sheetView zoomScale="130" zoomScaleNormal="130" workbookViewId="0">
      <selection activeCell="C12" sqref="C12"/>
    </sheetView>
  </sheetViews>
  <sheetFormatPr defaultRowHeight="14.4" x14ac:dyDescent="0.3"/>
  <cols>
    <col min="1" max="1" width="20.88671875" bestFit="1" customWidth="1"/>
    <col min="2" max="2" width="10.44140625" bestFit="1" customWidth="1"/>
    <col min="3" max="3" width="12" bestFit="1" customWidth="1"/>
    <col min="9" max="9" width="9" customWidth="1"/>
    <col min="10" max="10" width="10.5546875" bestFit="1" customWidth="1"/>
    <col min="11" max="11" width="10.88671875" bestFit="1" customWidth="1"/>
    <col min="12" max="12" width="10.6640625" bestFit="1" customWidth="1"/>
  </cols>
  <sheetData>
    <row r="1" spans="1:12" x14ac:dyDescent="0.3">
      <c r="B1" t="s">
        <v>27</v>
      </c>
      <c r="C1" s="14">
        <f>distância!C39</f>
        <v>2.1447294082636856E-4</v>
      </c>
      <c r="D1" s="14">
        <f>distância!B39</f>
        <v>2.2892510173319478E-2</v>
      </c>
    </row>
    <row r="4" spans="1:12" x14ac:dyDescent="0.3">
      <c r="A4" s="32" t="s">
        <v>68</v>
      </c>
      <c r="B4" s="32" t="s">
        <v>37</v>
      </c>
      <c r="C4" s="32" t="s">
        <v>38</v>
      </c>
      <c r="E4" s="5" t="s">
        <v>6</v>
      </c>
      <c r="F4" s="3" t="s">
        <v>7</v>
      </c>
      <c r="G4" s="5" t="s">
        <v>8</v>
      </c>
      <c r="H4" s="3" t="s">
        <v>9</v>
      </c>
      <c r="I4" s="3" t="s">
        <v>25</v>
      </c>
      <c r="J4" s="3" t="s">
        <v>11</v>
      </c>
      <c r="K4" s="5" t="s">
        <v>18</v>
      </c>
      <c r="L4" s="5" t="s">
        <v>20</v>
      </c>
    </row>
    <row r="5" spans="1:12" x14ac:dyDescent="0.3">
      <c r="A5" s="32" t="s">
        <v>40</v>
      </c>
      <c r="B5" s="32" t="s">
        <v>35</v>
      </c>
      <c r="C5" s="32" t="s">
        <v>35</v>
      </c>
      <c r="E5" s="5" t="s">
        <v>5</v>
      </c>
      <c r="F5" s="27" t="s">
        <v>10</v>
      </c>
      <c r="G5" s="5" t="s">
        <v>5</v>
      </c>
      <c r="H5" s="27" t="s">
        <v>10</v>
      </c>
      <c r="I5" s="3" t="s">
        <v>4</v>
      </c>
      <c r="J5" s="3" t="s">
        <v>4</v>
      </c>
      <c r="K5" s="3" t="s">
        <v>21</v>
      </c>
      <c r="L5" s="3" t="s">
        <v>21</v>
      </c>
    </row>
    <row r="6" spans="1:12" x14ac:dyDescent="0.3">
      <c r="A6" s="35">
        <v>0.37002000000000002</v>
      </c>
      <c r="B6" s="35">
        <f>(9.7/2)*10^(-2)</f>
        <v>4.8499999999999995E-2</v>
      </c>
      <c r="C6" s="35">
        <f>(11.3/2)*10^(-2)</f>
        <v>5.6500000000000002E-2</v>
      </c>
      <c r="E6" s="13">
        <v>0.58899999999999997</v>
      </c>
      <c r="F6" s="75">
        <f>AVERAGE(E6:E8)*2</f>
        <v>1.1779999999999999</v>
      </c>
      <c r="G6" s="12">
        <v>0.58699999999999997</v>
      </c>
      <c r="H6" s="76">
        <f>AVERAGE(G6:G8)*2</f>
        <v>1.1739999999999999</v>
      </c>
      <c r="I6" s="75">
        <f>AVERAGE(F6,H6)</f>
        <v>1.1759999999999999</v>
      </c>
      <c r="J6" s="85">
        <f>STDEV(F6,H6)/SQRT(2)</f>
        <v>2.0000000000000018E-3</v>
      </c>
      <c r="K6" s="75">
        <f>I6*I6</f>
        <v>1.3829759999999998</v>
      </c>
      <c r="L6" s="85">
        <f>2*J6*I6</f>
        <v>4.7040000000000042E-3</v>
      </c>
    </row>
    <row r="7" spans="1:12" x14ac:dyDescent="0.3">
      <c r="E7" s="13">
        <v>0.59299999999999997</v>
      </c>
      <c r="F7" s="76"/>
      <c r="G7" s="12">
        <v>0.58699999999999997</v>
      </c>
      <c r="H7" s="76"/>
      <c r="I7" s="76"/>
      <c r="J7" s="85"/>
      <c r="K7" s="75"/>
      <c r="L7" s="85"/>
    </row>
    <row r="8" spans="1:12" x14ac:dyDescent="0.3">
      <c r="E8" s="13">
        <v>0.58499999999999996</v>
      </c>
      <c r="F8" s="76"/>
      <c r="G8" s="12">
        <v>0.58699999999999997</v>
      </c>
      <c r="H8" s="76"/>
      <c r="I8" s="76"/>
      <c r="J8" s="85"/>
      <c r="K8" s="75"/>
      <c r="L8" s="85"/>
    </row>
    <row r="10" spans="1:12" x14ac:dyDescent="0.3">
      <c r="A10" s="27" t="s">
        <v>67</v>
      </c>
      <c r="B10" s="27" t="s">
        <v>26</v>
      </c>
      <c r="C10" s="27" t="s">
        <v>19</v>
      </c>
    </row>
    <row r="11" spans="1:12" x14ac:dyDescent="0.3">
      <c r="A11" s="27" t="s">
        <v>55</v>
      </c>
      <c r="B11" s="28">
        <f>0.5*A6*(B6^2+C6^2)</f>
        <v>1.0257879449999999E-3</v>
      </c>
      <c r="C11" s="34" t="s">
        <v>57</v>
      </c>
    </row>
    <row r="12" spans="1:12" x14ac:dyDescent="0.3">
      <c r="A12" s="27" t="s">
        <v>56</v>
      </c>
      <c r="B12" s="28">
        <f>(D1/(4*(PI())^2))*K6</f>
        <v>8.0195190361333582E-4</v>
      </c>
      <c r="C12" s="36">
        <f>SQRT((K6*distância!F40)^2+(L6*distância!F30)^2)</f>
        <v>7.5132426224588438E-6</v>
      </c>
    </row>
    <row r="13" spans="1:12" x14ac:dyDescent="0.3">
      <c r="A13" s="42"/>
      <c r="B13" s="42"/>
      <c r="C13" s="42"/>
    </row>
    <row r="14" spans="1:12" x14ac:dyDescent="0.3">
      <c r="A14" s="83" t="s">
        <v>41</v>
      </c>
      <c r="B14" s="84"/>
      <c r="C14" s="40">
        <f>ABS(B12-B11)/B11</f>
        <v>0.218208882720555</v>
      </c>
      <c r="D14" s="15"/>
    </row>
  </sheetData>
  <mergeCells count="7">
    <mergeCell ref="A14:B14"/>
    <mergeCell ref="L6:L8"/>
    <mergeCell ref="F6:F8"/>
    <mergeCell ref="H6:H8"/>
    <mergeCell ref="I6:I8"/>
    <mergeCell ref="J6:J8"/>
    <mergeCell ref="K6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distância</vt:lpstr>
      <vt:lpstr>steiner</vt:lpstr>
      <vt:lpstr>cilindro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Silva</dc:creator>
  <cp:lastModifiedBy>Helena Silva</cp:lastModifiedBy>
  <cp:lastPrinted>2022-03-31T23:12:55Z</cp:lastPrinted>
  <dcterms:created xsi:type="dcterms:W3CDTF">2022-03-26T17:13:55Z</dcterms:created>
  <dcterms:modified xsi:type="dcterms:W3CDTF">2022-05-27T13:33:15Z</dcterms:modified>
</cp:coreProperties>
</file>