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103l\2º SEMESTRE\LABS I\"/>
    </mc:Choice>
  </mc:AlternateContent>
  <xr:revisionPtr revIDLastSave="0" documentId="13_ncr:1_{75463B20-1B3E-47BC-8624-2DEF3865E983}" xr6:coauthVersionLast="47" xr6:coauthVersionMax="47" xr10:uidLastSave="{00000000-0000-0000-0000-000000000000}"/>
  <bookViews>
    <workbookView xWindow="-108" yWindow="-108" windowWidth="23256" windowHeight="12456" xr2:uid="{03D04578-DE32-4C72-83EA-480B86414BFF}"/>
  </bookViews>
  <sheets>
    <sheet name="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" i="1" l="1"/>
  <c r="F45" i="1"/>
  <c r="G44" i="1"/>
  <c r="F44" i="1"/>
  <c r="G39" i="1"/>
  <c r="F39" i="1"/>
  <c r="G31" i="1"/>
  <c r="F31" i="1"/>
  <c r="J5" i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1" i="1"/>
  <c r="E31" i="1" s="1"/>
  <c r="L31" i="1" a="1"/>
  <c r="L31" i="1" s="1"/>
  <c r="L40" i="1" a="1"/>
  <c r="L40" i="1" s="1"/>
  <c r="B43" i="1"/>
  <c r="B42" i="1"/>
  <c r="B41" i="1"/>
  <c r="B40" i="1"/>
  <c r="B39" i="1"/>
  <c r="C43" i="1"/>
  <c r="C42" i="1"/>
  <c r="C41" i="1"/>
  <c r="C40" i="1"/>
  <c r="C39" i="1"/>
  <c r="B38" i="1"/>
  <c r="B37" i="1"/>
  <c r="B36" i="1"/>
  <c r="B35" i="1"/>
  <c r="B34" i="1"/>
  <c r="B33" i="1"/>
  <c r="B32" i="1"/>
  <c r="B31" i="1"/>
  <c r="C38" i="1"/>
  <c r="C37" i="1"/>
  <c r="C36" i="1"/>
  <c r="C35" i="1"/>
  <c r="C34" i="1"/>
  <c r="C33" i="1"/>
  <c r="C32" i="1"/>
  <c r="C31" i="1"/>
  <c r="K25" i="1"/>
  <c r="J25" i="1"/>
  <c r="J24" i="1"/>
  <c r="K24" i="1"/>
  <c r="N21" i="1"/>
  <c r="L21" i="1"/>
  <c r="L6" i="1"/>
  <c r="L5" i="1"/>
  <c r="J21" i="1"/>
  <c r="N20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5" i="1"/>
  <c r="M21" i="1" s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  <c r="K21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5" i="1"/>
  <c r="I21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5" i="1"/>
  <c r="D39" i="1" l="1"/>
  <c r="E39" i="1" s="1"/>
  <c r="M32" i="1"/>
  <c r="L32" i="1"/>
  <c r="M31" i="1"/>
  <c r="M33" i="1"/>
  <c r="L33" i="1"/>
  <c r="M41" i="1"/>
  <c r="L41" i="1"/>
  <c r="M42" i="1"/>
  <c r="L42" i="1"/>
  <c r="M40" i="1"/>
  <c r="C24" i="1" a="1"/>
  <c r="C24" i="1" s="1"/>
  <c r="D40" i="1" l="1"/>
  <c r="E40" i="1" s="1"/>
  <c r="D42" i="1"/>
  <c r="E42" i="1" s="1"/>
  <c r="D41" i="1"/>
  <c r="E41" i="1" s="1"/>
  <c r="D43" i="1"/>
  <c r="E43" i="1" s="1"/>
  <c r="D24" i="1"/>
  <c r="O16" i="1" s="1"/>
  <c r="P16" i="1" s="1"/>
  <c r="O11" i="1"/>
  <c r="P11" i="1" s="1"/>
  <c r="C25" i="1"/>
  <c r="O8" i="1"/>
  <c r="P8" i="1" s="1"/>
  <c r="D25" i="1"/>
  <c r="O9" i="1"/>
  <c r="P9" i="1" s="1"/>
  <c r="C26" i="1"/>
  <c r="O12" i="1"/>
  <c r="P12" i="1" s="1"/>
  <c r="D26" i="1"/>
  <c r="O20" i="1"/>
  <c r="P20" i="1" s="1"/>
  <c r="O18" i="1"/>
  <c r="P18" i="1" s="1"/>
  <c r="O14" i="1"/>
  <c r="P14" i="1" s="1"/>
  <c r="O10" i="1"/>
  <c r="P10" i="1" s="1"/>
  <c r="O5" i="1"/>
  <c r="P5" i="1" s="1"/>
  <c r="O13" i="1"/>
  <c r="P13" i="1" s="1"/>
  <c r="O17" i="1" l="1"/>
  <c r="P17" i="1" s="1"/>
  <c r="O15" i="1"/>
  <c r="P15" i="1" s="1"/>
  <c r="O19" i="1"/>
  <c r="P19" i="1" s="1"/>
  <c r="O6" i="1"/>
  <c r="P6" i="1" s="1"/>
  <c r="O7" i="1"/>
  <c r="P7" i="1" s="1"/>
</calcChain>
</file>

<file path=xl/sharedStrings.xml><?xml version="1.0" encoding="utf-8"?>
<sst xmlns="http://schemas.openxmlformats.org/spreadsheetml/2006/main" count="43" uniqueCount="36">
  <si>
    <r>
      <t xml:space="preserve">2h (cm) </t>
    </r>
    <r>
      <rPr>
        <sz val="11"/>
        <color theme="1"/>
        <rFont val="Calibri"/>
        <family val="2"/>
      </rPr>
      <t>± 0.05</t>
    </r>
  </si>
  <si>
    <t>Mt</t>
  </si>
  <si>
    <t>1/sᵢ</t>
  </si>
  <si>
    <t>1/s₀</t>
  </si>
  <si>
    <t>Resíduos</t>
  </si>
  <si>
    <t>Ajuste linear</t>
  </si>
  <si>
    <t>Média</t>
  </si>
  <si>
    <t>---</t>
  </si>
  <si>
    <r>
      <t>f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>=(s₀sᵢ)/D</t>
    </r>
  </si>
  <si>
    <r>
      <t>f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>=s₀-(s₀)</t>
    </r>
    <r>
      <rPr>
        <sz val="11"/>
        <color theme="1"/>
        <rFont val="Calibri"/>
        <family val="2"/>
      </rPr>
      <t>²/D</t>
    </r>
  </si>
  <si>
    <r>
      <t>f</t>
    </r>
    <r>
      <rPr>
        <sz val="11"/>
        <color theme="1"/>
        <rFont val="Calibri"/>
        <family val="2"/>
      </rPr>
      <t>₃</t>
    </r>
    <r>
      <rPr>
        <sz val="11"/>
        <color theme="1"/>
        <rFont val="Calibri"/>
        <family val="2"/>
        <scheme val="minor"/>
      </rPr>
      <t>=sᵢ-(sᵢ)</t>
    </r>
    <r>
      <rPr>
        <sz val="11"/>
        <color theme="1"/>
        <rFont val="Calibri"/>
        <family val="2"/>
      </rPr>
      <t>²/D</t>
    </r>
  </si>
  <si>
    <t>f₁</t>
  </si>
  <si>
    <t>f₂</t>
  </si>
  <si>
    <t>f₃</t>
  </si>
  <si>
    <t>x=0:</t>
  </si>
  <si>
    <t>f</t>
  </si>
  <si>
    <t>y=0:</t>
  </si>
  <si>
    <t>Valor</t>
  </si>
  <si>
    <t xml:space="preserve">Incerteza </t>
  </si>
  <si>
    <t>Assíntota direita</t>
  </si>
  <si>
    <t>Assíntota esquerda</t>
  </si>
  <si>
    <t>Ajuste</t>
  </si>
  <si>
    <t>Mínimo</t>
  </si>
  <si>
    <t>Abcissa</t>
  </si>
  <si>
    <t>Ordenada</t>
  </si>
  <si>
    <t xml:space="preserve">(cm) </t>
  </si>
  <si>
    <t>(cm)</t>
  </si>
  <si>
    <r>
      <t>D (</t>
    </r>
    <r>
      <rPr>
        <sz val="11"/>
        <color theme="1"/>
        <rFont val="Calibri"/>
        <family val="2"/>
      </rPr>
      <t>± 0.05</t>
    </r>
    <r>
      <rPr>
        <sz val="11"/>
        <color theme="1"/>
        <rFont val="Calibri"/>
        <family val="2"/>
        <scheme val="minor"/>
      </rPr>
      <t>)</t>
    </r>
  </si>
  <si>
    <r>
      <t>s</t>
    </r>
    <r>
      <rPr>
        <sz val="11"/>
        <color theme="1"/>
        <rFont val="Calibri"/>
        <family val="2"/>
      </rPr>
      <t>₀</t>
    </r>
    <r>
      <rPr>
        <sz val="11"/>
        <color theme="1"/>
        <rFont val="Calibri"/>
        <family val="2"/>
        <scheme val="minor"/>
      </rPr>
      <t xml:space="preserve"> (± 0.05)</t>
    </r>
  </si>
  <si>
    <t>D (± 0.05)</t>
  </si>
  <si>
    <r>
      <t>s</t>
    </r>
    <r>
      <rPr>
        <sz val="11"/>
        <color theme="1"/>
        <rFont val="Calibri"/>
        <family val="2"/>
      </rPr>
      <t>ᵢ</t>
    </r>
    <r>
      <rPr>
        <sz val="11"/>
        <color theme="1"/>
        <rFont val="Calibri"/>
        <family val="2"/>
        <scheme val="minor"/>
      </rPr>
      <t xml:space="preserve"> (± 0.05)</t>
    </r>
  </si>
  <si>
    <t>2h' (± 0.05)</t>
  </si>
  <si>
    <t xml:space="preserve">Incerteza f₁  </t>
  </si>
  <si>
    <t>Incerteza f₂</t>
  </si>
  <si>
    <r>
      <t>Incerteza f</t>
    </r>
    <r>
      <rPr>
        <sz val="11"/>
        <color theme="1"/>
        <rFont val="Calibri"/>
        <family val="2"/>
      </rPr>
      <t>₃</t>
    </r>
  </si>
  <si>
    <t>Incerteza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</si>
</sst>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6" formatCode="0.0000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2" fontId="0" fillId="0" borderId="7" xfId="0" quotePrefix="1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1/sᵢ em função de 1/s₀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959269879017814"/>
          <c:y val="0.15356313081162412"/>
          <c:w val="0.75333218142842895"/>
          <c:h val="0.65563878328938263"/>
        </c:manualLayout>
      </c:layout>
      <c:scatterChart>
        <c:scatterStyle val="lineMarker"/>
        <c:varyColors val="0"/>
        <c:ser>
          <c:idx val="0"/>
          <c:order val="0"/>
          <c:tx>
            <c:strRef>
              <c:f>f!$F$4</c:f>
              <c:strCache>
                <c:ptCount val="1"/>
                <c:pt idx="0">
                  <c:v>1/sᵢ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.0000000000000002E-2"/>
            <c:backward val="1.0000000000000002E-2"/>
            <c:dispRSqr val="0"/>
            <c:dispEq val="1"/>
            <c:trendlineLbl>
              <c:layout>
                <c:manualLayout>
                  <c:x val="-6.9650699912510938E-2"/>
                  <c:y val="-0.3738176521629063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f!$D$5:$D$20</c:f>
              <c:numCache>
                <c:formatCode>0.0E+00</c:formatCode>
                <c:ptCount val="16"/>
                <c:pt idx="0">
                  <c:v>3.3333333333333333E-2</c:v>
                </c:pt>
                <c:pt idx="1">
                  <c:v>3.0303030303030304E-2</c:v>
                </c:pt>
                <c:pt idx="2">
                  <c:v>3.8461538461538464E-2</c:v>
                </c:pt>
                <c:pt idx="3">
                  <c:v>2.564102564102564E-2</c:v>
                </c:pt>
                <c:pt idx="4">
                  <c:v>4.1666666666666664E-2</c:v>
                </c:pt>
                <c:pt idx="5">
                  <c:v>2.1645021645021644E-2</c:v>
                </c:pt>
                <c:pt idx="6">
                  <c:v>4.6511627906976744E-2</c:v>
                </c:pt>
                <c:pt idx="7">
                  <c:v>1.6949152542372881E-2</c:v>
                </c:pt>
                <c:pt idx="8">
                  <c:v>0.05</c:v>
                </c:pt>
                <c:pt idx="9">
                  <c:v>1.3698630136986301E-2</c:v>
                </c:pt>
                <c:pt idx="10">
                  <c:v>5.128205128205128E-2</c:v>
                </c:pt>
                <c:pt idx="11">
                  <c:v>1.092896174863388E-2</c:v>
                </c:pt>
                <c:pt idx="12">
                  <c:v>5.4054054054054057E-2</c:v>
                </c:pt>
                <c:pt idx="13">
                  <c:v>9.0090090090090089E-3</c:v>
                </c:pt>
                <c:pt idx="14">
                  <c:v>5.5555555555555552E-2</c:v>
                </c:pt>
                <c:pt idx="15">
                  <c:v>7.7519379844961239E-3</c:v>
                </c:pt>
              </c:numCache>
            </c:numRef>
          </c:xVal>
          <c:yVal>
            <c:numRef>
              <c:f>f!$F$5:$F$20</c:f>
              <c:numCache>
                <c:formatCode>0.00E+00</c:formatCode>
                <c:ptCount val="16"/>
                <c:pt idx="0">
                  <c:v>3.3333333333333333E-2</c:v>
                </c:pt>
                <c:pt idx="1">
                  <c:v>3.7037037037037035E-2</c:v>
                </c:pt>
                <c:pt idx="2">
                  <c:v>2.6315789473684209E-2</c:v>
                </c:pt>
                <c:pt idx="3">
                  <c:v>0.04</c:v>
                </c:pt>
                <c:pt idx="4">
                  <c:v>2.247191011235955E-2</c:v>
                </c:pt>
                <c:pt idx="5">
                  <c:v>4.4843049327354258E-2</c:v>
                </c:pt>
                <c:pt idx="6">
                  <c:v>1.7241379310344827E-2</c:v>
                </c:pt>
                <c:pt idx="7">
                  <c:v>4.878048780487805E-2</c:v>
                </c:pt>
                <c:pt idx="8">
                  <c:v>1.3888888888888888E-2</c:v>
                </c:pt>
                <c:pt idx="9">
                  <c:v>5.2631578947368418E-2</c:v>
                </c:pt>
                <c:pt idx="10">
                  <c:v>1.1111111111111112E-2</c:v>
                </c:pt>
                <c:pt idx="11">
                  <c:v>5.5555555555555552E-2</c:v>
                </c:pt>
                <c:pt idx="12">
                  <c:v>9.0909090909090905E-3</c:v>
                </c:pt>
                <c:pt idx="13">
                  <c:v>5.7142857142857141E-2</c:v>
                </c:pt>
                <c:pt idx="14">
                  <c:v>7.8125E-3</c:v>
                </c:pt>
                <c:pt idx="15">
                  <c:v>5.7142857142857141E-2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4-46EB-9F75-32EB9D917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583920"/>
        <c:axId val="790586000"/>
      </c:scatterChart>
      <c:valAx>
        <c:axId val="790583920"/>
        <c:scaling>
          <c:orientation val="minMax"/>
          <c:max val="7.0000000000000007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1/s₀ (cm)</a:t>
                </a:r>
              </a:p>
            </c:rich>
          </c:tx>
          <c:layout>
            <c:manualLayout>
              <c:xMode val="edge"/>
              <c:yMode val="edge"/>
              <c:x val="0.49143083053920694"/>
              <c:y val="0.9004483000741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0586000"/>
        <c:crosses val="autoZero"/>
        <c:crossBetween val="midCat"/>
      </c:valAx>
      <c:valAx>
        <c:axId val="790586000"/>
        <c:scaling>
          <c:orientation val="minMax"/>
          <c:max val="7.0000000000000007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1/sᵢ (cm)</a:t>
                </a:r>
              </a:p>
            </c:rich>
          </c:tx>
          <c:layout>
            <c:manualLayout>
              <c:xMode val="edge"/>
              <c:yMode val="edge"/>
              <c:x val="9.6139270223453786E-3"/>
              <c:y val="0.37092722492309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058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f!$D$5:$D$20</c:f>
              <c:numCache>
                <c:formatCode>0.0E+00</c:formatCode>
                <c:ptCount val="16"/>
                <c:pt idx="0">
                  <c:v>3.3333333333333333E-2</c:v>
                </c:pt>
                <c:pt idx="1">
                  <c:v>3.0303030303030304E-2</c:v>
                </c:pt>
                <c:pt idx="2">
                  <c:v>3.8461538461538464E-2</c:v>
                </c:pt>
                <c:pt idx="3">
                  <c:v>2.564102564102564E-2</c:v>
                </c:pt>
                <c:pt idx="4">
                  <c:v>4.1666666666666664E-2</c:v>
                </c:pt>
                <c:pt idx="5">
                  <c:v>2.1645021645021644E-2</c:v>
                </c:pt>
                <c:pt idx="6">
                  <c:v>4.6511627906976744E-2</c:v>
                </c:pt>
                <c:pt idx="7">
                  <c:v>1.6949152542372881E-2</c:v>
                </c:pt>
                <c:pt idx="8">
                  <c:v>0.05</c:v>
                </c:pt>
                <c:pt idx="9">
                  <c:v>1.3698630136986301E-2</c:v>
                </c:pt>
                <c:pt idx="10">
                  <c:v>5.128205128205128E-2</c:v>
                </c:pt>
                <c:pt idx="11">
                  <c:v>1.092896174863388E-2</c:v>
                </c:pt>
                <c:pt idx="12">
                  <c:v>5.4054054054054057E-2</c:v>
                </c:pt>
                <c:pt idx="13">
                  <c:v>9.0090090090090089E-3</c:v>
                </c:pt>
                <c:pt idx="14">
                  <c:v>5.5555555555555552E-2</c:v>
                </c:pt>
                <c:pt idx="15">
                  <c:v>7.7519379844961239E-3</c:v>
                </c:pt>
              </c:numCache>
            </c:numRef>
          </c:xVal>
          <c:yVal>
            <c:numRef>
              <c:f>f!$P$5:$P$20</c:f>
              <c:numCache>
                <c:formatCode>0.00E+00</c:formatCode>
                <c:ptCount val="16"/>
                <c:pt idx="0">
                  <c:v>1.7022583550882001E-3</c:v>
                </c:pt>
                <c:pt idx="1">
                  <c:v>2.1746825312466897E-3</c:v>
                </c:pt>
                <c:pt idx="2">
                  <c:v>1.5303369590020932E-4</c:v>
                </c:pt>
                <c:pt idx="3">
                  <c:v>1.6644622106316842E-4</c:v>
                </c:pt>
                <c:pt idx="4">
                  <c:v>-2.7314616513624684E-4</c:v>
                </c:pt>
                <c:pt idx="5">
                  <c:v>7.4846760000615159E-4</c:v>
                </c:pt>
                <c:pt idx="6">
                  <c:v>-3.373870248548419E-4</c:v>
                </c:pt>
                <c:pt idx="7">
                  <c:v>-3.214036019590083E-4</c:v>
                </c:pt>
                <c:pt idx="8">
                  <c:v>2.9851312142434305E-5</c:v>
                </c:pt>
                <c:pt idx="9">
                  <c:v>6.3583194754975036E-5</c:v>
                </c:pt>
                <c:pt idx="10">
                  <c:v>-1.3808466655200625E-3</c:v>
                </c:pt>
                <c:pt idx="11">
                  <c:v>3.4200791689240062E-5</c:v>
                </c:pt>
                <c:pt idx="12">
                  <c:v>-4.4520046925660209E-4</c:v>
                </c:pt>
                <c:pt idx="13">
                  <c:v>-4.2578593487255234E-4</c:v>
                </c:pt>
                <c:pt idx="14">
                  <c:v>-1.2252510958023211E-4</c:v>
                </c:pt>
                <c:pt idx="15">
                  <c:v>-1.7662287307115485E-3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7-40D1-8C15-B6B0049DF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242576"/>
        <c:axId val="551243824"/>
      </c:scatterChart>
      <c:valAx>
        <c:axId val="55124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1/s₀ (cm)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1243824"/>
        <c:crossesAt val="-2.0000000000000005E-3"/>
        <c:crossBetween val="midCat"/>
      </c:valAx>
      <c:valAx>
        <c:axId val="5512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124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D em função de s₀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968009603407261"/>
          <c:y val="0.15306649169787517"/>
          <c:w val="0.77542073197011863"/>
          <c:h val="0.65246672601652533"/>
        </c:manualLayout>
      </c:layout>
      <c:scatterChart>
        <c:scatterStyle val="lineMarker"/>
        <c:varyColors val="0"/>
        <c:ser>
          <c:idx val="1"/>
          <c:order val="0"/>
          <c:tx>
            <c:strRef>
              <c:f>f!$B$4</c:f>
              <c:strCache>
                <c:ptCount val="1"/>
                <c:pt idx="0">
                  <c:v>D (± 0.05)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65D6-4EA5-AB88-19F2F04489F1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xVal>
            <c:numRef>
              <c:f>f!$C$5:$C$20</c:f>
              <c:numCache>
                <c:formatCode>0.00</c:formatCode>
                <c:ptCount val="16"/>
                <c:pt idx="0">
                  <c:v>30</c:v>
                </c:pt>
                <c:pt idx="1">
                  <c:v>33</c:v>
                </c:pt>
                <c:pt idx="2">
                  <c:v>26</c:v>
                </c:pt>
                <c:pt idx="3">
                  <c:v>39</c:v>
                </c:pt>
                <c:pt idx="4">
                  <c:v>24</c:v>
                </c:pt>
                <c:pt idx="5">
                  <c:v>46.2</c:v>
                </c:pt>
                <c:pt idx="6">
                  <c:v>21.5</c:v>
                </c:pt>
                <c:pt idx="7">
                  <c:v>59</c:v>
                </c:pt>
                <c:pt idx="8">
                  <c:v>20</c:v>
                </c:pt>
                <c:pt idx="9">
                  <c:v>73</c:v>
                </c:pt>
                <c:pt idx="10">
                  <c:v>19.5</c:v>
                </c:pt>
                <c:pt idx="11">
                  <c:v>91.5</c:v>
                </c:pt>
                <c:pt idx="12">
                  <c:v>18.5</c:v>
                </c:pt>
                <c:pt idx="13">
                  <c:v>111</c:v>
                </c:pt>
                <c:pt idx="14">
                  <c:v>18</c:v>
                </c:pt>
                <c:pt idx="15">
                  <c:v>129</c:v>
                </c:pt>
              </c:numCache>
            </c:numRef>
          </c:xVal>
          <c:yVal>
            <c:numRef>
              <c:f>f!$B$5:$B$20</c:f>
              <c:numCache>
                <c:formatCode>0.00</c:formatCode>
                <c:ptCount val="16"/>
                <c:pt idx="0">
                  <c:v>60</c:v>
                </c:pt>
                <c:pt idx="1">
                  <c:v>60</c:v>
                </c:pt>
                <c:pt idx="2">
                  <c:v>64</c:v>
                </c:pt>
                <c:pt idx="3">
                  <c:v>64</c:v>
                </c:pt>
                <c:pt idx="4">
                  <c:v>68.5</c:v>
                </c:pt>
                <c:pt idx="5">
                  <c:v>68.5</c:v>
                </c:pt>
                <c:pt idx="6">
                  <c:v>79.5</c:v>
                </c:pt>
                <c:pt idx="7">
                  <c:v>79.5</c:v>
                </c:pt>
                <c:pt idx="8">
                  <c:v>92</c:v>
                </c:pt>
                <c:pt idx="9">
                  <c:v>92</c:v>
                </c:pt>
                <c:pt idx="10">
                  <c:v>109.5</c:v>
                </c:pt>
                <c:pt idx="11">
                  <c:v>109.5</c:v>
                </c:pt>
                <c:pt idx="12">
                  <c:v>128.5</c:v>
                </c:pt>
                <c:pt idx="13">
                  <c:v>128.5</c:v>
                </c:pt>
                <c:pt idx="14">
                  <c:v>146.5</c:v>
                </c:pt>
                <c:pt idx="15">
                  <c:v>146.5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6-4EA5-AB88-19F2F04489F1}"/>
            </c:ext>
          </c:extLst>
        </c:ser>
        <c:ser>
          <c:idx val="0"/>
          <c:order val="1"/>
          <c:tx>
            <c:strRef>
              <c:f>f!$A$31</c:f>
              <c:strCache>
                <c:ptCount val="1"/>
                <c:pt idx="0">
                  <c:v>Assíntota direita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forward val="20"/>
            <c:backward val="40"/>
            <c:dispRSqr val="0"/>
            <c:dispEq val="1"/>
            <c:trendlineLbl>
              <c:layout>
                <c:manualLayout>
                  <c:x val="-4.5375074805822806E-2"/>
                  <c:y val="0.5509370401305686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f!$C$31:$C$38</c:f>
              <c:numCache>
                <c:formatCode>0.00</c:formatCode>
                <c:ptCount val="8"/>
                <c:pt idx="0">
                  <c:v>129</c:v>
                </c:pt>
                <c:pt idx="1">
                  <c:v>111</c:v>
                </c:pt>
                <c:pt idx="2">
                  <c:v>91.5</c:v>
                </c:pt>
                <c:pt idx="3">
                  <c:v>73</c:v>
                </c:pt>
                <c:pt idx="4">
                  <c:v>59</c:v>
                </c:pt>
                <c:pt idx="5">
                  <c:v>46.2</c:v>
                </c:pt>
                <c:pt idx="6">
                  <c:v>39</c:v>
                </c:pt>
                <c:pt idx="7">
                  <c:v>33</c:v>
                </c:pt>
              </c:numCache>
            </c:numRef>
          </c:xVal>
          <c:yVal>
            <c:numRef>
              <c:f>f!$B$31:$B$38</c:f>
              <c:numCache>
                <c:formatCode>0.00</c:formatCode>
                <c:ptCount val="8"/>
                <c:pt idx="0">
                  <c:v>146.5</c:v>
                </c:pt>
                <c:pt idx="1">
                  <c:v>128.5</c:v>
                </c:pt>
                <c:pt idx="2">
                  <c:v>109.5</c:v>
                </c:pt>
                <c:pt idx="3">
                  <c:v>92</c:v>
                </c:pt>
                <c:pt idx="4">
                  <c:v>79.5</c:v>
                </c:pt>
                <c:pt idx="5">
                  <c:v>68.5</c:v>
                </c:pt>
                <c:pt idx="6">
                  <c:v>64</c:v>
                </c:pt>
                <c:pt idx="7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D6-4EA5-AB88-19F2F04489F1}"/>
            </c:ext>
          </c:extLst>
        </c:ser>
        <c:ser>
          <c:idx val="2"/>
          <c:order val="2"/>
          <c:tx>
            <c:strRef>
              <c:f>f!$A$40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20"/>
            <c:backward val="20"/>
            <c:dispRSqr val="0"/>
            <c:dispEq val="1"/>
            <c:trendlineLbl>
              <c:layout>
                <c:manualLayout>
                  <c:x val="0.54894915041075198"/>
                  <c:y val="-9.431912417956119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f!$C$39:$C$43</c:f>
              <c:numCache>
                <c:formatCode>0.00</c:formatCode>
                <c:ptCount val="5"/>
                <c:pt idx="0">
                  <c:v>18</c:v>
                </c:pt>
                <c:pt idx="1">
                  <c:v>18.5</c:v>
                </c:pt>
                <c:pt idx="2">
                  <c:v>19.5</c:v>
                </c:pt>
                <c:pt idx="3">
                  <c:v>20</c:v>
                </c:pt>
                <c:pt idx="4">
                  <c:v>21.5</c:v>
                </c:pt>
              </c:numCache>
            </c:numRef>
          </c:xVal>
          <c:yVal>
            <c:numRef>
              <c:f>f!$B$39:$B$43</c:f>
              <c:numCache>
                <c:formatCode>0.00</c:formatCode>
                <c:ptCount val="5"/>
                <c:pt idx="0">
                  <c:v>146.5</c:v>
                </c:pt>
                <c:pt idx="1">
                  <c:v>128.5</c:v>
                </c:pt>
                <c:pt idx="2">
                  <c:v>109.5</c:v>
                </c:pt>
                <c:pt idx="3">
                  <c:v>92</c:v>
                </c:pt>
                <c:pt idx="4">
                  <c:v>79.5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D6-4EA5-AB88-19F2F0448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326192"/>
        <c:axId val="800324944"/>
      </c:scatterChart>
      <c:valAx>
        <c:axId val="800326192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s₀ (cm)</a:t>
                </a:r>
              </a:p>
            </c:rich>
          </c:tx>
          <c:layout>
            <c:manualLayout>
              <c:xMode val="edge"/>
              <c:yMode val="edge"/>
              <c:x val="0.4938932900302897"/>
              <c:y val="0.89123102069837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0324944"/>
        <c:crosses val="autoZero"/>
        <c:crossBetween val="midCat"/>
      </c:valAx>
      <c:valAx>
        <c:axId val="800324944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D (cm)</a:t>
                </a:r>
              </a:p>
            </c:rich>
          </c:tx>
          <c:layout>
            <c:manualLayout>
              <c:xMode val="edge"/>
              <c:yMode val="edge"/>
              <c:x val="1.3817262534347089E-2"/>
              <c:y val="0.39712956177503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032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Assíntota direita -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f!$C$31:$C$38</c:f>
              <c:numCache>
                <c:formatCode>0.00</c:formatCode>
                <c:ptCount val="8"/>
                <c:pt idx="0">
                  <c:v>129</c:v>
                </c:pt>
                <c:pt idx="1">
                  <c:v>111</c:v>
                </c:pt>
                <c:pt idx="2">
                  <c:v>91.5</c:v>
                </c:pt>
                <c:pt idx="3">
                  <c:v>73</c:v>
                </c:pt>
                <c:pt idx="4">
                  <c:v>59</c:v>
                </c:pt>
                <c:pt idx="5">
                  <c:v>46.2</c:v>
                </c:pt>
                <c:pt idx="6">
                  <c:v>39</c:v>
                </c:pt>
                <c:pt idx="7">
                  <c:v>33</c:v>
                </c:pt>
              </c:numCache>
            </c:numRef>
          </c:xVal>
          <c:yVal>
            <c:numRef>
              <c:f>f!$E$31:$E$38</c:f>
              <c:numCache>
                <c:formatCode>0.00</c:formatCode>
                <c:ptCount val="8"/>
                <c:pt idx="0">
                  <c:v>-1.8168984833409354</c:v>
                </c:pt>
                <c:pt idx="1">
                  <c:v>-0.16459250599007191</c:v>
                </c:pt>
                <c:pt idx="2">
                  <c:v>1.1254056361400302</c:v>
                </c:pt>
                <c:pt idx="3">
                  <c:v>1.8236090017506399</c:v>
                </c:pt>
                <c:pt idx="4">
                  <c:v>1.6087358730235337</c:v>
                </c:pt>
                <c:pt idx="5">
                  <c:v>0.98370901247304232</c:v>
                </c:pt>
                <c:pt idx="6">
                  <c:v>-1.0553685965866251</c:v>
                </c:pt>
                <c:pt idx="7">
                  <c:v>-2.5045999374696706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1-4E24-9B50-CF7E7D258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72271"/>
        <c:axId val="79173103"/>
      </c:scatterChart>
      <c:valAx>
        <c:axId val="7917227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s₀ (cm)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173103"/>
        <c:crossesAt val="-3"/>
        <c:crossBetween val="midCat"/>
      </c:valAx>
      <c:valAx>
        <c:axId val="7917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 (cm)</a:t>
                </a:r>
              </a:p>
            </c:rich>
          </c:tx>
          <c:layout>
            <c:manualLayout>
              <c:xMode val="edge"/>
              <c:yMode val="edge"/>
              <c:x val="1.6465051585247387E-2"/>
              <c:y val="0.31725712233296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17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Assíntota</a:t>
            </a:r>
            <a:r>
              <a:rPr lang="pt-PT" sz="1600" baseline="0"/>
              <a:t> esquerda - Resíduos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f!$C$39:$C$43</c:f>
              <c:numCache>
                <c:formatCode>0.00</c:formatCode>
                <c:ptCount val="5"/>
                <c:pt idx="0">
                  <c:v>18</c:v>
                </c:pt>
                <c:pt idx="1">
                  <c:v>18.5</c:v>
                </c:pt>
                <c:pt idx="2">
                  <c:v>19.5</c:v>
                </c:pt>
                <c:pt idx="3">
                  <c:v>20</c:v>
                </c:pt>
                <c:pt idx="4">
                  <c:v>21.5</c:v>
                </c:pt>
              </c:numCache>
            </c:numRef>
          </c:xVal>
          <c:yVal>
            <c:numRef>
              <c:f>f!$E$39:$E$43</c:f>
              <c:numCache>
                <c:formatCode>0.00</c:formatCode>
                <c:ptCount val="5"/>
                <c:pt idx="0">
                  <c:v>-6.6500000000000341</c:v>
                </c:pt>
                <c:pt idx="1">
                  <c:v>1.7999999999999545</c:v>
                </c:pt>
                <c:pt idx="2">
                  <c:v>1.6999999999999886</c:v>
                </c:pt>
                <c:pt idx="3">
                  <c:v>9.6499999999999773</c:v>
                </c:pt>
                <c:pt idx="4">
                  <c:v>-6.5000000000000568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4-4778-83D7-E93AEAF8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16191"/>
        <c:axId val="78325343"/>
      </c:scatterChart>
      <c:valAx>
        <c:axId val="7831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s₀ (cm)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8325343"/>
        <c:crossesAt val="-8"/>
        <c:crossBetween val="midCat"/>
      </c:valAx>
      <c:valAx>
        <c:axId val="783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Resíduo (cm)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2.3513136622802633E-2"/>
              <c:y val="0.29853274776297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831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257816</xdr:colOff>
      <xdr:row>2</xdr:row>
      <xdr:rowOff>133655</xdr:rowOff>
    </xdr:from>
    <xdr:to>
      <xdr:col>25</xdr:col>
      <xdr:colOff>55417</xdr:colOff>
      <xdr:row>21</xdr:row>
      <xdr:rowOff>55418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76CEB1-A064-4CA3-814E-FFA7CDAB5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283990</xdr:colOff>
      <xdr:row>21</xdr:row>
      <xdr:rowOff>115900</xdr:rowOff>
    </xdr:from>
    <xdr:to>
      <xdr:col>25</xdr:col>
      <xdr:colOff>76200</xdr:colOff>
      <xdr:row>39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94B086-C740-42A7-AED0-67F6DFFED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246418</xdr:colOff>
      <xdr:row>39</xdr:row>
      <xdr:rowOff>142113</xdr:rowOff>
    </xdr:from>
    <xdr:to>
      <xdr:col>25</xdr:col>
      <xdr:colOff>421342</xdr:colOff>
      <xdr:row>58</xdr:row>
      <xdr:rowOff>89647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B59B22-6D9B-434A-A10A-D2C16281B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253719</xdr:colOff>
      <xdr:row>58</xdr:row>
      <xdr:rowOff>161190</xdr:rowOff>
    </xdr:from>
    <xdr:to>
      <xdr:col>25</xdr:col>
      <xdr:colOff>166634</xdr:colOff>
      <xdr:row>76</xdr:row>
      <xdr:rowOff>152399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75B857C-547A-4C26-AA89-CB67A7063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241012</xdr:colOff>
      <xdr:row>77</xdr:row>
      <xdr:rowOff>92748</xdr:rowOff>
    </xdr:from>
    <xdr:to>
      <xdr:col>25</xdr:col>
      <xdr:colOff>155848</xdr:colOff>
      <xdr:row>95</xdr:row>
      <xdr:rowOff>138546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8A46BE0-6477-4E5D-A664-9BD6A3373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ABCD-A822-4D4C-A568-05C32BAFEC7D}">
  <dimension ref="A1:P48"/>
  <sheetViews>
    <sheetView tabSelected="1" topLeftCell="P40" zoomScale="103" zoomScaleNormal="145" workbookViewId="0">
      <selection activeCell="AA49" sqref="AA49"/>
    </sheetView>
  </sheetViews>
  <sheetFormatPr defaultRowHeight="14.4" x14ac:dyDescent="0.3"/>
  <cols>
    <col min="1" max="1" width="17.88671875" bestFit="1" customWidth="1"/>
    <col min="3" max="3" width="9.77734375" bestFit="1" customWidth="1"/>
    <col min="7" max="7" width="10" bestFit="1" customWidth="1"/>
    <col min="10" max="10" width="11" bestFit="1" customWidth="1"/>
    <col min="11" max="11" width="11.33203125" bestFit="1" customWidth="1"/>
    <col min="12" max="12" width="11.33203125" customWidth="1"/>
    <col min="13" max="13" width="10" bestFit="1" customWidth="1"/>
    <col min="14" max="14" width="10.33203125" bestFit="1" customWidth="1"/>
    <col min="16" max="16" width="10.21875" bestFit="1" customWidth="1"/>
  </cols>
  <sheetData>
    <row r="1" spans="1:16" x14ac:dyDescent="0.3">
      <c r="I1" t="s">
        <v>8</v>
      </c>
      <c r="K1" t="s">
        <v>9</v>
      </c>
      <c r="M1" t="s">
        <v>10</v>
      </c>
    </row>
    <row r="2" spans="1:16" x14ac:dyDescent="0.3">
      <c r="B2" t="s">
        <v>0</v>
      </c>
      <c r="E2" s="1">
        <v>2.2999999999999998</v>
      </c>
      <c r="F2" s="1"/>
    </row>
    <row r="4" spans="1:16" x14ac:dyDescent="0.3">
      <c r="A4" s="11" t="s">
        <v>25</v>
      </c>
      <c r="B4" s="10" t="s">
        <v>29</v>
      </c>
      <c r="C4" s="10" t="s">
        <v>28</v>
      </c>
      <c r="D4" s="10" t="s">
        <v>3</v>
      </c>
      <c r="E4" s="10" t="s">
        <v>30</v>
      </c>
      <c r="F4" s="10" t="s">
        <v>2</v>
      </c>
      <c r="G4" s="10" t="s">
        <v>31</v>
      </c>
      <c r="H4" s="10" t="s">
        <v>1</v>
      </c>
      <c r="I4" s="10" t="s">
        <v>11</v>
      </c>
      <c r="J4" s="10" t="s">
        <v>32</v>
      </c>
      <c r="K4" s="10" t="s">
        <v>12</v>
      </c>
      <c r="L4" s="10" t="s">
        <v>33</v>
      </c>
      <c r="M4" s="10" t="s">
        <v>13</v>
      </c>
      <c r="N4" s="10" t="s">
        <v>34</v>
      </c>
      <c r="O4" s="10" t="s">
        <v>21</v>
      </c>
      <c r="P4" s="10" t="s">
        <v>4</v>
      </c>
    </row>
    <row r="5" spans="1:16" x14ac:dyDescent="0.3">
      <c r="A5" s="12"/>
      <c r="B5" s="2">
        <v>60</v>
      </c>
      <c r="C5" s="2">
        <v>30</v>
      </c>
      <c r="D5" s="3">
        <f>1/C5</f>
        <v>3.3333333333333333E-2</v>
      </c>
      <c r="E5" s="4">
        <v>30</v>
      </c>
      <c r="F5" s="5">
        <f>1/E5</f>
        <v>3.3333333333333333E-2</v>
      </c>
      <c r="G5" s="4">
        <v>2.4</v>
      </c>
      <c r="H5" s="2">
        <f>G5/E$2</f>
        <v>1.0434782608695652</v>
      </c>
      <c r="I5" s="2">
        <f>(C5*E5)/B5</f>
        <v>15</v>
      </c>
      <c r="J5" s="2">
        <f>SQRT(((E5/B5)*0.05)^2+((C5/B5)*0.05)^2+(-((C5/B5^2)*E5)*0.05)^2)</f>
        <v>3.7500000000000006E-2</v>
      </c>
      <c r="K5" s="2">
        <f>C5-((C5*C5)/B5)</f>
        <v>15</v>
      </c>
      <c r="L5" s="2">
        <f>SQRT((1-C5*(2/B5)*0.05)^2+((C5^2/B5^2)*0.05)^2)</f>
        <v>0.95008223328299324</v>
      </c>
      <c r="M5" s="2">
        <f>E5-((E5*E5)/B5)</f>
        <v>15</v>
      </c>
      <c r="N5" s="2">
        <f>SQRT((1-E5*(2/B5)*0.05)^2+((E5^2/B5^2)*0.05)^2)</f>
        <v>0.95008223328299324</v>
      </c>
      <c r="O5" s="6">
        <f t="shared" ref="O5:O20" si="0">C$24*D5+D$24</f>
        <v>3.1631074978245133E-2</v>
      </c>
      <c r="P5" s="6">
        <f>F5-O5</f>
        <v>1.7022583550882001E-3</v>
      </c>
    </row>
    <row r="6" spans="1:16" x14ac:dyDescent="0.3">
      <c r="A6" s="12"/>
      <c r="B6" s="2">
        <v>60</v>
      </c>
      <c r="C6" s="2">
        <v>33</v>
      </c>
      <c r="D6" s="3">
        <f t="shared" ref="D6:D20" si="1">1/C6</f>
        <v>3.0303030303030304E-2</v>
      </c>
      <c r="E6" s="4">
        <v>27</v>
      </c>
      <c r="F6" s="5">
        <f t="shared" ref="F6:F20" si="2">1/E6</f>
        <v>3.7037037037037035E-2</v>
      </c>
      <c r="G6" s="2">
        <v>1</v>
      </c>
      <c r="H6" s="2">
        <f t="shared" ref="H6:H20" si="3">G6/E$2</f>
        <v>0.43478260869565222</v>
      </c>
      <c r="I6" s="2">
        <f t="shared" ref="I6:I20" si="4">(C6*E6)/B6</f>
        <v>14.85</v>
      </c>
      <c r="J6" s="2">
        <f t="shared" ref="J6:J20" si="5">SQRT(((E6/B6)*0.05)^2+((C6/B6)*0.05)^2+(-((C6/B6^2)*E6)*0.05)^2)</f>
        <v>3.7625000000000006E-2</v>
      </c>
      <c r="K6" s="2">
        <f t="shared" ref="K6:K20" si="6">C6-((C6*C6)/B6)</f>
        <v>14.850000000000001</v>
      </c>
      <c r="L6" s="2">
        <f>SQRT((1-C6*(2/B6)*0.05)^2+((C6^2/B6^2)*0.05)^2)</f>
        <v>0.94512103226253508</v>
      </c>
      <c r="M6" s="2">
        <f t="shared" ref="M6:M20" si="7">E6-((E6*E6)/B6)</f>
        <v>14.85</v>
      </c>
      <c r="N6" s="2">
        <f t="shared" ref="N6:N19" si="8">SQRT((1-E6*(2/B6)*0.05)^2+((E6^2/B6^2)*0.05)^2)</f>
        <v>0.95505367159390575</v>
      </c>
      <c r="O6" s="6">
        <f t="shared" si="0"/>
        <v>3.4862354505790345E-2</v>
      </c>
      <c r="P6" s="6">
        <f t="shared" ref="P6:P20" si="9">F6-O6</f>
        <v>2.1746825312466897E-3</v>
      </c>
    </row>
    <row r="7" spans="1:16" x14ac:dyDescent="0.3">
      <c r="A7" s="12"/>
      <c r="B7" s="2">
        <v>64</v>
      </c>
      <c r="C7" s="2">
        <v>26</v>
      </c>
      <c r="D7" s="3">
        <f t="shared" si="1"/>
        <v>3.8461538461538464E-2</v>
      </c>
      <c r="E7" s="4">
        <v>38</v>
      </c>
      <c r="F7" s="5">
        <f t="shared" si="2"/>
        <v>2.6315789473684209E-2</v>
      </c>
      <c r="G7" s="2">
        <v>3.6</v>
      </c>
      <c r="H7" s="2">
        <f t="shared" si="3"/>
        <v>1.5652173913043479</v>
      </c>
      <c r="I7" s="2">
        <f t="shared" si="4"/>
        <v>15.4375</v>
      </c>
      <c r="J7" s="2">
        <f t="shared" si="5"/>
        <v>3.7939453125000001E-2</v>
      </c>
      <c r="K7" s="2">
        <f t="shared" si="6"/>
        <v>15.4375</v>
      </c>
      <c r="L7" s="2">
        <f t="shared" ref="L6:L20" si="10">SQRT((1-C7*(2/B7)*0.05)^2+((C7^2/B7^2)*0.05)^2)</f>
        <v>0.95941048845391363</v>
      </c>
      <c r="M7" s="2">
        <f t="shared" si="7"/>
        <v>15.4375</v>
      </c>
      <c r="N7" s="2">
        <f t="shared" si="8"/>
        <v>0.94079014668600303</v>
      </c>
      <c r="O7" s="6">
        <f t="shared" si="0"/>
        <v>2.6162755777784E-2</v>
      </c>
      <c r="P7" s="6">
        <f t="shared" si="9"/>
        <v>1.5303369590020932E-4</v>
      </c>
    </row>
    <row r="8" spans="1:16" x14ac:dyDescent="0.3">
      <c r="A8" s="12"/>
      <c r="B8" s="2">
        <v>64</v>
      </c>
      <c r="C8" s="2">
        <v>39</v>
      </c>
      <c r="D8" s="3">
        <f t="shared" si="1"/>
        <v>2.564102564102564E-2</v>
      </c>
      <c r="E8" s="4">
        <v>25</v>
      </c>
      <c r="F8" s="5">
        <f t="shared" si="2"/>
        <v>0.04</v>
      </c>
      <c r="G8" s="2">
        <v>1.5</v>
      </c>
      <c r="H8" s="2">
        <f t="shared" si="3"/>
        <v>0.65217391304347827</v>
      </c>
      <c r="I8" s="2">
        <f t="shared" si="4"/>
        <v>15.234375</v>
      </c>
      <c r="J8" s="2">
        <f t="shared" si="5"/>
        <v>3.8098144531250003E-2</v>
      </c>
      <c r="K8" s="2">
        <f t="shared" si="6"/>
        <v>15.234375</v>
      </c>
      <c r="L8" s="2">
        <f t="shared" si="10"/>
        <v>0.93924603192070211</v>
      </c>
      <c r="M8" s="2">
        <f t="shared" si="7"/>
        <v>15.234375</v>
      </c>
      <c r="N8" s="2">
        <f t="shared" si="8"/>
        <v>0.9609677864357179</v>
      </c>
      <c r="O8" s="6">
        <f t="shared" si="0"/>
        <v>3.9833553778936832E-2</v>
      </c>
      <c r="P8" s="6">
        <f t="shared" si="9"/>
        <v>1.6644622106316842E-4</v>
      </c>
    </row>
    <row r="9" spans="1:16" x14ac:dyDescent="0.3">
      <c r="A9" s="12"/>
      <c r="B9" s="2">
        <v>68.5</v>
      </c>
      <c r="C9" s="2">
        <v>24</v>
      </c>
      <c r="D9" s="3">
        <f t="shared" si="1"/>
        <v>4.1666666666666664E-2</v>
      </c>
      <c r="E9" s="4">
        <v>44.5</v>
      </c>
      <c r="F9" s="5">
        <f t="shared" si="2"/>
        <v>2.247191011235955E-2</v>
      </c>
      <c r="G9" s="2">
        <v>4.4000000000000004</v>
      </c>
      <c r="H9" s="2">
        <f t="shared" si="3"/>
        <v>1.9130434782608698</v>
      </c>
      <c r="I9" s="2">
        <f t="shared" si="4"/>
        <v>15.591240875912408</v>
      </c>
      <c r="J9" s="2">
        <f t="shared" si="5"/>
        <v>3.8619532207363201E-2</v>
      </c>
      <c r="K9" s="2">
        <f t="shared" si="6"/>
        <v>15.591240875912408</v>
      </c>
      <c r="L9" s="2">
        <f t="shared" si="10"/>
        <v>0.96498302354176335</v>
      </c>
      <c r="M9" s="2">
        <f t="shared" si="7"/>
        <v>15.591240875912408</v>
      </c>
      <c r="N9" s="2">
        <f t="shared" si="8"/>
        <v>0.93527456594038361</v>
      </c>
      <c r="O9" s="6">
        <f t="shared" si="0"/>
        <v>2.2745056277495797E-2</v>
      </c>
      <c r="P9" s="6">
        <f t="shared" si="9"/>
        <v>-2.7314616513624684E-4</v>
      </c>
    </row>
    <row r="10" spans="1:16" x14ac:dyDescent="0.3">
      <c r="A10" s="12"/>
      <c r="B10" s="2">
        <v>68.5</v>
      </c>
      <c r="C10" s="2">
        <v>46.2</v>
      </c>
      <c r="D10" s="3">
        <f t="shared" si="1"/>
        <v>2.1645021645021644E-2</v>
      </c>
      <c r="E10" s="4">
        <v>22.3</v>
      </c>
      <c r="F10" s="5">
        <f t="shared" si="2"/>
        <v>4.4843049327354258E-2</v>
      </c>
      <c r="G10" s="2">
        <v>1.1499999999999999</v>
      </c>
      <c r="H10" s="2">
        <f t="shared" si="3"/>
        <v>0.5</v>
      </c>
      <c r="I10" s="2">
        <f t="shared" si="4"/>
        <v>15.040291970802919</v>
      </c>
      <c r="J10" s="2">
        <f t="shared" si="5"/>
        <v>3.9021684692844588E-2</v>
      </c>
      <c r="K10" s="2">
        <f t="shared" si="6"/>
        <v>15.040291970802922</v>
      </c>
      <c r="L10" s="2">
        <f t="shared" si="10"/>
        <v>0.9328320616729604</v>
      </c>
      <c r="M10" s="2">
        <f t="shared" si="7"/>
        <v>15.040291970802919</v>
      </c>
      <c r="N10" s="2">
        <f t="shared" si="8"/>
        <v>0.96745976781706411</v>
      </c>
      <c r="O10" s="6">
        <f t="shared" si="0"/>
        <v>4.4094581727348106E-2</v>
      </c>
      <c r="P10" s="6">
        <f t="shared" si="9"/>
        <v>7.4846760000615159E-4</v>
      </c>
    </row>
    <row r="11" spans="1:16" x14ac:dyDescent="0.3">
      <c r="A11" s="12"/>
      <c r="B11" s="2">
        <v>79.5</v>
      </c>
      <c r="C11" s="2">
        <v>21.5</v>
      </c>
      <c r="D11" s="3">
        <f t="shared" si="1"/>
        <v>4.6511627906976744E-2</v>
      </c>
      <c r="E11" s="4">
        <v>58</v>
      </c>
      <c r="F11" s="5">
        <f t="shared" si="2"/>
        <v>1.7241379310344827E-2</v>
      </c>
      <c r="G11" s="2">
        <v>6.4</v>
      </c>
      <c r="H11" s="2">
        <f t="shared" si="3"/>
        <v>2.7826086956521743</v>
      </c>
      <c r="I11" s="2">
        <f t="shared" si="4"/>
        <v>15.685534591194969</v>
      </c>
      <c r="J11" s="2">
        <f t="shared" si="5"/>
        <v>4.0134883904908825E-2</v>
      </c>
      <c r="K11" s="2">
        <f t="shared" si="6"/>
        <v>15.685534591194969</v>
      </c>
      <c r="L11" s="2">
        <f t="shared" si="10"/>
        <v>0.97296284711911318</v>
      </c>
      <c r="M11" s="2">
        <f t="shared" si="7"/>
        <v>15.685534591194966</v>
      </c>
      <c r="N11" s="2">
        <f t="shared" si="8"/>
        <v>0.92742593747422963</v>
      </c>
      <c r="O11" s="6">
        <f t="shared" si="0"/>
        <v>1.7578766335199669E-2</v>
      </c>
      <c r="P11" s="6">
        <f t="shared" si="9"/>
        <v>-3.373870248548419E-4</v>
      </c>
    </row>
    <row r="12" spans="1:16" x14ac:dyDescent="0.3">
      <c r="A12" s="12"/>
      <c r="B12" s="2">
        <v>79.5</v>
      </c>
      <c r="C12" s="2">
        <v>59</v>
      </c>
      <c r="D12" s="3">
        <f t="shared" si="1"/>
        <v>1.6949152542372881E-2</v>
      </c>
      <c r="E12" s="4">
        <v>20.5</v>
      </c>
      <c r="F12" s="5">
        <f t="shared" si="2"/>
        <v>4.878048780487805E-2</v>
      </c>
      <c r="G12" s="2">
        <v>0.85</v>
      </c>
      <c r="H12" s="2">
        <f t="shared" si="3"/>
        <v>0.36956521739130438</v>
      </c>
      <c r="I12" s="2">
        <f t="shared" si="4"/>
        <v>15.213836477987421</v>
      </c>
      <c r="J12" s="2">
        <f t="shared" si="5"/>
        <v>4.043154938491357E-2</v>
      </c>
      <c r="K12" s="2">
        <f t="shared" si="6"/>
        <v>15.213836477987421</v>
      </c>
      <c r="L12" s="2">
        <f t="shared" si="10"/>
        <v>0.92619565307114216</v>
      </c>
      <c r="M12" s="2">
        <f t="shared" si="7"/>
        <v>15.213836477987421</v>
      </c>
      <c r="N12" s="2">
        <f t="shared" si="8"/>
        <v>0.97421950932909129</v>
      </c>
      <c r="O12" s="6">
        <f t="shared" si="0"/>
        <v>4.9101891406837059E-2</v>
      </c>
      <c r="P12" s="6">
        <f t="shared" si="9"/>
        <v>-3.214036019590083E-4</v>
      </c>
    </row>
    <row r="13" spans="1:16" x14ac:dyDescent="0.3">
      <c r="A13" s="12"/>
      <c r="B13" s="2">
        <v>92</v>
      </c>
      <c r="C13" s="2">
        <v>20</v>
      </c>
      <c r="D13" s="3">
        <f t="shared" si="1"/>
        <v>0.05</v>
      </c>
      <c r="E13" s="4">
        <v>72</v>
      </c>
      <c r="F13" s="5">
        <f t="shared" si="2"/>
        <v>1.3888888888888888E-2</v>
      </c>
      <c r="G13" s="2">
        <v>8.5</v>
      </c>
      <c r="H13" s="2">
        <f t="shared" si="3"/>
        <v>3.6956521739130439</v>
      </c>
      <c r="I13" s="2">
        <f t="shared" si="4"/>
        <v>15.652173913043478</v>
      </c>
      <c r="J13" s="2">
        <f t="shared" si="5"/>
        <v>4.1493383742911158E-2</v>
      </c>
      <c r="K13" s="2">
        <f t="shared" si="6"/>
        <v>15.652173913043478</v>
      </c>
      <c r="L13" s="2">
        <f t="shared" si="10"/>
        <v>0.97826372336414702</v>
      </c>
      <c r="M13" s="2">
        <f t="shared" si="7"/>
        <v>15.652173913043477</v>
      </c>
      <c r="N13" s="2">
        <f t="shared" si="8"/>
        <v>0.92224771229629687</v>
      </c>
      <c r="O13" s="6">
        <f t="shared" si="0"/>
        <v>1.3859037576746454E-2</v>
      </c>
      <c r="P13" s="6">
        <f t="shared" si="9"/>
        <v>2.9851312142434305E-5</v>
      </c>
    </row>
    <row r="14" spans="1:16" x14ac:dyDescent="0.3">
      <c r="A14" s="12"/>
      <c r="B14" s="2">
        <v>92</v>
      </c>
      <c r="C14" s="2">
        <v>73</v>
      </c>
      <c r="D14" s="3">
        <f t="shared" si="1"/>
        <v>1.3698630136986301E-2</v>
      </c>
      <c r="E14" s="4">
        <v>19</v>
      </c>
      <c r="F14" s="5">
        <f t="shared" si="2"/>
        <v>5.2631578947368418E-2</v>
      </c>
      <c r="G14" s="2">
        <v>0.6</v>
      </c>
      <c r="H14" s="2">
        <f t="shared" si="3"/>
        <v>0.2608695652173913</v>
      </c>
      <c r="I14" s="2">
        <f t="shared" si="4"/>
        <v>15.076086956521738</v>
      </c>
      <c r="J14" s="2">
        <f t="shared" si="5"/>
        <v>4.1806474480151228E-2</v>
      </c>
      <c r="K14" s="2">
        <f t="shared" si="6"/>
        <v>15.076086956521742</v>
      </c>
      <c r="L14" s="2">
        <f t="shared" si="10"/>
        <v>0.92119023015306167</v>
      </c>
      <c r="M14" s="2">
        <f t="shared" si="7"/>
        <v>15.076086956521738</v>
      </c>
      <c r="N14" s="2">
        <f t="shared" si="8"/>
        <v>0.97935014794481379</v>
      </c>
      <c r="O14" s="6">
        <f t="shared" si="0"/>
        <v>5.2567995752613443E-2</v>
      </c>
      <c r="P14" s="6">
        <f t="shared" si="9"/>
        <v>6.3583194754975036E-5</v>
      </c>
    </row>
    <row r="15" spans="1:16" x14ac:dyDescent="0.3">
      <c r="A15" s="12"/>
      <c r="B15" s="2">
        <v>109.5</v>
      </c>
      <c r="C15" s="2">
        <v>19.5</v>
      </c>
      <c r="D15" s="3">
        <f t="shared" si="1"/>
        <v>5.128205128205128E-2</v>
      </c>
      <c r="E15" s="4">
        <v>90</v>
      </c>
      <c r="F15" s="5">
        <f t="shared" si="2"/>
        <v>1.1111111111111112E-2</v>
      </c>
      <c r="G15" s="2">
        <v>11.1</v>
      </c>
      <c r="H15" s="2">
        <f t="shared" si="3"/>
        <v>4.8260869565217392</v>
      </c>
      <c r="I15" s="2">
        <f t="shared" si="4"/>
        <v>16.027397260273972</v>
      </c>
      <c r="J15" s="2">
        <f t="shared" si="5"/>
        <v>4.2681553762431976E-2</v>
      </c>
      <c r="K15" s="2">
        <f t="shared" si="6"/>
        <v>16.027397260273972</v>
      </c>
      <c r="L15" s="2">
        <f t="shared" si="10"/>
        <v>0.98219306077898683</v>
      </c>
      <c r="M15" s="2">
        <f t="shared" si="7"/>
        <v>16.027397260273972</v>
      </c>
      <c r="N15" s="2">
        <f t="shared" si="8"/>
        <v>0.91842955251109437</v>
      </c>
      <c r="O15" s="6">
        <f t="shared" si="0"/>
        <v>1.2491957776631174E-2</v>
      </c>
      <c r="P15" s="6">
        <f t="shared" si="9"/>
        <v>-1.3808466655200625E-3</v>
      </c>
    </row>
    <row r="16" spans="1:16" x14ac:dyDescent="0.3">
      <c r="A16" s="12"/>
      <c r="B16" s="2">
        <v>109.5</v>
      </c>
      <c r="C16" s="2">
        <v>91.5</v>
      </c>
      <c r="D16" s="3">
        <f t="shared" si="1"/>
        <v>1.092896174863388E-2</v>
      </c>
      <c r="E16" s="4">
        <v>18</v>
      </c>
      <c r="F16" s="5">
        <f t="shared" si="2"/>
        <v>5.5555555555555552E-2</v>
      </c>
      <c r="G16" s="2">
        <v>0.5</v>
      </c>
      <c r="H16" s="2">
        <f t="shared" si="3"/>
        <v>0.21739130434782611</v>
      </c>
      <c r="I16" s="2">
        <f t="shared" si="4"/>
        <v>15.04109589041096</v>
      </c>
      <c r="J16" s="2">
        <f t="shared" si="5"/>
        <v>4.3131919684743857E-2</v>
      </c>
      <c r="K16" s="2">
        <f t="shared" si="6"/>
        <v>15.041095890410958</v>
      </c>
      <c r="L16" s="2">
        <f t="shared" si="10"/>
        <v>0.91710313497200735</v>
      </c>
      <c r="M16" s="2">
        <f t="shared" si="7"/>
        <v>15.04109589041096</v>
      </c>
      <c r="N16" s="2">
        <f t="shared" si="8"/>
        <v>0.98356257182235018</v>
      </c>
      <c r="O16" s="6">
        <f t="shared" si="0"/>
        <v>5.5521354763866312E-2</v>
      </c>
      <c r="P16" s="6">
        <f t="shared" si="9"/>
        <v>3.4200791689240062E-5</v>
      </c>
    </row>
    <row r="17" spans="1:16" x14ac:dyDescent="0.3">
      <c r="A17" s="12"/>
      <c r="B17" s="2">
        <v>128.5</v>
      </c>
      <c r="C17" s="2">
        <v>18.5</v>
      </c>
      <c r="D17" s="3">
        <f t="shared" si="1"/>
        <v>5.4054054054054057E-2</v>
      </c>
      <c r="E17" s="4">
        <v>110</v>
      </c>
      <c r="F17" s="5">
        <f t="shared" si="2"/>
        <v>9.0909090909090905E-3</v>
      </c>
      <c r="G17" s="2">
        <v>14</v>
      </c>
      <c r="H17" s="2">
        <f t="shared" si="3"/>
        <v>6.0869565217391308</v>
      </c>
      <c r="I17" s="2">
        <f t="shared" si="4"/>
        <v>15.836575875486382</v>
      </c>
      <c r="J17" s="2">
        <f t="shared" si="5"/>
        <v>4.3837908219655101E-2</v>
      </c>
      <c r="K17" s="2">
        <f t="shared" si="6"/>
        <v>15.836575875486382</v>
      </c>
      <c r="L17" s="2">
        <f t="shared" si="10"/>
        <v>0.9856036576970838</v>
      </c>
      <c r="M17" s="2">
        <f t="shared" si="7"/>
        <v>15.836575875486375</v>
      </c>
      <c r="N17" s="2">
        <f t="shared" si="8"/>
        <v>0.91513065603559662</v>
      </c>
      <c r="O17" s="6">
        <f t="shared" si="0"/>
        <v>9.5361095601656926E-3</v>
      </c>
      <c r="P17" s="6">
        <f t="shared" si="9"/>
        <v>-4.4520046925660209E-4</v>
      </c>
    </row>
    <row r="18" spans="1:16" x14ac:dyDescent="0.3">
      <c r="A18" s="12"/>
      <c r="B18" s="2">
        <v>128.5</v>
      </c>
      <c r="C18" s="2">
        <v>111</v>
      </c>
      <c r="D18" s="3">
        <f t="shared" si="1"/>
        <v>9.0090090090090089E-3</v>
      </c>
      <c r="E18" s="4">
        <v>17.5</v>
      </c>
      <c r="F18" s="5">
        <f t="shared" si="2"/>
        <v>5.7142857142857141E-2</v>
      </c>
      <c r="G18" s="2">
        <v>0.4</v>
      </c>
      <c r="H18" s="2">
        <f t="shared" si="3"/>
        <v>0.17391304347826089</v>
      </c>
      <c r="I18" s="2">
        <f t="shared" si="4"/>
        <v>15.116731517509727</v>
      </c>
      <c r="J18" s="2">
        <f t="shared" si="5"/>
        <v>4.4118003300579876E-2</v>
      </c>
      <c r="K18" s="2">
        <f t="shared" si="6"/>
        <v>15.116731517509734</v>
      </c>
      <c r="L18" s="2">
        <f t="shared" si="10"/>
        <v>0.91438013074926561</v>
      </c>
      <c r="M18" s="2">
        <f t="shared" si="7"/>
        <v>15.116731517509727</v>
      </c>
      <c r="N18" s="2">
        <f t="shared" si="8"/>
        <v>0.98638175887515678</v>
      </c>
      <c r="O18" s="6">
        <f t="shared" si="0"/>
        <v>5.7568643077729693E-2</v>
      </c>
      <c r="P18" s="6">
        <f t="shared" si="9"/>
        <v>-4.2578593487255234E-4</v>
      </c>
    </row>
    <row r="19" spans="1:16" x14ac:dyDescent="0.3">
      <c r="A19" s="12"/>
      <c r="B19" s="2">
        <v>146.5</v>
      </c>
      <c r="C19" s="2">
        <v>18</v>
      </c>
      <c r="D19" s="3">
        <f t="shared" si="1"/>
        <v>5.5555555555555552E-2</v>
      </c>
      <c r="E19" s="4">
        <v>128</v>
      </c>
      <c r="F19" s="5">
        <f t="shared" si="2"/>
        <v>7.8125E-3</v>
      </c>
      <c r="G19" s="2">
        <v>17</v>
      </c>
      <c r="H19" s="2">
        <f t="shared" si="3"/>
        <v>7.3913043478260878</v>
      </c>
      <c r="I19" s="2">
        <f t="shared" si="4"/>
        <v>15.726962457337883</v>
      </c>
      <c r="J19" s="2">
        <f t="shared" si="5"/>
        <v>4.444118157390832E-2</v>
      </c>
      <c r="K19" s="2">
        <f t="shared" si="6"/>
        <v>15.788395904436861</v>
      </c>
      <c r="L19" s="2">
        <f t="shared" si="10"/>
        <v>0.98771359899568367</v>
      </c>
      <c r="M19" s="2">
        <f t="shared" si="7"/>
        <v>16.163822525597269</v>
      </c>
      <c r="N19" s="2">
        <f t="shared" si="8"/>
        <v>0.91342582636775171</v>
      </c>
      <c r="O19" s="6">
        <f t="shared" si="0"/>
        <v>7.9350251095802321E-3</v>
      </c>
      <c r="P19" s="6">
        <f t="shared" si="9"/>
        <v>-1.2252510958023211E-4</v>
      </c>
    </row>
    <row r="20" spans="1:16" ht="15" thickBot="1" x14ac:dyDescent="0.35">
      <c r="A20" s="13"/>
      <c r="B20" s="2">
        <v>146.5</v>
      </c>
      <c r="C20" s="2">
        <v>129</v>
      </c>
      <c r="D20" s="3">
        <f t="shared" si="1"/>
        <v>7.7519379844961239E-3</v>
      </c>
      <c r="E20" s="4">
        <v>17.5</v>
      </c>
      <c r="F20" s="5">
        <f t="shared" si="2"/>
        <v>5.7142857142857141E-2</v>
      </c>
      <c r="G20" s="2">
        <v>0.35</v>
      </c>
      <c r="H20" s="2">
        <f t="shared" si="3"/>
        <v>0.15217391304347827</v>
      </c>
      <c r="I20" s="16">
        <f t="shared" si="4"/>
        <v>15.409556313993175</v>
      </c>
      <c r="J20" s="16">
        <f t="shared" si="5"/>
        <v>4.4740765763142266E-2</v>
      </c>
      <c r="K20" s="16">
        <f t="shared" si="6"/>
        <v>15.409556313993178</v>
      </c>
      <c r="L20" s="16">
        <f t="shared" si="10"/>
        <v>0.91276906285244097</v>
      </c>
      <c r="M20" s="16">
        <f t="shared" si="7"/>
        <v>15.409556313993175</v>
      </c>
      <c r="N20" s="16">
        <f>SQRT((1-E20*(2/B20)*0.05)^2+((E20^2/B20^2)*0.05)^2)</f>
        <v>0.9880548650995441</v>
      </c>
      <c r="O20" s="6">
        <f t="shared" si="0"/>
        <v>5.890908587356869E-2</v>
      </c>
      <c r="P20" s="6">
        <f t="shared" si="9"/>
        <v>-1.7662287307115485E-3</v>
      </c>
    </row>
    <row r="21" spans="1:16" ht="15" thickBot="1" x14ac:dyDescent="0.35">
      <c r="A21" s="10" t="s">
        <v>6</v>
      </c>
      <c r="B21" s="7" t="s">
        <v>7</v>
      </c>
      <c r="C21" s="7"/>
      <c r="D21" s="7"/>
      <c r="E21" s="7"/>
      <c r="F21" s="7"/>
      <c r="G21" s="7"/>
      <c r="H21" s="14"/>
      <c r="I21" s="17">
        <f>AVERAGE(I5:I20)</f>
        <v>15.371209943779689</v>
      </c>
      <c r="J21" s="18">
        <f>STDEV(I5:I20)/4</f>
        <v>8.7297669306533834E-2</v>
      </c>
      <c r="K21" s="18">
        <f>AVERAGE(K5:K20)</f>
        <v>15.375049534223376</v>
      </c>
      <c r="L21" s="18">
        <f>STDEV(K5:K20)/4</f>
        <v>8.8418048956712056E-2</v>
      </c>
      <c r="M21" s="18">
        <f t="shared" ref="M21" si="11">AVERAGE(M5:M20)</f>
        <v>15.3985136980459</v>
      </c>
      <c r="N21" s="19">
        <f>STDEV(M5:M20)/4</f>
        <v>9.8292905600319086E-2</v>
      </c>
      <c r="O21" s="15" t="s">
        <v>7</v>
      </c>
      <c r="P21" s="8"/>
    </row>
    <row r="23" spans="1:16" ht="15" thickBot="1" x14ac:dyDescent="0.35">
      <c r="B23" s="1"/>
      <c r="C23" s="9" t="s">
        <v>5</v>
      </c>
      <c r="D23" s="9"/>
      <c r="I23" s="10" t="s">
        <v>15</v>
      </c>
      <c r="J23" s="34" t="s">
        <v>17</v>
      </c>
      <c r="K23" s="34" t="s">
        <v>18</v>
      </c>
    </row>
    <row r="24" spans="1:16" ht="15" thickBot="1" x14ac:dyDescent="0.35">
      <c r="C24" s="36">
        <f t="array" ref="C24:D26">LINEST(F5:F20,D5:D20,TRUE,TRUE)</f>
        <v>-1.0663222440899207</v>
      </c>
      <c r="D24" s="36">
        <v>6.7175149781242491E-2</v>
      </c>
      <c r="I24" s="25" t="s">
        <v>14</v>
      </c>
      <c r="J24" s="17">
        <f>1/D24</f>
        <v>14.886457317274681</v>
      </c>
      <c r="K24" s="19">
        <f>SQRT((-(1/D24^2)*D25)^2)</f>
        <v>0.11973869916716874</v>
      </c>
    </row>
    <row r="25" spans="1:16" ht="15" thickBot="1" x14ac:dyDescent="0.35">
      <c r="C25" s="36">
        <v>1.5129114746246817E-2</v>
      </c>
      <c r="D25" s="36">
        <v>5.4032096957224492E-4</v>
      </c>
      <c r="I25" s="25" t="s">
        <v>16</v>
      </c>
      <c r="J25" s="32">
        <f>1/(-D24/C24)</f>
        <v>15.873760573105161</v>
      </c>
      <c r="K25" s="33">
        <f>SQRT(((C24/D24^2)*D25)^2+(-(1/D24)*C25)^2)</f>
        <v>0.25889332657573644</v>
      </c>
    </row>
    <row r="26" spans="1:16" x14ac:dyDescent="0.3">
      <c r="C26" s="36">
        <v>0.99718967914453671</v>
      </c>
      <c r="D26" s="36">
        <v>9.9845983947407743E-4</v>
      </c>
    </row>
    <row r="30" spans="1:16" ht="15" thickBot="1" x14ac:dyDescent="0.35">
      <c r="A30" s="10" t="s">
        <v>26</v>
      </c>
      <c r="B30" s="10" t="s">
        <v>27</v>
      </c>
      <c r="C30" s="10" t="s">
        <v>28</v>
      </c>
      <c r="D30" s="10" t="s">
        <v>21</v>
      </c>
      <c r="E30" s="25" t="s">
        <v>4</v>
      </c>
      <c r="F30" s="34" t="s">
        <v>15</v>
      </c>
      <c r="G30" s="34" t="s">
        <v>35</v>
      </c>
      <c r="L30" s="9" t="s">
        <v>19</v>
      </c>
      <c r="M30" s="9"/>
    </row>
    <row r="31" spans="1:16" x14ac:dyDescent="0.3">
      <c r="A31" s="26" t="s">
        <v>19</v>
      </c>
      <c r="B31" s="2">
        <f>B20</f>
        <v>146.5</v>
      </c>
      <c r="C31" s="2">
        <f>C20</f>
        <v>129</v>
      </c>
      <c r="D31" s="2">
        <f>L$31*C31+M$31</f>
        <v>144.68310151665906</v>
      </c>
      <c r="E31" s="20">
        <f>D31-B31</f>
        <v>-1.8168984833409354</v>
      </c>
      <c r="F31" s="29">
        <f>M31</f>
        <v>27.524627687673572</v>
      </c>
      <c r="G31" s="30">
        <f>M32</f>
        <v>1.5256352447158199</v>
      </c>
      <c r="L31" s="35">
        <f t="array" ref="L31:M33">LINEST(B31:B38,C31:C38,TRUE,TRUE)</f>
        <v>0.90820522348050781</v>
      </c>
      <c r="M31" s="35">
        <v>27.524627687673572</v>
      </c>
    </row>
    <row r="32" spans="1:16" x14ac:dyDescent="0.3">
      <c r="A32" s="26"/>
      <c r="B32" s="2">
        <f>B18</f>
        <v>128.5</v>
      </c>
      <c r="C32" s="2">
        <f>C18</f>
        <v>111</v>
      </c>
      <c r="D32" s="2">
        <f>L$31*C32+M$31</f>
        <v>128.33540749400993</v>
      </c>
      <c r="E32" s="20">
        <f t="shared" ref="E32:E38" si="12">D32-B32</f>
        <v>-0.16459250599007191</v>
      </c>
      <c r="F32" s="21"/>
      <c r="G32" s="22"/>
      <c r="L32" s="35">
        <v>1.9128683038169472E-2</v>
      </c>
      <c r="M32" s="35">
        <v>1.5256352447158199</v>
      </c>
    </row>
    <row r="33" spans="1:13" x14ac:dyDescent="0.3">
      <c r="A33" s="26"/>
      <c r="B33" s="2">
        <f>B16</f>
        <v>109.5</v>
      </c>
      <c r="C33" s="2">
        <f>C16</f>
        <v>91.5</v>
      </c>
      <c r="D33" s="2">
        <f>L$31*C33+M$31</f>
        <v>110.62540563614003</v>
      </c>
      <c r="E33" s="20">
        <f t="shared" si="12"/>
        <v>1.1254056361400302</v>
      </c>
      <c r="F33" s="21"/>
      <c r="G33" s="22"/>
      <c r="L33" s="35">
        <v>0.99734540060697952</v>
      </c>
      <c r="M33" s="35">
        <v>1.7730781464599967</v>
      </c>
    </row>
    <row r="34" spans="1:13" x14ac:dyDescent="0.3">
      <c r="A34" s="26"/>
      <c r="B34" s="2">
        <f>B14</f>
        <v>92</v>
      </c>
      <c r="C34" s="2">
        <f>C14</f>
        <v>73</v>
      </c>
      <c r="D34" s="2">
        <f>L$31*C34+M$31</f>
        <v>93.82360900175064</v>
      </c>
      <c r="E34" s="20">
        <f t="shared" si="12"/>
        <v>1.8236090017506399</v>
      </c>
      <c r="F34" s="21"/>
      <c r="G34" s="22"/>
    </row>
    <row r="35" spans="1:13" x14ac:dyDescent="0.3">
      <c r="A35" s="26"/>
      <c r="B35" s="2">
        <f>B12</f>
        <v>79.5</v>
      </c>
      <c r="C35" s="2">
        <f>C12</f>
        <v>59</v>
      </c>
      <c r="D35" s="2">
        <f>L$31*C35+M$31</f>
        <v>81.108735873023534</v>
      </c>
      <c r="E35" s="20">
        <f t="shared" si="12"/>
        <v>1.6087358730235337</v>
      </c>
      <c r="F35" s="21"/>
      <c r="G35" s="22"/>
    </row>
    <row r="36" spans="1:13" x14ac:dyDescent="0.3">
      <c r="A36" s="26"/>
      <c r="B36" s="2">
        <f>B10</f>
        <v>68.5</v>
      </c>
      <c r="C36" s="2">
        <f>C10</f>
        <v>46.2</v>
      </c>
      <c r="D36" s="2">
        <f>L$31*C36+M$31</f>
        <v>69.483709012473042</v>
      </c>
      <c r="E36" s="20">
        <f t="shared" si="12"/>
        <v>0.98370901247304232</v>
      </c>
      <c r="F36" s="21"/>
      <c r="G36" s="22"/>
    </row>
    <row r="37" spans="1:13" x14ac:dyDescent="0.3">
      <c r="A37" s="26"/>
      <c r="B37" s="2">
        <f>B8</f>
        <v>64</v>
      </c>
      <c r="C37" s="2">
        <f>C8</f>
        <v>39</v>
      </c>
      <c r="D37" s="2">
        <f>L$31*C37+M$31</f>
        <v>62.944631403413375</v>
      </c>
      <c r="E37" s="20">
        <f t="shared" si="12"/>
        <v>-1.0553685965866251</v>
      </c>
      <c r="F37" s="21"/>
      <c r="G37" s="22"/>
    </row>
    <row r="38" spans="1:13" ht="15" thickBot="1" x14ac:dyDescent="0.35">
      <c r="A38" s="26"/>
      <c r="B38" s="2">
        <f>B6</f>
        <v>60</v>
      </c>
      <c r="C38" s="2">
        <f>C6</f>
        <v>33</v>
      </c>
      <c r="D38" s="2">
        <f>L$31*C38+M$31</f>
        <v>57.495400062530329</v>
      </c>
      <c r="E38" s="20">
        <f t="shared" si="12"/>
        <v>-2.5045999374696706</v>
      </c>
      <c r="F38" s="23"/>
      <c r="G38" s="24"/>
    </row>
    <row r="39" spans="1:13" x14ac:dyDescent="0.3">
      <c r="A39" s="26" t="s">
        <v>20</v>
      </c>
      <c r="B39" s="2">
        <f>B19</f>
        <v>146.5</v>
      </c>
      <c r="C39" s="2">
        <f>C19</f>
        <v>18</v>
      </c>
      <c r="D39" s="2">
        <f>L$40*C39+M$40</f>
        <v>139.84999999999997</v>
      </c>
      <c r="E39" s="20">
        <f>D39-B39</f>
        <v>-6.6500000000000341</v>
      </c>
      <c r="F39" s="27">
        <f>-M40/L40</f>
        <v>25.321989528795811</v>
      </c>
      <c r="G39" s="28">
        <f>SQRT((-(1/L40)*M41)^2+((M40/L40^2)*L41)^2)</f>
        <v>4.8110340430635832</v>
      </c>
      <c r="L39" s="9" t="s">
        <v>20</v>
      </c>
      <c r="M39" s="9"/>
    </row>
    <row r="40" spans="1:13" x14ac:dyDescent="0.3">
      <c r="A40" s="26"/>
      <c r="B40" s="2">
        <f>B17</f>
        <v>128.5</v>
      </c>
      <c r="C40" s="2">
        <f>C17</f>
        <v>18.5</v>
      </c>
      <c r="D40" s="2">
        <f>L$40*C40+M$40</f>
        <v>130.29999999999995</v>
      </c>
      <c r="E40" s="20">
        <f t="shared" ref="E40:E43" si="13">D40-B40</f>
        <v>1.7999999999999545</v>
      </c>
      <c r="F40" s="21"/>
      <c r="G40" s="22"/>
      <c r="L40" s="2">
        <f t="array" ref="L40:M42">LINEST(B39:B43,C39:C43,TRUE,TRUE)</f>
        <v>-19.099999999999998</v>
      </c>
      <c r="M40" s="2">
        <v>483.64999999999992</v>
      </c>
    </row>
    <row r="41" spans="1:13" x14ac:dyDescent="0.3">
      <c r="A41" s="26"/>
      <c r="B41" s="2">
        <f>B15</f>
        <v>109.5</v>
      </c>
      <c r="C41" s="2">
        <f>C15</f>
        <v>19.5</v>
      </c>
      <c r="D41" s="2">
        <f>L$40*C41+M$40</f>
        <v>111.19999999999999</v>
      </c>
      <c r="E41" s="20">
        <f t="shared" si="13"/>
        <v>1.6999999999999886</v>
      </c>
      <c r="F41" s="21"/>
      <c r="G41" s="22"/>
      <c r="L41" s="2">
        <v>2.8730548975688648</v>
      </c>
      <c r="M41" s="2">
        <v>56.134963852011744</v>
      </c>
    </row>
    <row r="42" spans="1:13" x14ac:dyDescent="0.3">
      <c r="A42" s="26"/>
      <c r="B42" s="2">
        <f>B13</f>
        <v>92</v>
      </c>
      <c r="C42" s="2">
        <f>C13</f>
        <v>20</v>
      </c>
      <c r="D42" s="2">
        <f>L$40*C42+M$40</f>
        <v>101.64999999999998</v>
      </c>
      <c r="E42" s="20">
        <f t="shared" si="13"/>
        <v>9.6499999999999773</v>
      </c>
      <c r="F42" s="21"/>
      <c r="G42" s="22"/>
      <c r="L42" s="2">
        <v>0.93643473201451166</v>
      </c>
      <c r="M42" s="2">
        <v>7.8681848817458091</v>
      </c>
    </row>
    <row r="43" spans="1:13" ht="15" thickBot="1" x14ac:dyDescent="0.35">
      <c r="A43" s="26"/>
      <c r="B43" s="2">
        <f>B11</f>
        <v>79.5</v>
      </c>
      <c r="C43" s="2">
        <f>C11</f>
        <v>21.5</v>
      </c>
      <c r="D43" s="2">
        <f>L$40*C43+M$40</f>
        <v>72.999999999999943</v>
      </c>
      <c r="E43" s="20">
        <f t="shared" si="13"/>
        <v>-6.5000000000000568</v>
      </c>
      <c r="F43" s="23"/>
      <c r="G43" s="24"/>
    </row>
    <row r="44" spans="1:13" ht="15" thickBot="1" x14ac:dyDescent="0.35">
      <c r="A44" s="26" t="s">
        <v>22</v>
      </c>
      <c r="B44" s="26" t="s">
        <v>23</v>
      </c>
      <c r="C44" s="26"/>
      <c r="D44" s="26"/>
      <c r="E44" s="31"/>
      <c r="F44" s="17">
        <f>C5/2</f>
        <v>15</v>
      </c>
      <c r="G44" s="19">
        <f>0.05/2</f>
        <v>2.5000000000000001E-2</v>
      </c>
    </row>
    <row r="45" spans="1:13" ht="15" thickBot="1" x14ac:dyDescent="0.35">
      <c r="A45" s="26"/>
      <c r="B45" s="26" t="s">
        <v>24</v>
      </c>
      <c r="C45" s="26"/>
      <c r="D45" s="26"/>
      <c r="E45" s="31"/>
      <c r="F45" s="32">
        <f>B5/4</f>
        <v>15</v>
      </c>
      <c r="G45" s="33">
        <f>0.05/4</f>
        <v>1.2500000000000001E-2</v>
      </c>
    </row>
    <row r="47" spans="1:13" x14ac:dyDescent="0.3">
      <c r="L47" s="1"/>
      <c r="M47" s="1"/>
    </row>
    <row r="48" spans="1:13" x14ac:dyDescent="0.3">
      <c r="L48" s="1"/>
      <c r="M48" s="1"/>
    </row>
  </sheetData>
  <mergeCells count="15">
    <mergeCell ref="L30:M30"/>
    <mergeCell ref="L39:M39"/>
    <mergeCell ref="A4:A20"/>
    <mergeCell ref="C23:D23"/>
    <mergeCell ref="B21:H21"/>
    <mergeCell ref="O21:P21"/>
    <mergeCell ref="A31:A38"/>
    <mergeCell ref="A39:A43"/>
    <mergeCell ref="A44:A45"/>
    <mergeCell ref="B44:E44"/>
    <mergeCell ref="B45:E45"/>
    <mergeCell ref="F31:F38"/>
    <mergeCell ref="G31:G38"/>
    <mergeCell ref="F39:F43"/>
    <mergeCell ref="G39:G4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Silva</dc:creator>
  <cp:lastModifiedBy>Helena Silva</cp:lastModifiedBy>
  <dcterms:created xsi:type="dcterms:W3CDTF">2022-04-25T08:42:27Z</dcterms:created>
  <dcterms:modified xsi:type="dcterms:W3CDTF">2022-05-01T22:00:15Z</dcterms:modified>
</cp:coreProperties>
</file>