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6C62D9E5-95BC-4352-9749-3E42D6B9D6CA}" xr6:coauthVersionLast="47" xr6:coauthVersionMax="47" xr10:uidLastSave="{00000000-0000-0000-0000-000000000000}"/>
  <bookViews>
    <workbookView xWindow="-108" yWindow="-108" windowWidth="23256" windowHeight="12456" activeTab="1" xr2:uid="{FD070C28-706B-43D0-A779-B6A470B86684}"/>
  </bookViews>
  <sheets>
    <sheet name="Amplitude e massa" sheetId="4" r:id="rId1"/>
    <sheet name="Comprim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G2" i="1"/>
  <c r="G5" i="1"/>
  <c r="G8" i="1"/>
  <c r="G11" i="1"/>
  <c r="G14" i="1"/>
  <c r="G17" i="1"/>
  <c r="G20" i="1"/>
  <c r="G23" i="1"/>
  <c r="G26" i="1"/>
  <c r="G29" i="1"/>
  <c r="G32" i="1"/>
  <c r="H2" i="4"/>
  <c r="P31" i="1"/>
  <c r="H29" i="4" l="1"/>
  <c r="H26" i="4"/>
  <c r="H5" i="4"/>
  <c r="H8" i="4"/>
  <c r="H11" i="4"/>
  <c r="H14" i="4"/>
  <c r="H17" i="4"/>
  <c r="H20" i="4"/>
  <c r="H23" i="4"/>
  <c r="W36" i="4"/>
  <c r="W33" i="4"/>
  <c r="U31" i="4"/>
  <c r="U32" i="4"/>
  <c r="U33" i="4"/>
  <c r="X33" i="4" s="1"/>
  <c r="U34" i="4"/>
  <c r="U35" i="4"/>
  <c r="U36" i="4"/>
  <c r="U37" i="4"/>
  <c r="U38" i="4"/>
  <c r="U30" i="4"/>
  <c r="X30" i="4" s="1"/>
  <c r="D38" i="1"/>
  <c r="E20" i="4"/>
  <c r="X36" i="4" l="1"/>
  <c r="W30" i="4"/>
  <c r="B2" i="1"/>
  <c r="R4" i="1" s="1"/>
  <c r="B5" i="1"/>
  <c r="R5" i="1" s="1"/>
  <c r="B8" i="1"/>
  <c r="R6" i="1" s="1"/>
  <c r="B11" i="1"/>
  <c r="R7" i="1" s="1"/>
  <c r="B14" i="1"/>
  <c r="R8" i="1" s="1"/>
  <c r="B17" i="1"/>
  <c r="R9" i="1" s="1"/>
  <c r="B20" i="1"/>
  <c r="R10" i="1" s="1"/>
  <c r="B23" i="1"/>
  <c r="R11" i="1" s="1"/>
  <c r="B26" i="1"/>
  <c r="R12" i="1" s="1"/>
  <c r="B29" i="1"/>
  <c r="R13" i="1" s="1"/>
  <c r="B32" i="1"/>
  <c r="R14" i="1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1" i="4"/>
  <c r="E22" i="4"/>
  <c r="E23" i="4"/>
  <c r="E24" i="4"/>
  <c r="E25" i="4"/>
  <c r="E26" i="4"/>
  <c r="E27" i="4"/>
  <c r="E28" i="4"/>
  <c r="E29" i="4"/>
  <c r="E30" i="4"/>
  <c r="E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G20" i="4" l="1"/>
  <c r="G29" i="4"/>
  <c r="G26" i="4"/>
  <c r="G23" i="4"/>
  <c r="G14" i="4"/>
  <c r="G11" i="4"/>
  <c r="F2" i="1"/>
  <c r="F17" i="1"/>
  <c r="H17" i="1" s="1"/>
  <c r="S9" i="1" s="1"/>
  <c r="G2" i="4"/>
  <c r="G8" i="4"/>
  <c r="G5" i="4"/>
  <c r="G17" i="4"/>
  <c r="F32" i="1"/>
  <c r="F8" i="1"/>
  <c r="F5" i="1"/>
  <c r="F29" i="1"/>
  <c r="F20" i="1"/>
  <c r="F23" i="1"/>
  <c r="F26" i="1"/>
  <c r="F14" i="1"/>
  <c r="F11" i="1"/>
  <c r="S5" i="4" l="1"/>
  <c r="S4" i="4"/>
  <c r="R22" i="4" s="1" a="1"/>
  <c r="S11" i="4"/>
  <c r="S6" i="4"/>
  <c r="S7" i="4"/>
  <c r="S10" i="4"/>
  <c r="H2" i="1"/>
  <c r="S4" i="1" s="1"/>
  <c r="I17" i="1"/>
  <c r="H32" i="1"/>
  <c r="S14" i="1" s="1"/>
  <c r="I32" i="1"/>
  <c r="H8" i="1"/>
  <c r="S6" i="1" s="1"/>
  <c r="I8" i="1"/>
  <c r="H11" i="1"/>
  <c r="S7" i="1" s="1"/>
  <c r="I11" i="1"/>
  <c r="H20" i="1"/>
  <c r="S10" i="1" s="1"/>
  <c r="I20" i="1"/>
  <c r="H29" i="1"/>
  <c r="S13" i="1" s="1"/>
  <c r="I29" i="1"/>
  <c r="H14" i="1"/>
  <c r="S8" i="1" s="1"/>
  <c r="I14" i="1"/>
  <c r="H5" i="1"/>
  <c r="S5" i="1" s="1"/>
  <c r="I5" i="1"/>
  <c r="H26" i="1"/>
  <c r="S12" i="1" s="1"/>
  <c r="I26" i="1"/>
  <c r="H23" i="1"/>
  <c r="S11" i="1" s="1"/>
  <c r="I23" i="1"/>
  <c r="R22" i="4" l="1"/>
  <c r="S24" i="4"/>
  <c r="S23" i="4"/>
  <c r="S22" i="4"/>
  <c r="R24" i="4"/>
  <c r="R23" i="4"/>
  <c r="O23" i="1" a="1"/>
  <c r="T11" i="4" l="1"/>
  <c r="T9" i="4"/>
  <c r="T12" i="4"/>
  <c r="T13" i="4"/>
  <c r="T6" i="4"/>
  <c r="T7" i="4"/>
  <c r="T8" i="4"/>
  <c r="T4" i="4"/>
  <c r="T5" i="4"/>
  <c r="T10" i="4"/>
  <c r="O23" i="1"/>
  <c r="P23" i="1"/>
  <c r="P24" i="1"/>
  <c r="O24" i="1"/>
  <c r="P25" i="1"/>
  <c r="O25" i="1"/>
  <c r="T8" i="1" l="1"/>
  <c r="U8" i="1" s="1"/>
  <c r="T7" i="1"/>
  <c r="U7" i="1" s="1"/>
  <c r="T13" i="1"/>
  <c r="U13" i="1" s="1"/>
  <c r="T11" i="1"/>
  <c r="U11" i="1" s="1"/>
  <c r="T9" i="1"/>
  <c r="U9" i="1" s="1"/>
  <c r="T14" i="1"/>
  <c r="U14" i="1" s="1"/>
  <c r="T6" i="1"/>
  <c r="T4" i="1"/>
  <c r="U4" i="1" s="1"/>
  <c r="T12" i="1"/>
  <c r="U12" i="1" s="1"/>
  <c r="T10" i="1"/>
  <c r="U10" i="1" s="1"/>
  <c r="T5" i="1"/>
  <c r="U5" i="1" s="1"/>
  <c r="W7" i="1"/>
  <c r="V8" i="4"/>
  <c r="U8" i="4"/>
  <c r="W8" i="4"/>
  <c r="W5" i="4"/>
  <c r="V5" i="4"/>
  <c r="U5" i="4"/>
  <c r="V7" i="4"/>
  <c r="W7" i="4"/>
  <c r="U7" i="4"/>
  <c r="U9" i="4"/>
  <c r="V9" i="4"/>
  <c r="W9" i="4"/>
  <c r="W10" i="4"/>
  <c r="U10" i="4"/>
  <c r="V10" i="4"/>
  <c r="U4" i="4"/>
  <c r="V4" i="4"/>
  <c r="W4" i="4"/>
  <c r="U6" i="4"/>
  <c r="V6" i="4"/>
  <c r="W6" i="4"/>
  <c r="V13" i="4"/>
  <c r="W13" i="4"/>
  <c r="U13" i="4"/>
  <c r="W12" i="4"/>
  <c r="U12" i="4"/>
  <c r="V12" i="4"/>
  <c r="U11" i="4"/>
  <c r="W11" i="4"/>
  <c r="V11" i="4"/>
  <c r="P32" i="1"/>
  <c r="P33" i="1"/>
  <c r="V5" i="1" l="1"/>
  <c r="V6" i="1"/>
  <c r="U6" i="1"/>
  <c r="V7" i="1"/>
  <c r="W6" i="1"/>
  <c r="W5" i="1"/>
  <c r="P34" i="1"/>
  <c r="V8" i="1"/>
  <c r="W8" i="1"/>
  <c r="W10" i="1"/>
  <c r="V10" i="1"/>
  <c r="V14" i="1"/>
  <c r="W14" i="1"/>
  <c r="V9" i="1"/>
  <c r="W9" i="1"/>
  <c r="V4" i="1"/>
  <c r="W4" i="1"/>
  <c r="W11" i="1"/>
  <c r="V11" i="1"/>
  <c r="W13" i="1"/>
  <c r="V13" i="1"/>
  <c r="W12" i="1"/>
  <c r="V12" i="1"/>
</calcChain>
</file>

<file path=xl/sharedStrings.xml><?xml version="1.0" encoding="utf-8"?>
<sst xmlns="http://schemas.openxmlformats.org/spreadsheetml/2006/main" count="59" uniqueCount="47">
  <si>
    <t>L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</si>
  <si>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</si>
  <si>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u(L')</t>
  </si>
  <si>
    <t>u(L)</t>
  </si>
  <si>
    <r>
      <t xml:space="preserve">L' /m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0.0005m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</si>
  <si>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0.1s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</si>
  <si>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0.01s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</si>
  <si>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</t>
    </r>
  </si>
  <si>
    <t>u(T̅i) /s</t>
  </si>
  <si>
    <t>m</t>
  </si>
  <si>
    <t>b</t>
  </si>
  <si>
    <t>sb</t>
  </si>
  <si>
    <t>sm</t>
  </si>
  <si>
    <t>r2</t>
  </si>
  <si>
    <t>sy</t>
  </si>
  <si>
    <t>u(g)</t>
  </si>
  <si>
    <t>g</t>
  </si>
  <si>
    <t>Resíduos</t>
  </si>
  <si>
    <r>
      <t>u(T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</si>
  <si>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 /m ± 0.000500m</t>
  </si>
  <si>
    <t>Ensaio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</si>
  <si>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</si>
  <si>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/s</t>
    </r>
  </si>
  <si>
    <t>n.º de oscilações</t>
  </si>
  <si>
    <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/°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</si>
  <si>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 (médio)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</si>
  <si>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/s (médio)</t>
    </r>
  </si>
  <si>
    <r>
      <t>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± 0.1) s</t>
    </r>
  </si>
  <si>
    <t>T^2</t>
  </si>
  <si>
    <t>"+sy"</t>
  </si>
  <si>
    <t>"-sy"</t>
  </si>
  <si>
    <t>Erro %</t>
  </si>
  <si>
    <t>Fit</t>
  </si>
  <si>
    <t>Análise de Dados</t>
  </si>
  <si>
    <t>u(m)</t>
  </si>
  <si>
    <t>u(b)</t>
  </si>
  <si>
    <t>r^2</t>
  </si>
  <si>
    <t>fit</t>
  </si>
  <si>
    <t>resíduos</t>
  </si>
  <si>
    <t>u(g) (%)</t>
  </si>
  <si>
    <t>Análise Estatísitca</t>
  </si>
  <si>
    <t>M1=31,34</t>
  </si>
  <si>
    <t>M2=68,1</t>
  </si>
  <si>
    <t>M3=43,18</t>
  </si>
  <si>
    <r>
      <t xml:space="preserve">(m </t>
    </r>
    <r>
      <rPr>
        <sz val="11"/>
        <color theme="1"/>
        <rFont val="Calibri"/>
        <family val="2"/>
      </rPr>
      <t>± 0,01) g</t>
    </r>
  </si>
  <si>
    <t>h</t>
  </si>
  <si>
    <t>u(h)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</si>
</sst>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6" fontId="0" fillId="0" borderId="25" xfId="0" applyNumberFormat="1" applyBorder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6" fontId="0" fillId="0" borderId="6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4" borderId="2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7" fontId="0" fillId="0" borderId="10" xfId="0" applyNumberFormat="1" applyFon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C52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</a:t>
            </a:r>
            <a:r>
              <a:rPr lang="en-US" sz="2000" baseline="-25000"/>
              <a:t>i</a:t>
            </a:r>
            <a:r>
              <a:rPr lang="en-US" sz="2000"/>
              <a:t>(</a:t>
            </a:r>
            <a:r>
              <a:rPr lang="el-GR" sz="2000" b="0" i="0" u="none" strike="noStrike" baseline="0">
                <a:effectLst/>
              </a:rPr>
              <a:t>θ</a:t>
            </a:r>
            <a:r>
              <a:rPr lang="el-GR" sz="2000" b="0" i="0" u="none" strike="noStrike" baseline="-25000">
                <a:effectLst/>
              </a:rPr>
              <a:t>0</a:t>
            </a:r>
            <a:r>
              <a:rPr lang="pt-PT" sz="2000" b="0" i="0" u="none" strike="noStrike" baseline="0">
                <a:effectLst/>
              </a:rPr>
              <a:t>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T(theta)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9982986678855484E-2"/>
                  <c:y val="0.111084229390681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0,0022x + 1,5356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</c:v>
                </c:pt>
              </c:numLit>
            </c:plus>
            <c:minus>
              <c:numLit>
                <c:formatCode>General</c:formatCode>
                <c:ptCount val="1"/>
                <c:pt idx="0">
                  <c:v>0.5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'Amplitude e massa'!$H$2:$H$30</c:f>
                <c:numCache>
                  <c:formatCode>General</c:formatCode>
                  <c:ptCount val="29"/>
                  <c:pt idx="0">
                    <c:v>1.7987650084309373E-2</c:v>
                  </c:pt>
                  <c:pt idx="3">
                    <c:v>4.4555417012807465E-3</c:v>
                  </c:pt>
                  <c:pt idx="6">
                    <c:v>2.0582264929536569E-2</c:v>
                  </c:pt>
                  <c:pt idx="9">
                    <c:v>5.3541261347363608E-3</c:v>
                  </c:pt>
                  <c:pt idx="12">
                    <c:v>1.0077477638554022E-2</c:v>
                  </c:pt>
                  <c:pt idx="15">
                    <c:v>3.0307070437745783E-3</c:v>
                  </c:pt>
                  <c:pt idx="18">
                    <c:v>5.9690560082503478E-3</c:v>
                  </c:pt>
                  <c:pt idx="21">
                    <c:v>1.0987460117579112E-2</c:v>
                  </c:pt>
                  <c:pt idx="24">
                    <c:v>2.1256807188565333E-3</c:v>
                  </c:pt>
                  <c:pt idx="27">
                    <c:v>1.0901229543292663E-2</c:v>
                  </c:pt>
                </c:numCache>
              </c:numRef>
            </c:plus>
            <c:minus>
              <c:numRef>
                <c:f>'Amplitude e massa'!$H$2:$H$30</c:f>
                <c:numCache>
                  <c:formatCode>General</c:formatCode>
                  <c:ptCount val="29"/>
                  <c:pt idx="0">
                    <c:v>1.7987650084309373E-2</c:v>
                  </c:pt>
                  <c:pt idx="3">
                    <c:v>4.4555417012807465E-3</c:v>
                  </c:pt>
                  <c:pt idx="6">
                    <c:v>2.0582264929536569E-2</c:v>
                  </c:pt>
                  <c:pt idx="9">
                    <c:v>5.3541261347363608E-3</c:v>
                  </c:pt>
                  <c:pt idx="12">
                    <c:v>1.0077477638554022E-2</c:v>
                  </c:pt>
                  <c:pt idx="15">
                    <c:v>3.0307070437745783E-3</c:v>
                  </c:pt>
                  <c:pt idx="18">
                    <c:v>5.9690560082503478E-3</c:v>
                  </c:pt>
                  <c:pt idx="21">
                    <c:v>1.0987460117579112E-2</c:v>
                  </c:pt>
                  <c:pt idx="24">
                    <c:v>2.1256807188565333E-3</c:v>
                  </c:pt>
                  <c:pt idx="27">
                    <c:v>1.0901229543292663E-2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'Amplitude e massa'!$R$4:$R$13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</c:numCache>
            </c:numRef>
          </c:xVal>
          <c:yVal>
            <c:numRef>
              <c:f>'Amplitude e massa'!$S$4:$S$13</c:f>
              <c:numCache>
                <c:formatCode>0.00</c:formatCode>
                <c:ptCount val="10"/>
                <c:pt idx="0">
                  <c:v>1.5620000000000001</c:v>
                </c:pt>
                <c:pt idx="1">
                  <c:v>1.5586666666666666</c:v>
                </c:pt>
                <c:pt idx="2">
                  <c:v>1.547666666666667</c:v>
                </c:pt>
                <c:pt idx="3">
                  <c:v>1.5609999999999999</c:v>
                </c:pt>
                <c:pt idx="4" formatCode="General">
                  <c:v>1.56</c:v>
                </c:pt>
                <c:pt idx="5" formatCode="General">
                  <c:v>1.57</c:v>
                </c:pt>
                <c:pt idx="6">
                  <c:v>1.5366666666666668</c:v>
                </c:pt>
                <c:pt idx="7">
                  <c:v>1.6114444444444445</c:v>
                </c:pt>
                <c:pt idx="8" formatCode="General">
                  <c:v>1.64</c:v>
                </c:pt>
                <c:pt idx="9" formatCode="General">
                  <c:v>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B-47CE-B8F0-6D9D2CF54194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'Amplitude e massa'!$R$4:$R$13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</c:numCache>
            </c:numRef>
          </c:xVal>
          <c:yVal>
            <c:numRef>
              <c:f>'Amplitude e massa'!$V$4:$V$13</c:f>
              <c:numCache>
                <c:formatCode>0.00</c:formatCode>
                <c:ptCount val="10"/>
                <c:pt idx="0">
                  <c:v>1.5696136484134204</c:v>
                </c:pt>
                <c:pt idx="1">
                  <c:v>1.5739745757529737</c:v>
                </c:pt>
                <c:pt idx="2">
                  <c:v>1.578335503092527</c:v>
                </c:pt>
                <c:pt idx="3">
                  <c:v>1.5826964304320803</c:v>
                </c:pt>
                <c:pt idx="4">
                  <c:v>1.5870573577716336</c:v>
                </c:pt>
                <c:pt idx="5">
                  <c:v>1.6088619944694</c:v>
                </c:pt>
                <c:pt idx="6">
                  <c:v>1.6306666311671665</c:v>
                </c:pt>
                <c:pt idx="7">
                  <c:v>1.6524712678649329</c:v>
                </c:pt>
                <c:pt idx="8">
                  <c:v>1.6742759045626994</c:v>
                </c:pt>
                <c:pt idx="9">
                  <c:v>1.6960805412604658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7B-411C-94D9-B4F4BD20127E}"/>
            </c:ext>
          </c:extLst>
        </c:ser>
        <c:ser>
          <c:idx val="2"/>
          <c:order val="2"/>
          <c:tx>
            <c:v>-sy+Amplitude!$T$2:$T$11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'Amplitude e massa'!$R$4:$R$13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</c:numCache>
            </c:numRef>
          </c:xVal>
          <c:yVal>
            <c:numRef>
              <c:f>'Amplitude e massa'!$W$4:$W$13</c:f>
              <c:numCache>
                <c:formatCode>0.00</c:formatCode>
                <c:ptCount val="10"/>
                <c:pt idx="0">
                  <c:v>1.5102957663448497</c:v>
                </c:pt>
                <c:pt idx="1">
                  <c:v>1.514656693684403</c:v>
                </c:pt>
                <c:pt idx="2">
                  <c:v>1.5190176210239563</c:v>
                </c:pt>
                <c:pt idx="3">
                  <c:v>1.5233785483635096</c:v>
                </c:pt>
                <c:pt idx="4">
                  <c:v>1.5277394757030629</c:v>
                </c:pt>
                <c:pt idx="5">
                  <c:v>1.5495441124008293</c:v>
                </c:pt>
                <c:pt idx="6">
                  <c:v>1.5713487490985958</c:v>
                </c:pt>
                <c:pt idx="7">
                  <c:v>1.5931533857963622</c:v>
                </c:pt>
                <c:pt idx="8">
                  <c:v>1.6149580224941287</c:v>
                </c:pt>
                <c:pt idx="9">
                  <c:v>1.6367626591918951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7B-411C-94D9-B4F4BD201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15232"/>
        <c:axId val="672310240"/>
      </c:scatterChart>
      <c:valAx>
        <c:axId val="672315232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el-GR" sz="1400" baseline="-25000"/>
                  <a:t>0</a:t>
                </a:r>
                <a:r>
                  <a:rPr lang="el-GR" sz="1400" baseline="0"/>
                  <a:t> /°</a:t>
                </a:r>
                <a:endParaRPr lang="pt-PT" sz="1400" baseline="0"/>
              </a:p>
            </c:rich>
          </c:tx>
          <c:layout>
            <c:manualLayout>
              <c:xMode val="edge"/>
              <c:yMode val="edge"/>
              <c:x val="0.50976467964887084"/>
              <c:y val="0.87724693391909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0240"/>
        <c:crosses val="autoZero"/>
        <c:crossBetween val="midCat"/>
      </c:valAx>
      <c:valAx>
        <c:axId val="672310240"/>
        <c:scaling>
          <c:orientation val="minMax"/>
          <c:max val="1.7500000000000002"/>
          <c:min val="1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i</a:t>
                </a:r>
                <a:r>
                  <a:rPr lang="pt-PT" sz="1400"/>
                  <a:t>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5232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'Amplitude e massa'!$R$4:$R$13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</c:numCache>
            </c:numRef>
          </c:xVal>
          <c:yVal>
            <c:numRef>
              <c:f>'Amplitude e massa'!$U$4:$U$13</c:f>
              <c:numCache>
                <c:formatCode>0.00</c:formatCode>
                <c:ptCount val="10"/>
                <c:pt idx="0">
                  <c:v>2.2045292620864965E-2</c:v>
                </c:pt>
                <c:pt idx="1">
                  <c:v>1.4351031947978266E-2</c:v>
                </c:pt>
                <c:pt idx="2">
                  <c:v>-1.0098953915747E-3</c:v>
                </c:pt>
                <c:pt idx="3">
                  <c:v>7.9625106022049863E-3</c:v>
                </c:pt>
                <c:pt idx="4">
                  <c:v>2.6015832626518076E-3</c:v>
                </c:pt>
                <c:pt idx="5">
                  <c:v>-9.2030534351146276E-3</c:v>
                </c:pt>
                <c:pt idx="6">
                  <c:v>-6.4341023466214287E-2</c:v>
                </c:pt>
                <c:pt idx="7">
                  <c:v>-1.1367882386203121E-2</c:v>
                </c:pt>
                <c:pt idx="8">
                  <c:v>-4.6169635284141197E-3</c:v>
                </c:pt>
                <c:pt idx="9">
                  <c:v>4.3578399773819498E-2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E-494E-8C74-C66A46AB0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25375"/>
        <c:axId val="465028703"/>
      </c:scatterChart>
      <c:valAx>
        <c:axId val="46502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θ</a:t>
                </a:r>
                <a:r>
                  <a:rPr lang="el-GR" sz="1400" b="0" i="0" baseline="-25000">
                    <a:effectLst/>
                  </a:rPr>
                  <a:t>0</a:t>
                </a:r>
                <a:r>
                  <a:rPr lang="el-GR" sz="1400" b="0" i="0" baseline="0">
                    <a:effectLst/>
                  </a:rPr>
                  <a:t> /°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28703"/>
        <c:crossesAt val="-10000"/>
        <c:crossBetween val="midCat"/>
      </c:valAx>
      <c:valAx>
        <c:axId val="46502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2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</a:t>
            </a:r>
            <a:r>
              <a:rPr lang="en-US" sz="2000" baseline="30000"/>
              <a:t>2</a:t>
            </a:r>
            <a:r>
              <a:rPr lang="en-US" sz="2000"/>
              <a:t>(L)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955831396363245"/>
                  <c:y val="6.58180027707928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4,1357x + 0,007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Comprimento!$D$38</c:f>
                <c:numCache>
                  <c:formatCode>General</c:formatCode>
                  <c:ptCount val="1"/>
                  <c:pt idx="0">
                    <c:v>5.0039984012787211E-4</c:v>
                  </c:pt>
                </c:numCache>
              </c:numRef>
            </c:plus>
            <c:minus>
              <c:numRef>
                <c:f>Comprimento!$D$38</c:f>
                <c:numCache>
                  <c:formatCode>General</c:formatCode>
                  <c:ptCount val="1"/>
                  <c:pt idx="0">
                    <c:v>5.0039984012787211E-4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Comprimento!$I$2:$I$49</c:f>
                <c:numCache>
                  <c:formatCode>General</c:formatCode>
                  <c:ptCount val="48"/>
                  <c:pt idx="0">
                    <c:v>5.177282198918938E-2</c:v>
                  </c:pt>
                  <c:pt idx="3">
                    <c:v>1.4411175325251657E-2</c:v>
                  </c:pt>
                  <c:pt idx="6">
                    <c:v>1.0767742559858573E-2</c:v>
                  </c:pt>
                  <c:pt idx="9">
                    <c:v>2.1125750690925652E-2</c:v>
                  </c:pt>
                  <c:pt idx="12">
                    <c:v>3.2687677344923126E-3</c:v>
                  </c:pt>
                  <c:pt idx="15">
                    <c:v>6.5903058772378426E-3</c:v>
                  </c:pt>
                  <c:pt idx="18">
                    <c:v>6.0386919113331232E-3</c:v>
                  </c:pt>
                  <c:pt idx="21">
                    <c:v>2.6909132995164415E-2</c:v>
                  </c:pt>
                  <c:pt idx="24">
                    <c:v>1.2515324845306203E-2</c:v>
                  </c:pt>
                  <c:pt idx="27">
                    <c:v>9.0983121231199855E-3</c:v>
                  </c:pt>
                  <c:pt idx="30">
                    <c:v>1.8723843821190456E-2</c:v>
                  </c:pt>
                </c:numCache>
              </c:numRef>
            </c:plus>
            <c:minus>
              <c:numRef>
                <c:f>Comprimento!$I$2:$I$49</c:f>
                <c:numCache>
                  <c:formatCode>General</c:formatCode>
                  <c:ptCount val="48"/>
                  <c:pt idx="0">
                    <c:v>5.177282198918938E-2</c:v>
                  </c:pt>
                  <c:pt idx="3">
                    <c:v>1.4411175325251657E-2</c:v>
                  </c:pt>
                  <c:pt idx="6">
                    <c:v>1.0767742559858573E-2</c:v>
                  </c:pt>
                  <c:pt idx="9">
                    <c:v>2.1125750690925652E-2</c:v>
                  </c:pt>
                  <c:pt idx="12">
                    <c:v>3.2687677344923126E-3</c:v>
                  </c:pt>
                  <c:pt idx="15">
                    <c:v>6.5903058772378426E-3</c:v>
                  </c:pt>
                  <c:pt idx="18">
                    <c:v>6.0386919113331232E-3</c:v>
                  </c:pt>
                  <c:pt idx="21">
                    <c:v>2.6909132995164415E-2</c:v>
                  </c:pt>
                  <c:pt idx="24">
                    <c:v>1.2515324845306203E-2</c:v>
                  </c:pt>
                  <c:pt idx="27">
                    <c:v>9.0983121231199855E-3</c:v>
                  </c:pt>
                  <c:pt idx="30">
                    <c:v>1.8723843821190456E-2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Comprimento!$R$4:$R$14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Comprimento!$S$4:$S$14</c:f>
              <c:numCache>
                <c:formatCode>0.00</c:formatCode>
                <c:ptCount val="11"/>
                <c:pt idx="0">
                  <c:v>2.616845444444444</c:v>
                </c:pt>
                <c:pt idx="1">
                  <c:v>2.4004337777777773</c:v>
                </c:pt>
                <c:pt idx="2">
                  <c:v>2.275069444444445</c:v>
                </c:pt>
                <c:pt idx="3">
                  <c:v>2.0382321111111104</c:v>
                </c:pt>
                <c:pt idx="4">
                  <c:v>1.8979654444444443</c:v>
                </c:pt>
                <c:pt idx="5">
                  <c:v>1.7450409999999998</c:v>
                </c:pt>
                <c:pt idx="6">
                  <c:v>1.6409610000000003</c:v>
                </c:pt>
                <c:pt idx="7">
                  <c:v>1.4384004444444445</c:v>
                </c:pt>
                <c:pt idx="8">
                  <c:v>1.2380271111111112</c:v>
                </c:pt>
                <c:pt idx="9">
                  <c:v>1.0913284444444449</c:v>
                </c:pt>
                <c:pt idx="10">
                  <c:v>0.9383151111111111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8A-4B22-85FC-17BB3E02A277}"/>
            </c:ext>
          </c:extLst>
        </c:ser>
        <c:ser>
          <c:idx val="1"/>
          <c:order val="1"/>
          <c:tx>
            <c:v>sy pos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Comprimento!$R$4:$R$14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Comprimento!$V$4:$V$14</c:f>
              <c:numCache>
                <c:formatCode>0.00</c:formatCode>
                <c:ptCount val="11"/>
                <c:pt idx="0">
                  <c:v>2.6138635730755699</c:v>
                </c:pt>
                <c:pt idx="1">
                  <c:v>2.448437502368499</c:v>
                </c:pt>
                <c:pt idx="2">
                  <c:v>2.2830114316614276</c:v>
                </c:pt>
                <c:pt idx="3">
                  <c:v>2.1175853609543567</c:v>
                </c:pt>
                <c:pt idx="4">
                  <c:v>1.9521592902472853</c:v>
                </c:pt>
                <c:pt idx="5">
                  <c:v>1.7867332195402141</c:v>
                </c:pt>
                <c:pt idx="6">
                  <c:v>1.621307148833143</c:v>
                </c:pt>
                <c:pt idx="7">
                  <c:v>1.455881078126076</c:v>
                </c:pt>
                <c:pt idx="8">
                  <c:v>1.2904550074190049</c:v>
                </c:pt>
                <c:pt idx="9">
                  <c:v>1.1250289367119337</c:v>
                </c:pt>
                <c:pt idx="10">
                  <c:v>0.95960286600486244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C-4BC5-ACF0-0A4600362A06}"/>
            </c:ext>
          </c:extLst>
        </c:ser>
        <c:ser>
          <c:idx val="2"/>
          <c:order val="2"/>
          <c:tx>
            <c:v>sy neg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Comprimento!$R$4:$R$14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Comprimento!$W$4:$W$14</c:f>
              <c:numCache>
                <c:formatCode>0.00</c:formatCode>
                <c:ptCount val="11"/>
                <c:pt idx="0">
                  <c:v>2.553237012783018</c:v>
                </c:pt>
                <c:pt idx="1">
                  <c:v>2.387810942075947</c:v>
                </c:pt>
                <c:pt idx="2">
                  <c:v>2.2223848713688756</c:v>
                </c:pt>
                <c:pt idx="3">
                  <c:v>2.0569588006618047</c:v>
                </c:pt>
                <c:pt idx="4">
                  <c:v>1.8915327299547333</c:v>
                </c:pt>
                <c:pt idx="5">
                  <c:v>1.7261066592476622</c:v>
                </c:pt>
                <c:pt idx="6">
                  <c:v>1.560680588540591</c:v>
                </c:pt>
                <c:pt idx="7">
                  <c:v>1.3952545178335241</c:v>
                </c:pt>
                <c:pt idx="8">
                  <c:v>1.2298284471264529</c:v>
                </c:pt>
                <c:pt idx="9">
                  <c:v>1.0644023764193817</c:v>
                </c:pt>
                <c:pt idx="10">
                  <c:v>0.89897630571231069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DC-4BC5-ACF0-0A460036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027808"/>
        <c:axId val="1988672464"/>
      </c:scatterChart>
      <c:valAx>
        <c:axId val="1908027808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72464"/>
        <c:crosses val="autoZero"/>
        <c:crossBetween val="midCat"/>
        <c:majorUnit val="0.1"/>
      </c:valAx>
      <c:valAx>
        <c:axId val="1988672464"/>
        <c:scaling>
          <c:orientation val="minMax"/>
          <c:max val="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T</a:t>
                </a:r>
                <a:r>
                  <a:rPr lang="pt-PT" sz="1600" baseline="30000"/>
                  <a:t>2 </a:t>
                </a:r>
                <a:r>
                  <a:rPr lang="pt-PT" sz="1600"/>
                  <a:t>/s</a:t>
                </a:r>
                <a:r>
                  <a:rPr lang="pt-PT" sz="16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Resíduos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Comprimento!$R$4:$R$14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Comprimento!$U$4:$U$14</c:f>
              <c:numCache>
                <c:formatCode>0.00</c:formatCode>
                <c:ptCount val="11"/>
                <c:pt idx="0">
                  <c:v>3.3295151515150057E-2</c:v>
                </c:pt>
                <c:pt idx="1">
                  <c:v>-1.7690444444445674E-2</c:v>
                </c:pt>
                <c:pt idx="2">
                  <c:v>2.2371292929293407E-2</c:v>
                </c:pt>
                <c:pt idx="3">
                  <c:v>-4.9039969696970331E-2</c:v>
                </c:pt>
                <c:pt idx="4">
                  <c:v>-2.3880565656565045E-2</c:v>
                </c:pt>
                <c:pt idx="5">
                  <c:v>-1.1378939393938303E-2</c:v>
                </c:pt>
                <c:pt idx="6">
                  <c:v>4.9967131313133351E-2</c:v>
                </c:pt>
                <c:pt idx="7">
                  <c:v>1.2832646464644437E-2</c:v>
                </c:pt>
                <c:pt idx="8">
                  <c:v>-2.2114616161617695E-2</c:v>
                </c:pt>
                <c:pt idx="9">
                  <c:v>-3.3872121212128459E-3</c:v>
                </c:pt>
                <c:pt idx="10">
                  <c:v>9.0255252525245355E-3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A1-4BEE-907A-E9E253625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05344"/>
        <c:axId val="623805760"/>
      </c:scatterChart>
      <c:valAx>
        <c:axId val="623805344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05760"/>
        <c:crossesAt val="-4.0000000000000008E-2"/>
        <c:crossBetween val="midCat"/>
        <c:majorUnit val="0.1"/>
      </c:valAx>
      <c:valAx>
        <c:axId val="623805760"/>
        <c:scaling>
          <c:orientation val="minMax"/>
          <c:max val="3.0000000000000006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66098</xdr:colOff>
      <xdr:row>0</xdr:row>
      <xdr:rowOff>163285</xdr:rowOff>
    </xdr:from>
    <xdr:to>
      <xdr:col>21</xdr:col>
      <xdr:colOff>163286</xdr:colOff>
      <xdr:row>18</xdr:row>
      <xdr:rowOff>104056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6088BA-0B6B-BE1B-9B42-2340586E1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217715</xdr:colOff>
      <xdr:row>0</xdr:row>
      <xdr:rowOff>162003</xdr:rowOff>
    </xdr:from>
    <xdr:to>
      <xdr:col>27</xdr:col>
      <xdr:colOff>533400</xdr:colOff>
      <xdr:row>18</xdr:row>
      <xdr:rowOff>102774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9DBC6-DCDE-E8DC-56C2-E0098A28C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162997</xdr:colOff>
      <xdr:row>0</xdr:row>
      <xdr:rowOff>0</xdr:rowOff>
    </xdr:from>
    <xdr:to>
      <xdr:col>23</xdr:col>
      <xdr:colOff>533403</xdr:colOff>
      <xdr:row>19</xdr:row>
      <xdr:rowOff>70087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49F010-EFF9-4CF5-851F-34D1C5090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765241</xdr:colOff>
      <xdr:row>20</xdr:row>
      <xdr:rowOff>54201</xdr:rowOff>
    </xdr:from>
    <xdr:to>
      <xdr:col>26</xdr:col>
      <xdr:colOff>293914</xdr:colOff>
      <xdr:row>38</xdr:row>
      <xdr:rowOff>119741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12E228-94F5-E835-7EF4-9FFCD4238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FE82-09F3-49DA-BC43-6EBE1F0F356E}">
  <dimension ref="A1:X38"/>
  <sheetViews>
    <sheetView zoomScale="70" zoomScaleNormal="70" workbookViewId="0">
      <selection activeCell="H2" sqref="H2:H4"/>
    </sheetView>
  </sheetViews>
  <sheetFormatPr defaultRowHeight="14.4" x14ac:dyDescent="0.3"/>
  <cols>
    <col min="1" max="2" width="8.88671875" style="77"/>
    <col min="3" max="3" width="9.33203125" style="77" bestFit="1" customWidth="1"/>
    <col min="4" max="4" width="14.88671875" style="77" bestFit="1" customWidth="1"/>
    <col min="5" max="5" width="9.33203125" style="77" customWidth="1"/>
    <col min="6" max="6" width="12.5546875" style="77" customWidth="1"/>
    <col min="7" max="7" width="14.6640625" style="77" customWidth="1"/>
    <col min="8" max="8" width="13.77734375" style="77" customWidth="1"/>
    <col min="9" max="9" width="8.33203125" style="77" customWidth="1"/>
    <col min="10" max="14" width="8.88671875" style="77"/>
    <col min="15" max="15" width="8.88671875" style="77" customWidth="1"/>
    <col min="16" max="17" width="8.88671875" style="77"/>
    <col min="18" max="18" width="11.5546875" style="77" customWidth="1"/>
    <col min="19" max="19" width="9.5546875" style="77" customWidth="1"/>
    <col min="20" max="20" width="10.33203125" style="77" customWidth="1"/>
    <col min="21" max="21" width="9.88671875" style="77" customWidth="1"/>
    <col min="22" max="22" width="10.33203125" style="77" customWidth="1"/>
    <col min="23" max="23" width="14.44140625" style="77" customWidth="1"/>
    <col min="24" max="24" width="14.33203125" style="77" customWidth="1"/>
    <col min="25" max="16384" width="8.88671875" style="77"/>
  </cols>
  <sheetData>
    <row r="1" spans="1:23" ht="16.2" thickBot="1" x14ac:dyDescent="0.35">
      <c r="A1" s="7" t="s">
        <v>24</v>
      </c>
      <c r="B1" s="5" t="s">
        <v>20</v>
      </c>
      <c r="C1" s="6" t="s">
        <v>27</v>
      </c>
      <c r="D1" s="5" t="s">
        <v>23</v>
      </c>
      <c r="E1" s="6" t="s">
        <v>21</v>
      </c>
      <c r="F1" s="6" t="s">
        <v>22</v>
      </c>
      <c r="G1" s="6" t="s">
        <v>25</v>
      </c>
      <c r="H1" s="67" t="s">
        <v>26</v>
      </c>
    </row>
    <row r="2" spans="1:23" x14ac:dyDescent="0.3">
      <c r="A2" s="39">
        <v>2</v>
      </c>
      <c r="B2" s="8">
        <v>1</v>
      </c>
      <c r="C2" s="29">
        <v>15.82</v>
      </c>
      <c r="D2" s="34">
        <v>10</v>
      </c>
      <c r="E2" s="29">
        <f>C2/D2</f>
        <v>1.5820000000000001</v>
      </c>
      <c r="F2" s="29">
        <v>0.01</v>
      </c>
      <c r="G2" s="42">
        <f>(E2+E3+E4)/3</f>
        <v>1.5620000000000001</v>
      </c>
      <c r="H2" s="68">
        <f>_xlfn.STDEV.P(E2:E4)/SQRT(3)</f>
        <v>1.7987650084309373E-2</v>
      </c>
    </row>
    <row r="3" spans="1:23" x14ac:dyDescent="0.3">
      <c r="A3" s="40"/>
      <c r="B3" s="3">
        <v>2</v>
      </c>
      <c r="C3" s="23">
        <v>15.18</v>
      </c>
      <c r="D3" s="32">
        <v>10</v>
      </c>
      <c r="E3" s="30">
        <f t="shared" ref="E3:E30" si="0">C3/D3</f>
        <v>1.518</v>
      </c>
      <c r="F3" s="30">
        <v>0.01</v>
      </c>
      <c r="G3" s="43"/>
      <c r="H3" s="69"/>
      <c r="T3" s="77" t="s">
        <v>37</v>
      </c>
      <c r="U3" s="77" t="s">
        <v>38</v>
      </c>
      <c r="V3" s="77" t="s">
        <v>29</v>
      </c>
      <c r="W3" s="77" t="s">
        <v>30</v>
      </c>
    </row>
    <row r="4" spans="1:23" ht="15" thickBot="1" x14ac:dyDescent="0.35">
      <c r="A4" s="41"/>
      <c r="B4" s="9">
        <v>3</v>
      </c>
      <c r="C4" s="24">
        <v>15.86</v>
      </c>
      <c r="D4" s="33">
        <v>10</v>
      </c>
      <c r="E4" s="31">
        <f t="shared" si="0"/>
        <v>1.5859999999999999</v>
      </c>
      <c r="F4" s="31">
        <v>0.01</v>
      </c>
      <c r="G4" s="44"/>
      <c r="H4" s="70"/>
      <c r="R4" s="77">
        <v>2</v>
      </c>
      <c r="S4" s="78">
        <f>G2</f>
        <v>1.5620000000000001</v>
      </c>
      <c r="T4" s="78">
        <f>R4*$R$22+$S$22</f>
        <v>1.5399547073791351</v>
      </c>
      <c r="U4" s="78">
        <f>S4-T4</f>
        <v>2.2045292620864965E-2</v>
      </c>
      <c r="V4" s="78">
        <f>T4+$S$24</f>
        <v>1.5696136484134204</v>
      </c>
      <c r="W4" s="78">
        <f>T4-$S$24</f>
        <v>1.5102957663448497</v>
      </c>
    </row>
    <row r="5" spans="1:23" x14ac:dyDescent="0.3">
      <c r="A5" s="39">
        <v>4</v>
      </c>
      <c r="B5" s="10">
        <v>1</v>
      </c>
      <c r="C5" s="25">
        <v>15.66</v>
      </c>
      <c r="D5" s="34">
        <v>10</v>
      </c>
      <c r="E5" s="29">
        <f t="shared" si="0"/>
        <v>1.5660000000000001</v>
      </c>
      <c r="F5" s="29">
        <v>0.01</v>
      </c>
      <c r="G5" s="42">
        <f t="shared" ref="G5" si="1">(E5+E6+E7)/3</f>
        <v>1.5586666666666666</v>
      </c>
      <c r="H5" s="68">
        <f t="shared" ref="H5" si="2">_xlfn.STDEV.P(E5:E7)/SQRT(3)</f>
        <v>4.4555417012807465E-3</v>
      </c>
      <c r="R5" s="77">
        <v>4</v>
      </c>
      <c r="S5" s="78">
        <f>G5</f>
        <v>1.5586666666666666</v>
      </c>
      <c r="T5" s="78">
        <f>R5*$R$22+$S$22</f>
        <v>1.5443156347186884</v>
      </c>
      <c r="U5" s="78">
        <f t="shared" ref="U5:U13" si="3">S5-T5</f>
        <v>1.4351031947978266E-2</v>
      </c>
      <c r="V5" s="78">
        <f>T5+$S$24</f>
        <v>1.5739745757529737</v>
      </c>
      <c r="W5" s="78">
        <f>T5-$S$24</f>
        <v>1.514656693684403</v>
      </c>
    </row>
    <row r="6" spans="1:23" x14ac:dyDescent="0.3">
      <c r="A6" s="40"/>
      <c r="B6" s="4">
        <v>2</v>
      </c>
      <c r="C6" s="23">
        <v>15.48</v>
      </c>
      <c r="D6" s="32">
        <v>10</v>
      </c>
      <c r="E6" s="30">
        <f t="shared" si="0"/>
        <v>1.548</v>
      </c>
      <c r="F6" s="30">
        <v>0.01</v>
      </c>
      <c r="G6" s="43"/>
      <c r="H6" s="69"/>
      <c r="R6" s="77">
        <v>6</v>
      </c>
      <c r="S6" s="78">
        <f>G8</f>
        <v>1.547666666666667</v>
      </c>
      <c r="T6" s="78">
        <f>R6*$R$22+$S$22</f>
        <v>1.5486765620582417</v>
      </c>
      <c r="U6" s="78">
        <f t="shared" si="3"/>
        <v>-1.0098953915747E-3</v>
      </c>
      <c r="V6" s="78">
        <f>T6+$S$24</f>
        <v>1.578335503092527</v>
      </c>
      <c r="W6" s="78">
        <f>T6-$S$24</f>
        <v>1.5190176210239563</v>
      </c>
    </row>
    <row r="7" spans="1:23" ht="15" thickBot="1" x14ac:dyDescent="0.35">
      <c r="A7" s="41"/>
      <c r="B7" s="11">
        <v>3</v>
      </c>
      <c r="C7" s="24">
        <v>15.62</v>
      </c>
      <c r="D7" s="33">
        <v>10</v>
      </c>
      <c r="E7" s="31">
        <f t="shared" si="0"/>
        <v>1.5619999999999998</v>
      </c>
      <c r="F7" s="31">
        <v>0.01</v>
      </c>
      <c r="G7" s="44"/>
      <c r="H7" s="70"/>
      <c r="R7" s="77">
        <v>8</v>
      </c>
      <c r="S7" s="78">
        <f>G11</f>
        <v>1.5609999999999999</v>
      </c>
      <c r="T7" s="78">
        <f>R7*$R$22+$S$22</f>
        <v>1.553037489397795</v>
      </c>
      <c r="U7" s="78">
        <f t="shared" si="3"/>
        <v>7.9625106022049863E-3</v>
      </c>
      <c r="V7" s="78">
        <f>T7+$S$24</f>
        <v>1.5826964304320803</v>
      </c>
      <c r="W7" s="78">
        <f>T7-$S$24</f>
        <v>1.5233785483635096</v>
      </c>
    </row>
    <row r="8" spans="1:23" x14ac:dyDescent="0.3">
      <c r="A8" s="39">
        <v>6</v>
      </c>
      <c r="B8" s="8">
        <v>1</v>
      </c>
      <c r="C8" s="25">
        <v>15.98</v>
      </c>
      <c r="D8" s="34">
        <v>10</v>
      </c>
      <c r="E8" s="29">
        <f t="shared" si="0"/>
        <v>1.5980000000000001</v>
      </c>
      <c r="F8" s="29">
        <v>0.01</v>
      </c>
      <c r="G8" s="42">
        <f t="shared" ref="G8" si="4">(E8+E9+E10)/3</f>
        <v>1.547666666666667</v>
      </c>
      <c r="H8" s="68">
        <f t="shared" ref="H8" si="5">_xlfn.STDEV.P(E8:E10)/SQRT(3)</f>
        <v>2.0582264929536569E-2</v>
      </c>
      <c r="R8" s="77">
        <v>10</v>
      </c>
      <c r="S8" s="77">
        <v>1.56</v>
      </c>
      <c r="T8" s="78">
        <f>R8*$R$22+$S$22</f>
        <v>1.5573984167373482</v>
      </c>
      <c r="U8" s="78">
        <f t="shared" si="3"/>
        <v>2.6015832626518076E-3</v>
      </c>
      <c r="V8" s="78">
        <f>T8+$S$24</f>
        <v>1.5870573577716336</v>
      </c>
      <c r="W8" s="78">
        <f>T8-$S$24</f>
        <v>1.5277394757030629</v>
      </c>
    </row>
    <row r="9" spans="1:23" x14ac:dyDescent="0.3">
      <c r="A9" s="40"/>
      <c r="B9" s="3">
        <v>2</v>
      </c>
      <c r="C9" s="23">
        <v>15.2</v>
      </c>
      <c r="D9" s="32">
        <v>10</v>
      </c>
      <c r="E9" s="30">
        <f t="shared" si="0"/>
        <v>1.52</v>
      </c>
      <c r="F9" s="30">
        <v>0.01</v>
      </c>
      <c r="G9" s="43"/>
      <c r="H9" s="69"/>
      <c r="R9" s="77">
        <v>20</v>
      </c>
      <c r="S9" s="77">
        <v>1.57</v>
      </c>
      <c r="T9" s="78">
        <f>R9*$R$22+$S$22</f>
        <v>1.5792030534351147</v>
      </c>
      <c r="U9" s="78">
        <f t="shared" si="3"/>
        <v>-9.2030534351146276E-3</v>
      </c>
      <c r="V9" s="78">
        <f>T9+$S$24</f>
        <v>1.6088619944694</v>
      </c>
      <c r="W9" s="78">
        <f>T9-$S$24</f>
        <v>1.5495441124008293</v>
      </c>
    </row>
    <row r="10" spans="1:23" ht="15" thickBot="1" x14ac:dyDescent="0.35">
      <c r="A10" s="41"/>
      <c r="B10" s="9">
        <v>3</v>
      </c>
      <c r="C10" s="24">
        <v>15.25</v>
      </c>
      <c r="D10" s="33">
        <v>10</v>
      </c>
      <c r="E10" s="31">
        <f t="shared" si="0"/>
        <v>1.5249999999999999</v>
      </c>
      <c r="F10" s="31">
        <v>0.01</v>
      </c>
      <c r="G10" s="44"/>
      <c r="H10" s="70"/>
      <c r="R10" s="77">
        <v>30</v>
      </c>
      <c r="S10" s="78">
        <f>G20</f>
        <v>1.5366666666666668</v>
      </c>
      <c r="T10" s="78">
        <f>R10*$R$22+$S$22</f>
        <v>1.6010076901328811</v>
      </c>
      <c r="U10" s="78">
        <f t="shared" si="3"/>
        <v>-6.4341023466214287E-2</v>
      </c>
      <c r="V10" s="78">
        <f>T10+$S$24</f>
        <v>1.6306666311671665</v>
      </c>
      <c r="W10" s="78">
        <f>T10-$S$24</f>
        <v>1.5713487490985958</v>
      </c>
    </row>
    <row r="11" spans="1:23" x14ac:dyDescent="0.3">
      <c r="A11" s="39">
        <v>8</v>
      </c>
      <c r="B11" s="10">
        <v>1</v>
      </c>
      <c r="C11" s="25">
        <v>15.56</v>
      </c>
      <c r="D11" s="34">
        <v>10</v>
      </c>
      <c r="E11" s="29">
        <f t="shared" si="0"/>
        <v>1.556</v>
      </c>
      <c r="F11" s="29">
        <v>0.01</v>
      </c>
      <c r="G11" s="42">
        <f t="shared" ref="G11" si="6">(E11+E12+E13)/3</f>
        <v>1.5609999999999999</v>
      </c>
      <c r="H11" s="68">
        <f t="shared" ref="H11" si="7">_xlfn.STDEV.P(E11:E13)/SQRT(3)</f>
        <v>5.3541261347363608E-3</v>
      </c>
      <c r="R11" s="77">
        <v>40</v>
      </c>
      <c r="S11" s="78">
        <f>G23</f>
        <v>1.6114444444444445</v>
      </c>
      <c r="T11" s="78">
        <f>R11*$R$22+$S$22</f>
        <v>1.6228123268306476</v>
      </c>
      <c r="U11" s="78">
        <f t="shared" si="3"/>
        <v>-1.1367882386203121E-2</v>
      </c>
      <c r="V11" s="78">
        <f>T11+$S$24</f>
        <v>1.6524712678649329</v>
      </c>
      <c r="W11" s="78">
        <f>T11-$S$24</f>
        <v>1.5931533857963622</v>
      </c>
    </row>
    <row r="12" spans="1:23" x14ac:dyDescent="0.3">
      <c r="A12" s="40"/>
      <c r="B12" s="4">
        <v>2</v>
      </c>
      <c r="C12" s="23">
        <v>15.74</v>
      </c>
      <c r="D12" s="32">
        <v>10</v>
      </c>
      <c r="E12" s="30">
        <f t="shared" si="0"/>
        <v>1.5740000000000001</v>
      </c>
      <c r="F12" s="30">
        <v>0.01</v>
      </c>
      <c r="G12" s="43"/>
      <c r="H12" s="69"/>
      <c r="R12" s="77">
        <v>50</v>
      </c>
      <c r="S12" s="77">
        <v>1.64</v>
      </c>
      <c r="T12" s="78">
        <f>R12*$R$22+$S$22</f>
        <v>1.644616963528414</v>
      </c>
      <c r="U12" s="78">
        <f t="shared" si="3"/>
        <v>-4.6169635284141197E-3</v>
      </c>
      <c r="V12" s="78">
        <f>T12+$S$24</f>
        <v>1.6742759045626994</v>
      </c>
      <c r="W12" s="78">
        <f>T12-$S$24</f>
        <v>1.6149580224941287</v>
      </c>
    </row>
    <row r="13" spans="1:23" ht="15" thickBot="1" x14ac:dyDescent="0.35">
      <c r="A13" s="41"/>
      <c r="B13" s="11">
        <v>3</v>
      </c>
      <c r="C13" s="24">
        <v>15.53</v>
      </c>
      <c r="D13" s="33">
        <v>10</v>
      </c>
      <c r="E13" s="31">
        <f t="shared" si="0"/>
        <v>1.5529999999999999</v>
      </c>
      <c r="F13" s="31">
        <v>0.01</v>
      </c>
      <c r="G13" s="44"/>
      <c r="H13" s="70"/>
      <c r="R13" s="77">
        <v>60</v>
      </c>
      <c r="S13" s="77">
        <v>1.71</v>
      </c>
      <c r="T13" s="78">
        <f>R13*$R$22+$S$22</f>
        <v>1.6664216002261805</v>
      </c>
      <c r="U13" s="78">
        <f t="shared" si="3"/>
        <v>4.3578399773819498E-2</v>
      </c>
      <c r="V13" s="78">
        <f>T13+$S$24</f>
        <v>1.6960805412604658</v>
      </c>
      <c r="W13" s="78">
        <f>T13-$S$24</f>
        <v>1.6367626591918951</v>
      </c>
    </row>
    <row r="14" spans="1:23" x14ac:dyDescent="0.3">
      <c r="A14" s="39">
        <v>10</v>
      </c>
      <c r="B14" s="8">
        <v>1</v>
      </c>
      <c r="C14" s="25">
        <v>15.33</v>
      </c>
      <c r="D14" s="34">
        <v>10</v>
      </c>
      <c r="E14" s="29">
        <f t="shared" si="0"/>
        <v>1.5329999999999999</v>
      </c>
      <c r="F14" s="29">
        <v>0.01</v>
      </c>
      <c r="G14" s="42">
        <f t="shared" ref="G14" si="8">(E14+E15+E16)/3</f>
        <v>1.5570000000000002</v>
      </c>
      <c r="H14" s="68">
        <f t="shared" ref="H14" si="9">_xlfn.STDEV.P(E14:E16)/SQRT(3)</f>
        <v>1.0077477638554022E-2</v>
      </c>
    </row>
    <row r="15" spans="1:23" x14ac:dyDescent="0.3">
      <c r="A15" s="40"/>
      <c r="B15" s="3">
        <v>2</v>
      </c>
      <c r="C15" s="23">
        <v>15.64</v>
      </c>
      <c r="D15" s="32">
        <v>10</v>
      </c>
      <c r="E15" s="30">
        <f t="shared" si="0"/>
        <v>1.5640000000000001</v>
      </c>
      <c r="F15" s="30">
        <v>0.01</v>
      </c>
      <c r="G15" s="43"/>
      <c r="H15" s="69"/>
    </row>
    <row r="16" spans="1:23" ht="15" thickBot="1" x14ac:dyDescent="0.35">
      <c r="A16" s="41"/>
      <c r="B16" s="9">
        <v>3</v>
      </c>
      <c r="C16" s="24">
        <v>15.74</v>
      </c>
      <c r="D16" s="33">
        <v>10</v>
      </c>
      <c r="E16" s="31">
        <f t="shared" si="0"/>
        <v>1.5740000000000001</v>
      </c>
      <c r="F16" s="31">
        <v>0.01</v>
      </c>
      <c r="G16" s="44"/>
      <c r="H16" s="70"/>
    </row>
    <row r="17" spans="1:24" x14ac:dyDescent="0.3">
      <c r="A17" s="39">
        <v>20</v>
      </c>
      <c r="B17" s="10">
        <v>1</v>
      </c>
      <c r="C17" s="25">
        <v>15.63</v>
      </c>
      <c r="D17" s="34">
        <v>10</v>
      </c>
      <c r="E17" s="29">
        <f t="shared" si="0"/>
        <v>1.5630000000000002</v>
      </c>
      <c r="F17" s="29">
        <v>0.01</v>
      </c>
      <c r="G17" s="42">
        <f t="shared" ref="G17" si="10">(E17+E18+E19)/3</f>
        <v>1.5703333333333334</v>
      </c>
      <c r="H17" s="68">
        <f t="shared" ref="H17" si="11">_xlfn.STDEV.P(E17:E19)/SQRT(3)</f>
        <v>3.0307070437745783E-3</v>
      </c>
    </row>
    <row r="18" spans="1:24" x14ac:dyDescent="0.3">
      <c r="A18" s="40"/>
      <c r="B18" s="4">
        <v>2</v>
      </c>
      <c r="C18" s="23">
        <v>15.75</v>
      </c>
      <c r="D18" s="32">
        <v>10</v>
      </c>
      <c r="E18" s="30">
        <f t="shared" si="0"/>
        <v>1.575</v>
      </c>
      <c r="F18" s="30">
        <v>0.01</v>
      </c>
      <c r="G18" s="43"/>
      <c r="H18" s="69"/>
    </row>
    <row r="19" spans="1:24" ht="15" thickBot="1" x14ac:dyDescent="0.35">
      <c r="A19" s="41"/>
      <c r="B19" s="11">
        <v>3</v>
      </c>
      <c r="C19" s="24">
        <v>15.73</v>
      </c>
      <c r="D19" s="33">
        <v>10</v>
      </c>
      <c r="E19" s="31">
        <f t="shared" si="0"/>
        <v>1.573</v>
      </c>
      <c r="F19" s="31">
        <v>0.01</v>
      </c>
      <c r="G19" s="44"/>
      <c r="H19" s="70"/>
    </row>
    <row r="20" spans="1:24" x14ac:dyDescent="0.3">
      <c r="A20" s="39">
        <v>30</v>
      </c>
      <c r="B20" s="8">
        <v>1</v>
      </c>
      <c r="C20" s="25">
        <v>15.32</v>
      </c>
      <c r="D20" s="34">
        <v>10</v>
      </c>
      <c r="E20" s="29">
        <f t="shared" si="0"/>
        <v>1.532</v>
      </c>
      <c r="F20" s="29">
        <v>0.01</v>
      </c>
      <c r="G20" s="42">
        <f t="shared" ref="G20" si="12">(E20+E21+E22)/3</f>
        <v>1.5366666666666668</v>
      </c>
      <c r="H20" s="68">
        <f t="shared" ref="H20" si="13">_xlfn.STDEV.P(E20:E22)/SQRT(3)</f>
        <v>5.9690560082503478E-3</v>
      </c>
    </row>
    <row r="21" spans="1:24" x14ac:dyDescent="0.3">
      <c r="A21" s="40"/>
      <c r="B21" s="3">
        <v>2</v>
      </c>
      <c r="C21" s="23">
        <v>15.27</v>
      </c>
      <c r="D21" s="32">
        <v>10</v>
      </c>
      <c r="E21" s="30">
        <f t="shared" si="0"/>
        <v>1.5269999999999999</v>
      </c>
      <c r="F21" s="30">
        <v>0.01</v>
      </c>
      <c r="G21" s="43"/>
      <c r="H21" s="69"/>
      <c r="Q21" s="79" t="s">
        <v>33</v>
      </c>
      <c r="R21" s="79"/>
      <c r="S21" s="79"/>
      <c r="T21" s="79"/>
    </row>
    <row r="22" spans="1:24" ht="15" thickBot="1" x14ac:dyDescent="0.35">
      <c r="A22" s="41"/>
      <c r="B22" s="9">
        <v>3</v>
      </c>
      <c r="C22" s="24">
        <v>15.51</v>
      </c>
      <c r="D22" s="33">
        <v>10</v>
      </c>
      <c r="E22" s="31">
        <f t="shared" si="0"/>
        <v>1.5509999999999999</v>
      </c>
      <c r="F22" s="31">
        <v>0.01</v>
      </c>
      <c r="G22" s="44"/>
      <c r="H22" s="70"/>
      <c r="Q22" s="80" t="s">
        <v>9</v>
      </c>
      <c r="R22" s="1">
        <f t="array" ref="R22:S24">LINEST(S4:S13,R4:R13,1,1)</f>
        <v>2.1804636697766444E-3</v>
      </c>
      <c r="S22" s="1">
        <v>1.5355937800395818</v>
      </c>
      <c r="T22" s="80" t="s">
        <v>10</v>
      </c>
    </row>
    <row r="23" spans="1:24" x14ac:dyDescent="0.3">
      <c r="A23" s="39">
        <v>40</v>
      </c>
      <c r="B23" s="10">
        <v>1</v>
      </c>
      <c r="C23" s="25">
        <v>15.99</v>
      </c>
      <c r="D23" s="34">
        <v>10</v>
      </c>
      <c r="E23" s="29">
        <f t="shared" si="0"/>
        <v>1.599</v>
      </c>
      <c r="F23" s="29">
        <v>0.01</v>
      </c>
      <c r="G23" s="42">
        <f t="shared" ref="G23" si="14">(E23+E24+E25)/3</f>
        <v>1.6114444444444445</v>
      </c>
      <c r="H23" s="68">
        <f t="shared" ref="H23" si="15">_xlfn.STDEV.P(E23:E25)/SQRT(3)</f>
        <v>1.0987460117579112E-2</v>
      </c>
      <c r="Q23" s="80" t="s">
        <v>34</v>
      </c>
      <c r="R23" s="1">
        <v>4.731069908085938E-4</v>
      </c>
      <c r="S23" s="1">
        <v>1.4365634939720198E-2</v>
      </c>
      <c r="T23" s="80" t="s">
        <v>35</v>
      </c>
    </row>
    <row r="24" spans="1:24" x14ac:dyDescent="0.3">
      <c r="A24" s="40"/>
      <c r="B24" s="4">
        <v>2</v>
      </c>
      <c r="C24" s="23">
        <v>9.83</v>
      </c>
      <c r="D24" s="32">
        <v>6</v>
      </c>
      <c r="E24" s="30">
        <f t="shared" si="0"/>
        <v>1.6383333333333334</v>
      </c>
      <c r="F24" s="30">
        <v>0.01</v>
      </c>
      <c r="G24" s="43"/>
      <c r="H24" s="69"/>
      <c r="Q24" s="80" t="s">
        <v>36</v>
      </c>
      <c r="R24" s="1">
        <v>0.726413385135672</v>
      </c>
      <c r="S24" s="1">
        <v>2.9658941034285329E-2</v>
      </c>
      <c r="T24" s="80" t="s">
        <v>14</v>
      </c>
    </row>
    <row r="25" spans="1:24" ht="15" thickBot="1" x14ac:dyDescent="0.35">
      <c r="A25" s="41"/>
      <c r="B25" s="11">
        <v>3</v>
      </c>
      <c r="C25" s="24">
        <v>15.97</v>
      </c>
      <c r="D25" s="33">
        <v>10</v>
      </c>
      <c r="E25" s="31">
        <f t="shared" si="0"/>
        <v>1.597</v>
      </c>
      <c r="F25" s="31">
        <v>0.01</v>
      </c>
      <c r="G25" s="44"/>
      <c r="H25" s="70"/>
    </row>
    <row r="26" spans="1:24" x14ac:dyDescent="0.3">
      <c r="A26" s="39">
        <v>50</v>
      </c>
      <c r="B26" s="8">
        <v>1</v>
      </c>
      <c r="C26" s="25">
        <v>16.41</v>
      </c>
      <c r="D26" s="34">
        <v>10</v>
      </c>
      <c r="E26" s="29">
        <f t="shared" si="0"/>
        <v>1.641</v>
      </c>
      <c r="F26" s="29">
        <v>0.01</v>
      </c>
      <c r="G26" s="42">
        <f>(E26+E27+E28)/3</f>
        <v>1.6363333333333332</v>
      </c>
      <c r="H26" s="68">
        <f>_xlfn.STDEV.P(E26:E28)/SQRT(3)</f>
        <v>2.1256807188565333E-3</v>
      </c>
    </row>
    <row r="27" spans="1:24" x14ac:dyDescent="0.3">
      <c r="A27" s="40"/>
      <c r="B27" s="3">
        <v>2</v>
      </c>
      <c r="C27" s="23">
        <v>16.32</v>
      </c>
      <c r="D27" s="32">
        <v>10</v>
      </c>
      <c r="E27" s="30">
        <f t="shared" si="0"/>
        <v>1.6320000000000001</v>
      </c>
      <c r="F27" s="30">
        <v>0.01</v>
      </c>
      <c r="G27" s="43"/>
      <c r="H27" s="69"/>
    </row>
    <row r="28" spans="1:24" ht="15" thickBot="1" x14ac:dyDescent="0.35">
      <c r="A28" s="41"/>
      <c r="B28" s="9">
        <v>3</v>
      </c>
      <c r="C28" s="24">
        <v>16.36</v>
      </c>
      <c r="D28" s="33">
        <v>10</v>
      </c>
      <c r="E28" s="31">
        <f t="shared" si="0"/>
        <v>1.6359999999999999</v>
      </c>
      <c r="F28" s="31">
        <v>0.01</v>
      </c>
      <c r="G28" s="44"/>
      <c r="H28" s="70"/>
    </row>
    <row r="29" spans="1:24" ht="16.2" thickBot="1" x14ac:dyDescent="0.35">
      <c r="A29" s="36">
        <v>60</v>
      </c>
      <c r="B29" s="10">
        <v>1</v>
      </c>
      <c r="C29" s="29">
        <v>6.77</v>
      </c>
      <c r="D29" s="34">
        <v>4</v>
      </c>
      <c r="E29" s="29">
        <f t="shared" si="0"/>
        <v>1.6924999999999999</v>
      </c>
      <c r="F29" s="29">
        <v>0.01</v>
      </c>
      <c r="G29" s="42">
        <f>(E29+E30)/2</f>
        <v>1.7079166666666667</v>
      </c>
      <c r="H29" s="68">
        <f>_xlfn.STDEV.P(E29:E30)/SQRT(2)</f>
        <v>1.0901229543292663E-2</v>
      </c>
      <c r="R29" s="81" t="s">
        <v>44</v>
      </c>
      <c r="S29" s="73" t="s">
        <v>20</v>
      </c>
      <c r="T29" s="74" t="s">
        <v>27</v>
      </c>
      <c r="U29" s="74" t="s">
        <v>21</v>
      </c>
      <c r="V29" s="74" t="s">
        <v>22</v>
      </c>
      <c r="W29" s="74" t="s">
        <v>25</v>
      </c>
      <c r="X29" s="75" t="s">
        <v>26</v>
      </c>
    </row>
    <row r="30" spans="1:24" ht="15" thickBot="1" x14ac:dyDescent="0.35">
      <c r="A30" s="37"/>
      <c r="B30" s="11">
        <v>2</v>
      </c>
      <c r="C30" s="31">
        <v>10.34</v>
      </c>
      <c r="D30" s="33">
        <v>6</v>
      </c>
      <c r="E30" s="31">
        <f t="shared" si="0"/>
        <v>1.7233333333333334</v>
      </c>
      <c r="F30" s="31">
        <v>0.01</v>
      </c>
      <c r="G30" s="44"/>
      <c r="H30" s="70"/>
      <c r="R30" s="82" t="s">
        <v>41</v>
      </c>
      <c r="S30" s="8">
        <v>1</v>
      </c>
      <c r="T30" s="76">
        <v>15.42</v>
      </c>
      <c r="U30" s="34">
        <f>T30/10</f>
        <v>1.542</v>
      </c>
      <c r="V30" s="34">
        <v>1E-3</v>
      </c>
      <c r="W30" s="91">
        <f>AVERAGE(U30:U32)</f>
        <v>1.5423333333333333</v>
      </c>
      <c r="X30" s="85">
        <f>_xlfn.STDEV.P(U30:U32)/SQRT(3)</f>
        <v>2.7216552697587873E-4</v>
      </c>
    </row>
    <row r="31" spans="1:24" x14ac:dyDescent="0.3">
      <c r="R31" s="83"/>
      <c r="S31" s="3">
        <v>2</v>
      </c>
      <c r="T31" s="71">
        <v>15.43</v>
      </c>
      <c r="U31" s="32">
        <f t="shared" ref="U31:U38" si="16">T31/10</f>
        <v>1.5429999999999999</v>
      </c>
      <c r="V31" s="32">
        <v>1E-3</v>
      </c>
      <c r="W31" s="92"/>
      <c r="X31" s="86"/>
    </row>
    <row r="32" spans="1:24" ht="15" thickBot="1" x14ac:dyDescent="0.35">
      <c r="R32" s="84"/>
      <c r="S32" s="9">
        <v>3</v>
      </c>
      <c r="T32" s="72">
        <v>15.42</v>
      </c>
      <c r="U32" s="33">
        <f t="shared" si="16"/>
        <v>1.542</v>
      </c>
      <c r="V32" s="33">
        <v>1E-3</v>
      </c>
      <c r="W32" s="93"/>
      <c r="X32" s="87"/>
    </row>
    <row r="33" spans="18:24" x14ac:dyDescent="0.3">
      <c r="R33" s="82" t="s">
        <v>42</v>
      </c>
      <c r="S33" s="10">
        <v>1</v>
      </c>
      <c r="T33" s="76">
        <v>15.42</v>
      </c>
      <c r="U33" s="34">
        <f t="shared" si="16"/>
        <v>1.542</v>
      </c>
      <c r="V33" s="34">
        <v>1E-3</v>
      </c>
      <c r="W33" s="91">
        <f>AVERAGE(U33:U35)</f>
        <v>1.5309999999999999</v>
      </c>
      <c r="X33" s="88">
        <f t="shared" ref="X33" si="17">_xlfn.STDEV.P(U33:U35)/SQRT(3)</f>
        <v>4.6427960923946885E-3</v>
      </c>
    </row>
    <row r="34" spans="18:24" x14ac:dyDescent="0.3">
      <c r="R34" s="83"/>
      <c r="S34" s="4">
        <v>2</v>
      </c>
      <c r="T34" s="71">
        <v>15.28</v>
      </c>
      <c r="U34" s="32">
        <f t="shared" si="16"/>
        <v>1.528</v>
      </c>
      <c r="V34" s="32">
        <v>1E-3</v>
      </c>
      <c r="W34" s="92"/>
      <c r="X34" s="89"/>
    </row>
    <row r="35" spans="18:24" ht="15" thickBot="1" x14ac:dyDescent="0.35">
      <c r="R35" s="84"/>
      <c r="S35" s="11">
        <v>3</v>
      </c>
      <c r="T35" s="72">
        <v>15.23</v>
      </c>
      <c r="U35" s="33">
        <f t="shared" si="16"/>
        <v>1.5230000000000001</v>
      </c>
      <c r="V35" s="33">
        <v>1E-3</v>
      </c>
      <c r="W35" s="93"/>
      <c r="X35" s="90"/>
    </row>
    <row r="36" spans="18:24" x14ac:dyDescent="0.3">
      <c r="R36" s="82" t="s">
        <v>43</v>
      </c>
      <c r="S36" s="8">
        <v>1</v>
      </c>
      <c r="T36" s="76">
        <v>15.32</v>
      </c>
      <c r="U36" s="34">
        <f t="shared" si="16"/>
        <v>1.532</v>
      </c>
      <c r="V36" s="34">
        <v>1E-3</v>
      </c>
      <c r="W36" s="91">
        <f>AVERAGE(U36:U38)</f>
        <v>1.5376666666666665</v>
      </c>
      <c r="X36" s="88">
        <f t="shared" ref="X36" si="18">_xlfn.STDEV.P(U36:U38)/SQRT(3)</f>
        <v>4.2251451870736938E-3</v>
      </c>
    </row>
    <row r="37" spans="18:24" x14ac:dyDescent="0.3">
      <c r="R37" s="83"/>
      <c r="S37" s="3">
        <v>2</v>
      </c>
      <c r="T37" s="71">
        <v>15.33</v>
      </c>
      <c r="U37" s="32">
        <f t="shared" si="16"/>
        <v>1.5329999999999999</v>
      </c>
      <c r="V37" s="32">
        <v>1E-3</v>
      </c>
      <c r="W37" s="92"/>
      <c r="X37" s="89"/>
    </row>
    <row r="38" spans="18:24" ht="15" thickBot="1" x14ac:dyDescent="0.35">
      <c r="R38" s="84"/>
      <c r="S38" s="9">
        <v>3</v>
      </c>
      <c r="T38" s="72">
        <v>15.48</v>
      </c>
      <c r="U38" s="33">
        <f t="shared" si="16"/>
        <v>1.548</v>
      </c>
      <c r="V38" s="33">
        <v>1E-3</v>
      </c>
      <c r="W38" s="93"/>
      <c r="X38" s="90"/>
    </row>
  </sheetData>
  <mergeCells count="40">
    <mergeCell ref="X30:X32"/>
    <mergeCell ref="X33:X35"/>
    <mergeCell ref="X36:X38"/>
    <mergeCell ref="R30:R32"/>
    <mergeCell ref="R33:R35"/>
    <mergeCell ref="R36:R38"/>
    <mergeCell ref="W30:W32"/>
    <mergeCell ref="W33:W35"/>
    <mergeCell ref="W36:W38"/>
    <mergeCell ref="G29:G30"/>
    <mergeCell ref="H2:H4"/>
    <mergeCell ref="H5:H7"/>
    <mergeCell ref="H8:H10"/>
    <mergeCell ref="H11:H13"/>
    <mergeCell ref="H14:H16"/>
    <mergeCell ref="A26:A28"/>
    <mergeCell ref="G17:G19"/>
    <mergeCell ref="A17:A19"/>
    <mergeCell ref="H20:H22"/>
    <mergeCell ref="H23:H25"/>
    <mergeCell ref="H26:H28"/>
    <mergeCell ref="G20:G22"/>
    <mergeCell ref="G23:G25"/>
    <mergeCell ref="G26:G28"/>
    <mergeCell ref="H29:H30"/>
    <mergeCell ref="A29:A30"/>
    <mergeCell ref="Q21:T21"/>
    <mergeCell ref="A2:A4"/>
    <mergeCell ref="A5:A7"/>
    <mergeCell ref="A8:A10"/>
    <mergeCell ref="A11:A13"/>
    <mergeCell ref="A14:A16"/>
    <mergeCell ref="G2:G4"/>
    <mergeCell ref="G5:G7"/>
    <mergeCell ref="G8:G10"/>
    <mergeCell ref="G11:G13"/>
    <mergeCell ref="G14:G16"/>
    <mergeCell ref="H17:H19"/>
    <mergeCell ref="A20:A22"/>
    <mergeCell ref="A23:A25"/>
  </mergeCells>
  <pageMargins left="3.937007874015748E-2" right="3.937007874015748E-2" top="0.11811023622047244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89-853C-4BBD-8441-D179932121DF}">
  <dimension ref="A1:W44"/>
  <sheetViews>
    <sheetView tabSelected="1" zoomScale="70" zoomScaleNormal="70" workbookViewId="0">
      <selection activeCell="M16" sqref="M16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9.77734375" bestFit="1" customWidth="1"/>
    <col min="4" max="4" width="11.21875" bestFit="1" customWidth="1"/>
    <col min="5" max="5" width="11.88671875" bestFit="1" customWidth="1"/>
    <col min="6" max="6" width="9.44140625" customWidth="1"/>
    <col min="9" max="10" width="10.21875" bestFit="1" customWidth="1"/>
    <col min="11" max="11" width="9.77734375" customWidth="1"/>
    <col min="14" max="14" width="9.77734375" bestFit="1" customWidth="1"/>
    <col min="18" max="18" width="14.21875" bestFit="1" customWidth="1"/>
    <col min="19" max="19" width="16.6640625" bestFit="1" customWidth="1"/>
    <col min="23" max="23" width="10.109375" bestFit="1" customWidth="1"/>
  </cols>
  <sheetData>
    <row r="1" spans="1:23" ht="16.8" thickBot="1" x14ac:dyDescent="0.35">
      <c r="A1" s="5" t="s">
        <v>4</v>
      </c>
      <c r="B1" s="5" t="s">
        <v>19</v>
      </c>
      <c r="C1" s="5" t="s">
        <v>20</v>
      </c>
      <c r="D1" s="6" t="s">
        <v>5</v>
      </c>
      <c r="E1" s="6" t="s">
        <v>6</v>
      </c>
      <c r="F1" s="12" t="s">
        <v>7</v>
      </c>
      <c r="G1" s="13" t="s">
        <v>8</v>
      </c>
      <c r="H1" s="14" t="s">
        <v>1</v>
      </c>
      <c r="I1" s="14" t="s">
        <v>18</v>
      </c>
    </row>
    <row r="2" spans="1:23" x14ac:dyDescent="0.3">
      <c r="A2" s="45">
        <v>0.6</v>
      </c>
      <c r="B2" s="50">
        <f>A2+$B$37</f>
        <v>0.62302000000000002</v>
      </c>
      <c r="C2" s="8">
        <v>1</v>
      </c>
      <c r="D2" s="29">
        <v>16.239999999999998</v>
      </c>
      <c r="E2" s="29">
        <f>D2/10</f>
        <v>1.6239999999999999</v>
      </c>
      <c r="F2" s="56">
        <f>AVERAGE(E2:E4)</f>
        <v>1.6176666666666666</v>
      </c>
      <c r="G2" s="56">
        <f>_xlfn.STDEV.P(E2:E4)/SQRT(3)</f>
        <v>1.6002314647390083E-2</v>
      </c>
      <c r="H2" s="56">
        <f>F2^2</f>
        <v>2.616845444444444</v>
      </c>
      <c r="I2" s="59">
        <f>2*F2*G2</f>
        <v>5.177282198918938E-2</v>
      </c>
    </row>
    <row r="3" spans="1:23" x14ac:dyDescent="0.3">
      <c r="A3" s="48"/>
      <c r="B3" s="51"/>
      <c r="C3" s="3">
        <v>2</v>
      </c>
      <c r="D3" s="30">
        <v>16.48</v>
      </c>
      <c r="E3" s="30">
        <f t="shared" ref="E3:E34" si="0">D3/10</f>
        <v>1.6480000000000001</v>
      </c>
      <c r="F3" s="57"/>
      <c r="G3" s="57"/>
      <c r="H3" s="57"/>
      <c r="I3" s="60"/>
      <c r="R3" s="27" t="s">
        <v>0</v>
      </c>
      <c r="S3" s="21" t="s">
        <v>28</v>
      </c>
      <c r="T3" s="21" t="s">
        <v>32</v>
      </c>
      <c r="U3" s="21" t="s">
        <v>17</v>
      </c>
      <c r="V3" s="21" t="s">
        <v>29</v>
      </c>
      <c r="W3" s="27" t="s">
        <v>30</v>
      </c>
    </row>
    <row r="4" spans="1:23" ht="15" thickBot="1" x14ac:dyDescent="0.35">
      <c r="A4" s="49"/>
      <c r="B4" s="52"/>
      <c r="C4" s="9">
        <v>3</v>
      </c>
      <c r="D4" s="31">
        <v>15.81</v>
      </c>
      <c r="E4" s="31">
        <f t="shared" si="0"/>
        <v>1.581</v>
      </c>
      <c r="F4" s="58"/>
      <c r="G4" s="58"/>
      <c r="H4" s="58"/>
      <c r="I4" s="61"/>
      <c r="R4" s="28">
        <f>B2</f>
        <v>0.62302000000000002</v>
      </c>
      <c r="S4" s="26">
        <f>H2</f>
        <v>2.616845444444444</v>
      </c>
      <c r="T4" s="26">
        <f>R4*$O$23+$P$23</f>
        <v>2.5835502929292939</v>
      </c>
      <c r="U4" s="26">
        <f>S4-T4</f>
        <v>3.3295151515150057E-2</v>
      </c>
      <c r="V4" s="26">
        <f>T4+$P$25</f>
        <v>2.6138635730755699</v>
      </c>
      <c r="W4" s="26">
        <f>T4-$P$25</f>
        <v>2.553237012783018</v>
      </c>
    </row>
    <row r="5" spans="1:23" x14ac:dyDescent="0.3">
      <c r="A5" s="45">
        <v>0.56000000000000005</v>
      </c>
      <c r="B5" s="50">
        <f>A5+$B$37</f>
        <v>0.58302000000000009</v>
      </c>
      <c r="C5" s="10">
        <v>1</v>
      </c>
      <c r="D5" s="29">
        <v>15.56</v>
      </c>
      <c r="E5" s="29">
        <f t="shared" si="0"/>
        <v>1.556</v>
      </c>
      <c r="F5" s="56">
        <f>AVERAGE(E5:E7)</f>
        <v>1.5493333333333332</v>
      </c>
      <c r="G5" s="56">
        <f t="shared" ref="G5" si="1">_xlfn.STDEV.P(E5:E7)/SQRT(3)</f>
        <v>4.6507665636569464E-3</v>
      </c>
      <c r="H5" s="56">
        <f>F5^2</f>
        <v>2.4004337777777773</v>
      </c>
      <c r="I5" s="59">
        <f>2*F5*G5</f>
        <v>1.4411175325251657E-2</v>
      </c>
      <c r="R5" s="28">
        <f>B5</f>
        <v>0.58302000000000009</v>
      </c>
      <c r="S5" s="26">
        <f>H5</f>
        <v>2.4004337777777773</v>
      </c>
      <c r="T5" s="26">
        <f>R5*$O$23+$P$23</f>
        <v>2.418124222222223</v>
      </c>
      <c r="U5" s="26">
        <f t="shared" ref="U5:U14" si="2">S5-T5</f>
        <v>-1.7690444444445674E-2</v>
      </c>
      <c r="V5" s="26">
        <f>T5+$P$25</f>
        <v>2.448437502368499</v>
      </c>
      <c r="W5" s="26">
        <f>T5-$P$25</f>
        <v>2.387810942075947</v>
      </c>
    </row>
    <row r="6" spans="1:23" x14ac:dyDescent="0.3">
      <c r="A6" s="46"/>
      <c r="B6" s="51"/>
      <c r="C6" s="4">
        <v>2</v>
      </c>
      <c r="D6" s="30">
        <v>15.38</v>
      </c>
      <c r="E6" s="30">
        <f t="shared" si="0"/>
        <v>1.538</v>
      </c>
      <c r="F6" s="57"/>
      <c r="G6" s="57"/>
      <c r="H6" s="57"/>
      <c r="I6" s="60"/>
      <c r="R6" s="28">
        <f>B8</f>
        <v>0.54302000000000006</v>
      </c>
      <c r="S6" s="26">
        <f>H8</f>
        <v>2.275069444444445</v>
      </c>
      <c r="T6" s="26">
        <f>R6*$O$23+$P$23</f>
        <v>2.2526981515151516</v>
      </c>
      <c r="U6" s="26">
        <f t="shared" si="2"/>
        <v>2.2371292929293407E-2</v>
      </c>
      <c r="V6" s="26">
        <f>T6+$P$25</f>
        <v>2.2830114316614276</v>
      </c>
      <c r="W6" s="26">
        <f>T6-$P$25</f>
        <v>2.2223848713688756</v>
      </c>
    </row>
    <row r="7" spans="1:23" ht="15" thickBot="1" x14ac:dyDescent="0.35">
      <c r="A7" s="47"/>
      <c r="B7" s="52"/>
      <c r="C7" s="11">
        <v>3</v>
      </c>
      <c r="D7" s="31">
        <v>15.54</v>
      </c>
      <c r="E7" s="31">
        <f t="shared" si="0"/>
        <v>1.5539999999999998</v>
      </c>
      <c r="F7" s="58"/>
      <c r="G7" s="58"/>
      <c r="H7" s="58"/>
      <c r="I7" s="61"/>
      <c r="R7" s="28">
        <f>B11</f>
        <v>0.50302000000000002</v>
      </c>
      <c r="S7" s="26">
        <f>H11</f>
        <v>2.0382321111111104</v>
      </c>
      <c r="T7" s="26">
        <f>R7*$O$23+$P$23</f>
        <v>2.0872720808080807</v>
      </c>
      <c r="U7" s="26">
        <f t="shared" si="2"/>
        <v>-4.9039969696970331E-2</v>
      </c>
      <c r="V7" s="26">
        <f>T7+$P$25</f>
        <v>2.1175853609543567</v>
      </c>
      <c r="W7" s="26">
        <f>T7-$P$25</f>
        <v>2.0569588006618047</v>
      </c>
    </row>
    <row r="8" spans="1:23" x14ac:dyDescent="0.3">
      <c r="A8" s="45">
        <v>0.52</v>
      </c>
      <c r="B8" s="50">
        <f>A8+$B$37</f>
        <v>0.54302000000000006</v>
      </c>
      <c r="C8" s="8">
        <v>1</v>
      </c>
      <c r="D8" s="29">
        <v>15.03</v>
      </c>
      <c r="E8" s="29">
        <f t="shared" si="0"/>
        <v>1.5029999999999999</v>
      </c>
      <c r="F8" s="56">
        <f>AVERAGE(E8:E10)</f>
        <v>1.5083333333333335</v>
      </c>
      <c r="G8" s="56">
        <f t="shared" ref="G8" si="3">_xlfn.STDEV.P(E8:E10)/SQRT(3)</f>
        <v>3.5694174231575377E-3</v>
      </c>
      <c r="H8" s="56">
        <f>F8^2</f>
        <v>2.275069444444445</v>
      </c>
      <c r="I8" s="59">
        <f>2*F8*G8</f>
        <v>1.0767742559858573E-2</v>
      </c>
      <c r="R8" s="28">
        <f>B14</f>
        <v>0.46301999999999999</v>
      </c>
      <c r="S8" s="26">
        <f>H14</f>
        <v>1.8979654444444443</v>
      </c>
      <c r="T8" s="26">
        <f>R8*$O$23+$P$23</f>
        <v>1.9218460101010093</v>
      </c>
      <c r="U8" s="26">
        <f t="shared" si="2"/>
        <v>-2.3880565656565045E-2</v>
      </c>
      <c r="V8" s="26">
        <f>T8+$P$25</f>
        <v>1.9521592902472853</v>
      </c>
      <c r="W8" s="26">
        <f>T8-$P$25</f>
        <v>1.8915327299547333</v>
      </c>
    </row>
    <row r="9" spans="1:23" x14ac:dyDescent="0.3">
      <c r="A9" s="46"/>
      <c r="B9" s="51"/>
      <c r="C9" s="3">
        <v>2</v>
      </c>
      <c r="D9" s="30">
        <v>15.05</v>
      </c>
      <c r="E9" s="30">
        <f t="shared" si="0"/>
        <v>1.5050000000000001</v>
      </c>
      <c r="F9" s="57"/>
      <c r="G9" s="57"/>
      <c r="H9" s="57"/>
      <c r="I9" s="60"/>
      <c r="R9" s="28">
        <f>B17</f>
        <v>0.42302000000000001</v>
      </c>
      <c r="S9" s="26">
        <f>H17</f>
        <v>1.7450409999999998</v>
      </c>
      <c r="T9" s="26">
        <f>R9*$O$23+$P$23</f>
        <v>1.7564199393939381</v>
      </c>
      <c r="U9" s="26">
        <f t="shared" si="2"/>
        <v>-1.1378939393938303E-2</v>
      </c>
      <c r="V9" s="26">
        <f>T9+$P$25</f>
        <v>1.7867332195402141</v>
      </c>
      <c r="W9" s="26">
        <f>T9-$P$25</f>
        <v>1.7261066592476622</v>
      </c>
    </row>
    <row r="10" spans="1:23" ht="15" thickBot="1" x14ac:dyDescent="0.35">
      <c r="A10" s="47"/>
      <c r="B10" s="52"/>
      <c r="C10" s="9">
        <v>3</v>
      </c>
      <c r="D10" s="31">
        <v>15.17</v>
      </c>
      <c r="E10" s="31">
        <f t="shared" si="0"/>
        <v>1.5169999999999999</v>
      </c>
      <c r="F10" s="58"/>
      <c r="G10" s="58"/>
      <c r="H10" s="58"/>
      <c r="I10" s="61"/>
      <c r="R10" s="28">
        <f>B20</f>
        <v>0.38301999999999997</v>
      </c>
      <c r="S10" s="26">
        <f>H20</f>
        <v>1.6409610000000003</v>
      </c>
      <c r="T10" s="26">
        <f>R10*$O$23+$P$23</f>
        <v>1.590993868686867</v>
      </c>
      <c r="U10" s="26">
        <f t="shared" si="2"/>
        <v>4.9967131313133351E-2</v>
      </c>
      <c r="V10" s="26">
        <f>T10+$P$25</f>
        <v>1.621307148833143</v>
      </c>
      <c r="W10" s="26">
        <f>T10-$P$25</f>
        <v>1.560680588540591</v>
      </c>
    </row>
    <row r="11" spans="1:23" x14ac:dyDescent="0.3">
      <c r="A11" s="45">
        <v>0.48</v>
      </c>
      <c r="B11" s="53">
        <f>A11+$B$37</f>
        <v>0.50302000000000002</v>
      </c>
      <c r="C11" s="10">
        <v>1</v>
      </c>
      <c r="D11" s="29">
        <v>14.4</v>
      </c>
      <c r="E11" s="29">
        <f t="shared" si="0"/>
        <v>1.44</v>
      </c>
      <c r="F11" s="56">
        <f>AVERAGE(E11:E13)</f>
        <v>1.4276666666666664</v>
      </c>
      <c r="G11" s="56">
        <f t="shared" ref="G11" si="4">_xlfn.STDEV.P(E11:E13)/SQRT(3)</f>
        <v>7.3986985842606785E-3</v>
      </c>
      <c r="H11" s="56">
        <f>F11^2</f>
        <v>2.0382321111111104</v>
      </c>
      <c r="I11" s="59">
        <f>2*F11*G11</f>
        <v>2.1125750690925652E-2</v>
      </c>
      <c r="R11" s="28">
        <f>B23</f>
        <v>0.34302000000000099</v>
      </c>
      <c r="S11" s="26">
        <f>H23</f>
        <v>1.4384004444444445</v>
      </c>
      <c r="T11" s="26">
        <f>R11*$O$23+$P$23</f>
        <v>1.4255677979798</v>
      </c>
      <c r="U11" s="26">
        <f t="shared" si="2"/>
        <v>1.2832646464644437E-2</v>
      </c>
      <c r="V11" s="26">
        <f>T11+$P$25</f>
        <v>1.455881078126076</v>
      </c>
      <c r="W11" s="26">
        <f>T11-$P$25</f>
        <v>1.3952545178335241</v>
      </c>
    </row>
    <row r="12" spans="1:23" x14ac:dyDescent="0.3">
      <c r="A12" s="48"/>
      <c r="B12" s="54"/>
      <c r="C12" s="4">
        <v>2</v>
      </c>
      <c r="D12" s="30">
        <v>14.1</v>
      </c>
      <c r="E12" s="30">
        <f t="shared" si="0"/>
        <v>1.41</v>
      </c>
      <c r="F12" s="57"/>
      <c r="G12" s="57"/>
      <c r="H12" s="57"/>
      <c r="I12" s="60"/>
      <c r="R12" s="28">
        <f>B26</f>
        <v>0.30302000000000101</v>
      </c>
      <c r="S12" s="26">
        <f>H26</f>
        <v>1.2380271111111112</v>
      </c>
      <c r="T12" s="26">
        <f>R12*$O$23+$P$23</f>
        <v>1.2601417272727289</v>
      </c>
      <c r="U12" s="26">
        <f t="shared" si="2"/>
        <v>-2.2114616161617695E-2</v>
      </c>
      <c r="V12" s="26">
        <f>T12+$P$25</f>
        <v>1.2904550074190049</v>
      </c>
      <c r="W12" s="26">
        <f>T12-$P$25</f>
        <v>1.2298284471264529</v>
      </c>
    </row>
    <row r="13" spans="1:23" ht="15" thickBot="1" x14ac:dyDescent="0.35">
      <c r="A13" s="49"/>
      <c r="B13" s="55"/>
      <c r="C13" s="11">
        <v>3</v>
      </c>
      <c r="D13" s="31">
        <v>14.33</v>
      </c>
      <c r="E13" s="31">
        <f t="shared" si="0"/>
        <v>1.4330000000000001</v>
      </c>
      <c r="F13" s="58"/>
      <c r="G13" s="58"/>
      <c r="H13" s="58"/>
      <c r="I13" s="61"/>
      <c r="R13" s="28">
        <f>B29</f>
        <v>0.26302000000000098</v>
      </c>
      <c r="S13" s="26">
        <f>H29</f>
        <v>1.0913284444444449</v>
      </c>
      <c r="T13" s="26">
        <f>R13*$O$23+$P$23</f>
        <v>1.0947156565656577</v>
      </c>
      <c r="U13" s="26">
        <f t="shared" si="2"/>
        <v>-3.3872121212128459E-3</v>
      </c>
      <c r="V13" s="26">
        <f>T13+$P$25</f>
        <v>1.1250289367119337</v>
      </c>
      <c r="W13" s="26">
        <f>T13-$P$25</f>
        <v>1.0644023764193817</v>
      </c>
    </row>
    <row r="14" spans="1:23" x14ac:dyDescent="0.3">
      <c r="A14" s="45">
        <v>0.44</v>
      </c>
      <c r="B14" s="53">
        <f>A14+$B$37</f>
        <v>0.46301999999999999</v>
      </c>
      <c r="C14" s="8">
        <v>1</v>
      </c>
      <c r="D14" s="29">
        <v>13.78</v>
      </c>
      <c r="E14" s="29">
        <f t="shared" si="0"/>
        <v>1.3779999999999999</v>
      </c>
      <c r="F14" s="56">
        <f>AVERAGE(E14:E16)</f>
        <v>1.3776666666666666</v>
      </c>
      <c r="G14" s="56">
        <f t="shared" ref="G14" si="5">_xlfn.STDEV.P(E14:E16)/SQRT(3)</f>
        <v>1.1863420280035009E-3</v>
      </c>
      <c r="H14" s="56">
        <f>F14^2</f>
        <v>1.8979654444444443</v>
      </c>
      <c r="I14" s="59">
        <f>2*F14*G14</f>
        <v>3.2687677344923126E-3</v>
      </c>
      <c r="R14" s="28">
        <f>B32</f>
        <v>0.223020000000001</v>
      </c>
      <c r="S14" s="26">
        <f>H32</f>
        <v>0.9383151111111111</v>
      </c>
      <c r="T14" s="26">
        <f>R14*$O$23+$P$23</f>
        <v>0.92928958585858656</v>
      </c>
      <c r="U14" s="26">
        <f t="shared" si="2"/>
        <v>9.0255252525245355E-3</v>
      </c>
      <c r="V14" s="26">
        <f>T14+$P$25</f>
        <v>0.95960286600486244</v>
      </c>
      <c r="W14" s="26">
        <f>T14-$P$25</f>
        <v>0.89897630571231069</v>
      </c>
    </row>
    <row r="15" spans="1:23" x14ac:dyDescent="0.3">
      <c r="A15" s="46"/>
      <c r="B15" s="54"/>
      <c r="C15" s="3">
        <v>2</v>
      </c>
      <c r="D15" s="30">
        <v>13.8</v>
      </c>
      <c r="E15" s="30">
        <f t="shared" si="0"/>
        <v>1.3800000000000001</v>
      </c>
      <c r="F15" s="57"/>
      <c r="G15" s="57"/>
      <c r="H15" s="57"/>
      <c r="I15" s="60"/>
    </row>
    <row r="16" spans="1:23" ht="15" thickBot="1" x14ac:dyDescent="0.35">
      <c r="A16" s="47"/>
      <c r="B16" s="55"/>
      <c r="C16" s="9">
        <v>3</v>
      </c>
      <c r="D16" s="31">
        <v>13.75</v>
      </c>
      <c r="E16" s="31">
        <f t="shared" si="0"/>
        <v>1.375</v>
      </c>
      <c r="F16" s="58"/>
      <c r="G16" s="58"/>
      <c r="H16" s="58"/>
      <c r="I16" s="61"/>
    </row>
    <row r="17" spans="1:17" x14ac:dyDescent="0.3">
      <c r="A17" s="45">
        <v>0.4</v>
      </c>
      <c r="B17" s="53">
        <f>A17+$B$37</f>
        <v>0.42302000000000001</v>
      </c>
      <c r="C17" s="10">
        <v>1</v>
      </c>
      <c r="D17" s="29">
        <v>13.27</v>
      </c>
      <c r="E17" s="29">
        <f t="shared" si="0"/>
        <v>1.327</v>
      </c>
      <c r="F17" s="56">
        <f>AVERAGE(E17:E19)</f>
        <v>1.321</v>
      </c>
      <c r="G17" s="56">
        <f t="shared" ref="G17" si="6">_xlfn.STDEV.P(E17:E19)/SQRT(3)</f>
        <v>2.4944382578492969E-3</v>
      </c>
      <c r="H17" s="56">
        <f>F17^2</f>
        <v>1.7450409999999998</v>
      </c>
      <c r="I17" s="59">
        <f>2*F17*G17</f>
        <v>6.5903058772378426E-3</v>
      </c>
    </row>
    <row r="18" spans="1:17" x14ac:dyDescent="0.3">
      <c r="A18" s="46"/>
      <c r="B18" s="54"/>
      <c r="C18" s="4">
        <v>2</v>
      </c>
      <c r="D18" s="30">
        <v>13.19</v>
      </c>
      <c r="E18" s="30">
        <f t="shared" si="0"/>
        <v>1.319</v>
      </c>
      <c r="F18" s="57"/>
      <c r="G18" s="57"/>
      <c r="H18" s="57"/>
      <c r="I18" s="60"/>
    </row>
    <row r="19" spans="1:17" ht="15" thickBot="1" x14ac:dyDescent="0.35">
      <c r="A19" s="47"/>
      <c r="B19" s="55"/>
      <c r="C19" s="11">
        <v>3</v>
      </c>
      <c r="D19" s="31">
        <v>13.17</v>
      </c>
      <c r="E19" s="31">
        <f t="shared" si="0"/>
        <v>1.3169999999999999</v>
      </c>
      <c r="F19" s="58"/>
      <c r="G19" s="58"/>
      <c r="H19" s="58"/>
      <c r="I19" s="61"/>
    </row>
    <row r="20" spans="1:17" x14ac:dyDescent="0.3">
      <c r="A20" s="45">
        <v>0.36</v>
      </c>
      <c r="B20" s="53">
        <f>A20+$B$37</f>
        <v>0.38301999999999997</v>
      </c>
      <c r="C20" s="8">
        <v>1</v>
      </c>
      <c r="D20" s="29">
        <v>12.86</v>
      </c>
      <c r="E20" s="29">
        <f t="shared" si="0"/>
        <v>1.286</v>
      </c>
      <c r="F20" s="56">
        <f>AVERAGE(E20:E22)</f>
        <v>1.2810000000000001</v>
      </c>
      <c r="G20" s="56">
        <f t="shared" ref="G20" si="7">_xlfn.STDEV.P(E20:E22)/SQRT(3)</f>
        <v>2.3570226039551609E-3</v>
      </c>
      <c r="H20" s="56">
        <f>F20^2</f>
        <v>1.6409610000000003</v>
      </c>
      <c r="I20" s="59">
        <f>2*F20*G20</f>
        <v>6.0386919113331232E-3</v>
      </c>
    </row>
    <row r="21" spans="1:17" x14ac:dyDescent="0.3">
      <c r="A21" s="48"/>
      <c r="B21" s="54"/>
      <c r="C21" s="3">
        <v>2</v>
      </c>
      <c r="D21" s="30">
        <v>12.76</v>
      </c>
      <c r="E21" s="30">
        <f t="shared" si="0"/>
        <v>1.276</v>
      </c>
      <c r="F21" s="57"/>
      <c r="G21" s="57"/>
      <c r="H21" s="57"/>
      <c r="I21" s="60"/>
    </row>
    <row r="22" spans="1:17" ht="15" thickBot="1" x14ac:dyDescent="0.35">
      <c r="A22" s="49"/>
      <c r="B22" s="55"/>
      <c r="C22" s="9">
        <v>3</v>
      </c>
      <c r="D22" s="31">
        <v>12.81</v>
      </c>
      <c r="E22" s="31">
        <f t="shared" si="0"/>
        <v>1.2810000000000001</v>
      </c>
      <c r="F22" s="58"/>
      <c r="G22" s="58"/>
      <c r="H22" s="58"/>
      <c r="I22" s="61"/>
      <c r="N22" s="38" t="s">
        <v>40</v>
      </c>
      <c r="O22" s="38"/>
      <c r="P22" s="38"/>
      <c r="Q22" s="38"/>
    </row>
    <row r="23" spans="1:17" x14ac:dyDescent="0.3">
      <c r="A23" s="45">
        <v>0.32000000000000101</v>
      </c>
      <c r="B23" s="53">
        <f>A23+$B$37</f>
        <v>0.34302000000000099</v>
      </c>
      <c r="C23" s="10">
        <v>1</v>
      </c>
      <c r="D23" s="29">
        <v>11.95</v>
      </c>
      <c r="E23" s="29">
        <f t="shared" si="0"/>
        <v>1.1949999999999998</v>
      </c>
      <c r="F23" s="56">
        <f>AVERAGE(E23:E25)</f>
        <v>1.1993333333333334</v>
      </c>
      <c r="G23" s="56">
        <f t="shared" ref="G23" si="8">_xlfn.STDEV.P(E23:E25)/SQRT(3)</f>
        <v>1.1218371176416515E-2</v>
      </c>
      <c r="H23" s="56">
        <f>F23^2</f>
        <v>1.4384004444444445</v>
      </c>
      <c r="I23" s="59">
        <f>2*F23*G23</f>
        <v>2.6909132995164415E-2</v>
      </c>
      <c r="N23" s="63" t="s">
        <v>9</v>
      </c>
      <c r="O23" s="94">
        <f t="array" ref="O23:P25">LINEST(S4:S14,R4:R14,1,1)</f>
        <v>4.1356517676767783</v>
      </c>
      <c r="P23" s="94">
        <v>6.9565286313073571E-3</v>
      </c>
      <c r="Q23" s="65" t="s">
        <v>10</v>
      </c>
    </row>
    <row r="24" spans="1:17" x14ac:dyDescent="0.3">
      <c r="A24" s="46"/>
      <c r="B24" s="54"/>
      <c r="C24" s="4">
        <v>2</v>
      </c>
      <c r="D24" s="30">
        <v>12.25</v>
      </c>
      <c r="E24" s="30">
        <f t="shared" si="0"/>
        <v>1.2250000000000001</v>
      </c>
      <c r="F24" s="57"/>
      <c r="G24" s="57"/>
      <c r="H24" s="57"/>
      <c r="I24" s="60"/>
      <c r="N24" s="64" t="s">
        <v>12</v>
      </c>
      <c r="O24" s="2">
        <v>7.2256446441988309E-2</v>
      </c>
      <c r="P24" s="2">
        <v>3.1903158009086011E-2</v>
      </c>
      <c r="Q24" s="66" t="s">
        <v>11</v>
      </c>
    </row>
    <row r="25" spans="1:17" ht="15" thickBot="1" x14ac:dyDescent="0.35">
      <c r="A25" s="47"/>
      <c r="B25" s="55"/>
      <c r="C25" s="11">
        <v>3</v>
      </c>
      <c r="D25" s="31">
        <v>11.78</v>
      </c>
      <c r="E25" s="31">
        <f t="shared" si="0"/>
        <v>1.1779999999999999</v>
      </c>
      <c r="F25" s="58"/>
      <c r="G25" s="58"/>
      <c r="H25" s="58"/>
      <c r="I25" s="61"/>
      <c r="N25" s="64" t="s">
        <v>13</v>
      </c>
      <c r="O25" s="2">
        <v>0.99726021630903305</v>
      </c>
      <c r="P25" s="2">
        <v>3.0313280146275913E-2</v>
      </c>
      <c r="Q25" s="66" t="s">
        <v>14</v>
      </c>
    </row>
    <row r="26" spans="1:17" x14ac:dyDescent="0.3">
      <c r="A26" s="45">
        <v>0.28000000000000103</v>
      </c>
      <c r="B26" s="53">
        <f>A26+$B$37</f>
        <v>0.30302000000000101</v>
      </c>
      <c r="C26" s="8">
        <v>1</v>
      </c>
      <c r="D26" s="29">
        <v>11.18</v>
      </c>
      <c r="E26" s="29">
        <f t="shared" si="0"/>
        <v>1.1179999999999999</v>
      </c>
      <c r="F26" s="56">
        <f>AVERAGE(E26:E28)</f>
        <v>1.1126666666666667</v>
      </c>
      <c r="G26" s="56">
        <f t="shared" ref="G26" si="9">_xlfn.STDEV.P(E26:E28)/SQRT(3)</f>
        <v>5.6240225488194441E-3</v>
      </c>
      <c r="H26" s="56">
        <f>F26^2</f>
        <v>1.2380271111111112</v>
      </c>
      <c r="I26" s="59">
        <f>2*F26*G26</f>
        <v>1.2515324845306203E-2</v>
      </c>
    </row>
    <row r="27" spans="1:17" x14ac:dyDescent="0.3">
      <c r="A27" s="46"/>
      <c r="B27" s="54"/>
      <c r="C27" s="3">
        <v>2</v>
      </c>
      <c r="D27" s="30">
        <v>11.21</v>
      </c>
      <c r="E27" s="30">
        <f t="shared" si="0"/>
        <v>1.121</v>
      </c>
      <c r="F27" s="57"/>
      <c r="G27" s="57"/>
      <c r="H27" s="57"/>
      <c r="I27" s="60"/>
    </row>
    <row r="28" spans="1:17" ht="15" thickBot="1" x14ac:dyDescent="0.35">
      <c r="A28" s="47"/>
      <c r="B28" s="55"/>
      <c r="C28" s="9">
        <v>3</v>
      </c>
      <c r="D28" s="31">
        <v>10.99</v>
      </c>
      <c r="E28" s="31">
        <f t="shared" si="0"/>
        <v>1.099</v>
      </c>
      <c r="F28" s="58"/>
      <c r="G28" s="58"/>
      <c r="H28" s="58"/>
      <c r="I28" s="61"/>
    </row>
    <row r="29" spans="1:17" x14ac:dyDescent="0.3">
      <c r="A29" s="45">
        <v>0.24000000000000099</v>
      </c>
      <c r="B29" s="53">
        <f>A29+$B$37</f>
        <v>0.26302000000000098</v>
      </c>
      <c r="C29" s="10">
        <v>1</v>
      </c>
      <c r="D29" s="29">
        <v>10.5</v>
      </c>
      <c r="E29" s="29">
        <f t="shared" si="0"/>
        <v>1.05</v>
      </c>
      <c r="F29" s="56">
        <f>AVERAGE(E29:E31)</f>
        <v>1.0446666666666669</v>
      </c>
      <c r="G29" s="56">
        <f t="shared" ref="G29" si="10">_xlfn.STDEV.P(E29:E31)/SQRT(3)</f>
        <v>4.3546484316145427E-3</v>
      </c>
      <c r="H29" s="56">
        <f>F29^2</f>
        <v>1.0913284444444449</v>
      </c>
      <c r="I29" s="59">
        <f>2*F29*G29</f>
        <v>9.0983121231199855E-3</v>
      </c>
    </row>
    <row r="30" spans="1:17" x14ac:dyDescent="0.3">
      <c r="A30" s="48"/>
      <c r="B30" s="54"/>
      <c r="C30" s="4">
        <v>2</v>
      </c>
      <c r="D30" s="30">
        <v>10.34</v>
      </c>
      <c r="E30" s="30">
        <f t="shared" si="0"/>
        <v>1.034</v>
      </c>
      <c r="F30" s="57"/>
      <c r="G30" s="57"/>
      <c r="H30" s="57"/>
      <c r="I30" s="60"/>
    </row>
    <row r="31" spans="1:17" ht="15" thickBot="1" x14ac:dyDescent="0.35">
      <c r="A31" s="49"/>
      <c r="B31" s="55"/>
      <c r="C31" s="11">
        <v>3</v>
      </c>
      <c r="D31" s="31">
        <v>10.5</v>
      </c>
      <c r="E31" s="31">
        <f t="shared" si="0"/>
        <v>1.05</v>
      </c>
      <c r="F31" s="58"/>
      <c r="G31" s="58"/>
      <c r="H31" s="58"/>
      <c r="I31" s="61"/>
      <c r="O31" s="35" t="s">
        <v>16</v>
      </c>
      <c r="P31" s="18">
        <f>4*(PI())^2/O23</f>
        <v>9.5458756737960595</v>
      </c>
    </row>
    <row r="32" spans="1:17" x14ac:dyDescent="0.3">
      <c r="A32" s="45">
        <v>0.20000000000000101</v>
      </c>
      <c r="B32" s="53">
        <f>A32+$B$37</f>
        <v>0.223020000000001</v>
      </c>
      <c r="C32" s="8">
        <v>1</v>
      </c>
      <c r="D32" s="29">
        <v>9.8000000000000007</v>
      </c>
      <c r="E32" s="29">
        <f t="shared" si="0"/>
        <v>0.98000000000000009</v>
      </c>
      <c r="F32" s="56">
        <f>AVERAGE(E32:E34)</f>
        <v>0.96866666666666668</v>
      </c>
      <c r="G32" s="56">
        <f t="shared" ref="G32" si="11">_xlfn.STDEV.P(E32:E34)/SQRT(3)</f>
        <v>9.6647507679923205E-3</v>
      </c>
      <c r="H32" s="56">
        <f>F32^2</f>
        <v>0.9383151111111111</v>
      </c>
      <c r="I32" s="59">
        <f>2*F32*G32</f>
        <v>1.8723843821190456E-2</v>
      </c>
      <c r="O32" s="35" t="s">
        <v>15</v>
      </c>
      <c r="P32" s="18">
        <f>4*(PI())^2/(O23^2)*O24</f>
        <v>0.16678170530614936</v>
      </c>
    </row>
    <row r="33" spans="1:16" x14ac:dyDescent="0.3">
      <c r="A33" s="46"/>
      <c r="B33" s="54"/>
      <c r="C33" s="3">
        <v>2</v>
      </c>
      <c r="D33" s="30">
        <v>9.4499999999999993</v>
      </c>
      <c r="E33" s="30">
        <f t="shared" si="0"/>
        <v>0.94499999999999995</v>
      </c>
      <c r="F33" s="57"/>
      <c r="G33" s="57"/>
      <c r="H33" s="57"/>
      <c r="I33" s="60"/>
      <c r="O33" s="35" t="s">
        <v>31</v>
      </c>
      <c r="P33" s="22">
        <f>ABS(P31-9.807)/9.807</f>
        <v>2.6626320608131016E-2</v>
      </c>
    </row>
    <row r="34" spans="1:16" ht="15" thickBot="1" x14ac:dyDescent="0.35">
      <c r="A34" s="47"/>
      <c r="B34" s="55"/>
      <c r="C34" s="9">
        <v>3</v>
      </c>
      <c r="D34" s="31">
        <v>9.81</v>
      </c>
      <c r="E34" s="31">
        <f t="shared" si="0"/>
        <v>0.98100000000000009</v>
      </c>
      <c r="F34" s="58"/>
      <c r="G34" s="58"/>
      <c r="H34" s="58"/>
      <c r="I34" s="61"/>
      <c r="O34" s="35" t="s">
        <v>39</v>
      </c>
      <c r="P34" s="22">
        <f>P32/P31</f>
        <v>1.7471598311716345E-2</v>
      </c>
    </row>
    <row r="37" spans="1:16" x14ac:dyDescent="0.3">
      <c r="A37" s="19" t="s">
        <v>45</v>
      </c>
      <c r="B37" s="20">
        <v>2.3019999999999999E-2</v>
      </c>
      <c r="C37" s="19" t="s">
        <v>2</v>
      </c>
      <c r="D37" s="17">
        <v>5.0000000000000001E-4</v>
      </c>
    </row>
    <row r="38" spans="1:16" x14ac:dyDescent="0.3">
      <c r="A38" s="19" t="s">
        <v>46</v>
      </c>
      <c r="B38" s="20">
        <v>2.0000000000000002E-5</v>
      </c>
      <c r="C38" s="19" t="s">
        <v>3</v>
      </c>
      <c r="D38" s="62">
        <f>SQRT(D37^2+B38^2)</f>
        <v>5.0039984012787211E-4</v>
      </c>
      <c r="E38" s="21"/>
      <c r="J38" s="16"/>
    </row>
    <row r="39" spans="1:16" x14ac:dyDescent="0.3">
      <c r="C39" s="21"/>
      <c r="D39" s="21"/>
      <c r="E39" s="21"/>
    </row>
    <row r="40" spans="1:16" x14ac:dyDescent="0.3">
      <c r="C40" s="21"/>
      <c r="D40" s="21"/>
      <c r="E40" s="21"/>
    </row>
    <row r="41" spans="1:16" x14ac:dyDescent="0.3">
      <c r="C41" s="21"/>
      <c r="D41" s="21"/>
      <c r="E41" s="21"/>
    </row>
    <row r="44" spans="1:16" x14ac:dyDescent="0.3">
      <c r="N44" s="15"/>
    </row>
  </sheetData>
  <mergeCells count="67">
    <mergeCell ref="N22:Q22"/>
    <mergeCell ref="H5:H7"/>
    <mergeCell ref="H2:H4"/>
    <mergeCell ref="I32:I34"/>
    <mergeCell ref="I29:I31"/>
    <mergeCell ref="I26:I28"/>
    <mergeCell ref="I23:I25"/>
    <mergeCell ref="I20:I22"/>
    <mergeCell ref="I17:I19"/>
    <mergeCell ref="I14:I16"/>
    <mergeCell ref="I11:I13"/>
    <mergeCell ref="I8:I10"/>
    <mergeCell ref="I5:I7"/>
    <mergeCell ref="H17:H19"/>
    <mergeCell ref="H14:H16"/>
    <mergeCell ref="H11:H13"/>
    <mergeCell ref="H8:H10"/>
    <mergeCell ref="I2:I4"/>
    <mergeCell ref="G14:G16"/>
    <mergeCell ref="G11:G13"/>
    <mergeCell ref="G8:G10"/>
    <mergeCell ref="G5:G7"/>
    <mergeCell ref="G2:G4"/>
    <mergeCell ref="F2:F4"/>
    <mergeCell ref="F17:F19"/>
    <mergeCell ref="F14:F16"/>
    <mergeCell ref="F11:F13"/>
    <mergeCell ref="F8:F10"/>
    <mergeCell ref="F5:F7"/>
    <mergeCell ref="G17:G19"/>
    <mergeCell ref="B20:B22"/>
    <mergeCell ref="B23:B25"/>
    <mergeCell ref="B26:B28"/>
    <mergeCell ref="B29:B31"/>
    <mergeCell ref="B17:B19"/>
    <mergeCell ref="G29:G31"/>
    <mergeCell ref="G26:G28"/>
    <mergeCell ref="G23:G25"/>
    <mergeCell ref="G20:G22"/>
    <mergeCell ref="B32:B34"/>
    <mergeCell ref="H20:H22"/>
    <mergeCell ref="H23:H25"/>
    <mergeCell ref="H26:H28"/>
    <mergeCell ref="H29:H31"/>
    <mergeCell ref="H32:H34"/>
    <mergeCell ref="F20:F22"/>
    <mergeCell ref="F23:F25"/>
    <mergeCell ref="F26:F28"/>
    <mergeCell ref="F29:F31"/>
    <mergeCell ref="F32:F34"/>
    <mergeCell ref="G32:G34"/>
    <mergeCell ref="B2:B4"/>
    <mergeCell ref="B5:B7"/>
    <mergeCell ref="B8:B10"/>
    <mergeCell ref="B11:B13"/>
    <mergeCell ref="B14:B16"/>
    <mergeCell ref="A20:A22"/>
    <mergeCell ref="A23:A25"/>
    <mergeCell ref="A26:A28"/>
    <mergeCell ref="A29:A31"/>
    <mergeCell ref="A32:A34"/>
    <mergeCell ref="A17:A19"/>
    <mergeCell ref="A2:A4"/>
    <mergeCell ref="A5:A7"/>
    <mergeCell ref="A8:A10"/>
    <mergeCell ref="A11:A13"/>
    <mergeCell ref="A14:A16"/>
  </mergeCells>
  <phoneticPr fontId="5" type="noConversion"/>
  <pageMargins left="3.937007874015748E-2" right="3.937007874015748E-2" top="0.11811023622047244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Amplitude e massa</vt:lpstr>
      <vt:lpstr>Comprimento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cp:lastPrinted>2022-05-25T13:56:24Z</cp:lastPrinted>
  <dcterms:created xsi:type="dcterms:W3CDTF">2022-04-29T11:29:38Z</dcterms:created>
  <dcterms:modified xsi:type="dcterms:W3CDTF">2022-05-25T20:21:15Z</dcterms:modified>
</cp:coreProperties>
</file>