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4F248596-9C57-4C07-BEAB-603F99001BDD}" xr6:coauthVersionLast="47" xr6:coauthVersionMax="47" xr10:uidLastSave="{00000000-0000-0000-0000-000000000000}"/>
  <bookViews>
    <workbookView xWindow="-108" yWindow="-108" windowWidth="23256" windowHeight="12456" activeTab="1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C5" i="2"/>
  <c r="D5" i="2" s="1"/>
  <c r="J34" i="1"/>
  <c r="J35" i="1"/>
  <c r="J36" i="1"/>
  <c r="J37" i="1"/>
  <c r="J38" i="1"/>
  <c r="J39" i="1"/>
  <c r="J40" i="1"/>
  <c r="J41" i="1"/>
  <c r="J42" i="1"/>
  <c r="J43" i="1"/>
  <c r="J44" i="1"/>
  <c r="I33" i="1"/>
  <c r="J33" i="1"/>
  <c r="I34" i="1"/>
  <c r="I35" i="1"/>
  <c r="I36" i="1"/>
  <c r="I37" i="1"/>
  <c r="I38" i="1"/>
  <c r="I39" i="1"/>
  <c r="I40" i="1"/>
  <c r="I41" i="1"/>
  <c r="I42" i="1"/>
  <c r="I43" i="1"/>
  <c r="I44" i="1"/>
  <c r="G18" i="1"/>
  <c r="B4" i="1"/>
  <c r="G23" i="1"/>
  <c r="G24" i="1"/>
  <c r="F4" i="1" l="1"/>
  <c r="D4" i="1"/>
  <c r="D5" i="1"/>
  <c r="D16" i="1"/>
  <c r="F24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E33" i="1" l="1"/>
  <c r="B33" i="1"/>
  <c r="W37" i="2" a="1"/>
  <c r="W37" i="2" s="1"/>
  <c r="F23" i="1"/>
  <c r="X39" i="2" l="1"/>
  <c r="X38" i="2"/>
  <c r="X37" i="2"/>
  <c r="X7" i="2" s="1"/>
  <c r="Y7" i="2" s="1"/>
  <c r="W38" i="2"/>
  <c r="W39" i="2"/>
  <c r="B5" i="1"/>
  <c r="A33" i="1" s="1"/>
  <c r="B6" i="1"/>
  <c r="A34" i="1" s="1"/>
  <c r="B7" i="1"/>
  <c r="A35" i="1" s="1"/>
  <c r="B8" i="1"/>
  <c r="A36" i="1" s="1"/>
  <c r="B9" i="1"/>
  <c r="A37" i="1" s="1"/>
  <c r="B10" i="1"/>
  <c r="A38" i="1" s="1"/>
  <c r="B11" i="1"/>
  <c r="A39" i="1" s="1"/>
  <c r="B12" i="1"/>
  <c r="A40" i="1" s="1"/>
  <c r="B13" i="1"/>
  <c r="A41" i="1" s="1"/>
  <c r="B14" i="1"/>
  <c r="A42" i="1" s="1"/>
  <c r="B15" i="1"/>
  <c r="A43" i="1" s="1"/>
  <c r="B16" i="1"/>
  <c r="A44" i="1" s="1"/>
  <c r="D21" i="2"/>
  <c r="D20" i="2"/>
  <c r="C40" i="2"/>
  <c r="D19" i="2"/>
  <c r="C39" i="2"/>
  <c r="D18" i="2"/>
  <c r="C38" i="2"/>
  <c r="D17" i="2"/>
  <c r="C37" i="2"/>
  <c r="D16" i="2"/>
  <c r="C36" i="2"/>
  <c r="D15" i="2"/>
  <c r="C35" i="2"/>
  <c r="D14" i="2"/>
  <c r="C34" i="2"/>
  <c r="D13" i="2"/>
  <c r="C33" i="2"/>
  <c r="D12" i="2"/>
  <c r="C32" i="2"/>
  <c r="D11" i="2"/>
  <c r="C31" i="2"/>
  <c r="D10" i="2"/>
  <c r="C30" i="2"/>
  <c r="D9" i="2"/>
  <c r="C29" i="2"/>
  <c r="D8" i="2"/>
  <c r="C28" i="2"/>
  <c r="D7" i="2"/>
  <c r="C27" i="2"/>
  <c r="D6" i="2"/>
  <c r="C26" i="2"/>
  <c r="D26" i="2" s="1"/>
  <c r="X15" i="2" l="1"/>
  <c r="Y15" i="2" s="1"/>
  <c r="X17" i="2"/>
  <c r="Y17" i="2" s="1"/>
  <c r="X9" i="2"/>
  <c r="Y9" i="2" s="1"/>
  <c r="X20" i="2"/>
  <c r="Y20" i="2" s="1"/>
  <c r="X11" i="2"/>
  <c r="Y11" i="2" s="1"/>
  <c r="X5" i="2"/>
  <c r="Y5" i="2" s="1"/>
  <c r="X14" i="2"/>
  <c r="Y14" i="2" s="1"/>
  <c r="X16" i="2"/>
  <c r="Y16" i="2" s="1"/>
  <c r="X19" i="2"/>
  <c r="Y19" i="2" s="1"/>
  <c r="X8" i="2"/>
  <c r="Y8" i="2" s="1"/>
  <c r="X13" i="2"/>
  <c r="Y13" i="2" s="1"/>
  <c r="X10" i="2"/>
  <c r="Y10" i="2" s="1"/>
  <c r="X21" i="2"/>
  <c r="Y21" i="2" s="1"/>
  <c r="X18" i="2"/>
  <c r="Y18" i="2" s="1"/>
  <c r="X12" i="2"/>
  <c r="Y12" i="2" s="1"/>
  <c r="D28" i="2"/>
  <c r="E28" i="2"/>
  <c r="D35" i="2"/>
  <c r="E35" i="2"/>
  <c r="D31" i="2"/>
  <c r="E31" i="2"/>
  <c r="D27" i="2"/>
  <c r="E27" i="2"/>
  <c r="D34" i="2"/>
  <c r="E34" i="2"/>
  <c r="D38" i="2"/>
  <c r="E38" i="2"/>
  <c r="D39" i="2"/>
  <c r="E39" i="2"/>
  <c r="D30" i="2"/>
  <c r="E30" i="2"/>
  <c r="D36" i="2"/>
  <c r="E36" i="2"/>
  <c r="D37" i="2"/>
  <c r="E37" i="2"/>
  <c r="D32" i="2"/>
  <c r="E32" i="2"/>
  <c r="D33" i="2"/>
  <c r="E33" i="2"/>
  <c r="D40" i="2"/>
  <c r="E40" i="2"/>
  <c r="D29" i="2"/>
  <c r="E29" i="2"/>
  <c r="Q37" i="2" l="1" a="1"/>
  <c r="Q37" i="2" s="1"/>
  <c r="F5" i="1"/>
  <c r="F6" i="1"/>
  <c r="F7" i="1"/>
  <c r="F8" i="1"/>
  <c r="F9" i="1"/>
  <c r="F10" i="1"/>
  <c r="F11" i="1"/>
  <c r="F12" i="1"/>
  <c r="F13" i="1"/>
  <c r="F14" i="1"/>
  <c r="F15" i="1"/>
  <c r="F16" i="1"/>
  <c r="D6" i="1"/>
  <c r="D7" i="1"/>
  <c r="D8" i="1"/>
  <c r="D9" i="1"/>
  <c r="D10" i="1"/>
  <c r="D11" i="1"/>
  <c r="D12" i="1"/>
  <c r="D13" i="1"/>
  <c r="D14" i="1"/>
  <c r="D15" i="1"/>
  <c r="G33" i="1" l="1"/>
  <c r="C33" i="1"/>
  <c r="H33" i="1" s="1"/>
  <c r="Q38" i="2"/>
  <c r="R39" i="2"/>
  <c r="R38" i="2"/>
  <c r="R37" i="2"/>
  <c r="Z9" i="2" s="1"/>
  <c r="AA9" i="2" s="1"/>
  <c r="Q39" i="2"/>
  <c r="Z13" i="2"/>
  <c r="AA13" i="2" s="1"/>
  <c r="Z7" i="2"/>
  <c r="AA7" i="2" s="1"/>
  <c r="Z12" i="2"/>
  <c r="AA12" i="2" s="1"/>
  <c r="Z19" i="2"/>
  <c r="AA19" i="2" s="1"/>
  <c r="Z15" i="2"/>
  <c r="AA15" i="2" s="1"/>
  <c r="E36" i="1"/>
  <c r="B36" i="1"/>
  <c r="F36" i="1" s="1"/>
  <c r="C36" i="1"/>
  <c r="H36" i="1" s="1"/>
  <c r="G36" i="1"/>
  <c r="B35" i="1"/>
  <c r="F35" i="1" s="1"/>
  <c r="E35" i="1"/>
  <c r="C35" i="1"/>
  <c r="H35" i="1" s="1"/>
  <c r="G35" i="1"/>
  <c r="B34" i="1"/>
  <c r="F34" i="1" s="1"/>
  <c r="E34" i="1"/>
  <c r="C34" i="1"/>
  <c r="H34" i="1" s="1"/>
  <c r="G34" i="1"/>
  <c r="B27" i="1" a="1"/>
  <c r="E44" i="1"/>
  <c r="B44" i="1"/>
  <c r="F44" i="1" s="1"/>
  <c r="C44" i="1"/>
  <c r="H44" i="1" s="1"/>
  <c r="G44" i="1"/>
  <c r="E43" i="1"/>
  <c r="B43" i="1"/>
  <c r="F43" i="1" s="1"/>
  <c r="C42" i="1"/>
  <c r="H42" i="1" s="1"/>
  <c r="G42" i="1"/>
  <c r="G40" i="1"/>
  <c r="C40" i="1"/>
  <c r="H40" i="1" s="1"/>
  <c r="E39" i="1"/>
  <c r="B39" i="1"/>
  <c r="F39" i="1" s="1"/>
  <c r="G39" i="1"/>
  <c r="C39" i="1"/>
  <c r="H39" i="1" s="1"/>
  <c r="C43" i="1"/>
  <c r="H43" i="1" s="1"/>
  <c r="G43" i="1"/>
  <c r="B42" i="1"/>
  <c r="F42" i="1" s="1"/>
  <c r="E42" i="1"/>
  <c r="B41" i="1"/>
  <c r="F41" i="1" s="1"/>
  <c r="E41" i="1"/>
  <c r="C41" i="1"/>
  <c r="H41" i="1" s="1"/>
  <c r="G41" i="1"/>
  <c r="B40" i="1"/>
  <c r="F40" i="1" s="1"/>
  <c r="E40" i="1"/>
  <c r="E38" i="1"/>
  <c r="B38" i="1"/>
  <c r="F38" i="1" s="1"/>
  <c r="G38" i="1"/>
  <c r="C38" i="1"/>
  <c r="H38" i="1" s="1"/>
  <c r="E37" i="1"/>
  <c r="B37" i="1"/>
  <c r="F37" i="1" s="1"/>
  <c r="C37" i="1"/>
  <c r="H37" i="1" s="1"/>
  <c r="G37" i="1"/>
  <c r="A20" i="1" a="1"/>
  <c r="A20" i="1" s="1"/>
  <c r="Z17" i="2" l="1"/>
  <c r="AA17" i="2" s="1"/>
  <c r="Z8" i="2"/>
  <c r="AA8" i="2" s="1"/>
  <c r="Z11" i="2"/>
  <c r="AA11" i="2" s="1"/>
  <c r="Z14" i="2"/>
  <c r="AA14" i="2" s="1"/>
  <c r="Z16" i="2"/>
  <c r="AA16" i="2" s="1"/>
  <c r="Z18" i="2"/>
  <c r="AA18" i="2" s="1"/>
  <c r="Z5" i="2"/>
  <c r="AA5" i="2" s="1"/>
  <c r="Z10" i="2"/>
  <c r="AA10" i="2" s="1"/>
  <c r="B27" i="1"/>
  <c r="C29" i="1"/>
  <c r="C27" i="1"/>
  <c r="B28" i="1"/>
  <c r="B29" i="1"/>
  <c r="C28" i="1"/>
  <c r="B20" i="1"/>
  <c r="D20" i="1"/>
  <c r="C20" i="1"/>
  <c r="D33" i="1" l="1"/>
  <c r="Y15" i="1"/>
  <c r="Z15" i="1" s="1"/>
  <c r="D43" i="1"/>
  <c r="D42" i="1"/>
  <c r="D38" i="1"/>
  <c r="D36" i="1"/>
  <c r="D41" i="1"/>
  <c r="D39" i="1"/>
  <c r="D34" i="1"/>
  <c r="D44" i="1"/>
  <c r="D37" i="1"/>
  <c r="D35" i="1"/>
  <c r="D40" i="1"/>
  <c r="Y9" i="1"/>
  <c r="Z9" i="1" s="1"/>
  <c r="Y12" i="1"/>
  <c r="Z12" i="1" s="1"/>
  <c r="Y10" i="1"/>
  <c r="Z10" i="1" s="1"/>
  <c r="Y7" i="1"/>
  <c r="Z7" i="1" s="1"/>
  <c r="Y6" i="1"/>
  <c r="Z6" i="1" s="1"/>
  <c r="Y5" i="1"/>
  <c r="Z5" i="1" s="1"/>
  <c r="Y16" i="1"/>
  <c r="Z16" i="1" s="1"/>
  <c r="Y8" i="1"/>
  <c r="Z8" i="1" s="1"/>
  <c r="Y4" i="1"/>
  <c r="Z4" i="1" s="1"/>
  <c r="Y13" i="1"/>
  <c r="Z13" i="1" s="1"/>
  <c r="Y14" i="1"/>
  <c r="Z14" i="1" s="1"/>
  <c r="Y11" i="1"/>
  <c r="Z11" i="1" s="1"/>
  <c r="A24" i="1" a="1"/>
  <c r="B24" i="1" s="1"/>
  <c r="K33" i="1" l="1"/>
  <c r="K44" i="1"/>
  <c r="K36" i="1"/>
  <c r="K38" i="1"/>
  <c r="K40" i="1"/>
  <c r="K43" i="1"/>
  <c r="K41" i="1"/>
  <c r="K42" i="1"/>
  <c r="K35" i="1"/>
  <c r="K37" i="1"/>
  <c r="K39" i="1"/>
  <c r="K34" i="1"/>
  <c r="C24" i="1"/>
  <c r="A24" i="1"/>
  <c r="D24" i="1"/>
  <c r="AA6" i="1" l="1"/>
  <c r="AB6" i="1" s="1"/>
  <c r="AA4" i="1"/>
  <c r="AB4" i="1" s="1"/>
  <c r="AA14" i="1"/>
  <c r="AB14" i="1" s="1"/>
  <c r="AA11" i="1"/>
  <c r="AB11" i="1" s="1"/>
  <c r="AA8" i="1"/>
  <c r="AB8" i="1" s="1"/>
  <c r="AA10" i="1"/>
  <c r="AB10" i="1" s="1"/>
  <c r="AA15" i="1"/>
  <c r="AB15" i="1" s="1"/>
  <c r="AA13" i="1"/>
  <c r="AB13" i="1" s="1"/>
  <c r="AA9" i="1"/>
  <c r="AB9" i="1" s="1"/>
  <c r="AA7" i="1"/>
  <c r="AB7" i="1" s="1"/>
  <c r="AA5" i="1"/>
  <c r="AB5" i="1" s="1"/>
  <c r="AA16" i="1"/>
  <c r="AB16" i="1" s="1"/>
  <c r="AA12" i="1"/>
  <c r="AB12" i="1" s="1"/>
</calcChain>
</file>

<file path=xl/sharedStrings.xml><?xml version="1.0" encoding="utf-8"?>
<sst xmlns="http://schemas.openxmlformats.org/spreadsheetml/2006/main" count="142" uniqueCount="60">
  <si>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</si>
  <si>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</si>
  <si>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</si>
  <si>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</si>
  <si>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</si>
  <si>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</si>
  <si>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</si>
  <si>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</si>
  <si>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</si>
  <si>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</si>
  <si>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</si>
  <si>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</si>
  <si>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</si>
  <si>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</si>
  <si>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</si>
  <si>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</si>
  <si>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</si>
  <si>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</si>
  <si>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</si>
  <si>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</si>
  <si>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</si>
  <si>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</si>
  <si>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</si>
  <si>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</si>
  <si>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</si>
  <si>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</si>
  <si>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</si>
  <si>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</si>
  <si>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</si>
  <si>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</si>
  <si>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</si>
  <si>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</si>
  <si>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</si>
  <si>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</si>
  <si>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</si>
  <si>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</si>
  <si>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</si>
  <si>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</si>
  <si>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</si>
  <si>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</si>
  <si>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</si>
  <si>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</si>
  <si>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</si>
  <si>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</si>
  <si>
    <t>±0,0001</t>
  </si>
  <si>
    <t>±0,01</t>
  </si>
  <si>
    <t>± 0,0005</t>
  </si>
  <si>
    <t>± 0,00001</t>
  </si>
  <si>
    <t>±5,0E-9</t>
  </si>
  <si>
    <t>Ec (MPa)</t>
  </si>
  <si>
    <t>u(λc) (s.u.)</t>
  </si>
  <si>
    <t>u(λd) (s.u.)</t>
  </si>
  <si>
    <t>u(L0) (m)</t>
  </si>
  <si>
    <t>u(τ) (Pa)</t>
  </si>
  <si>
    <t>\</t>
  </si>
  <si>
    <t>λ (s.u.)</t>
  </si>
  <si>
    <t>± 0,1</t>
  </si>
  <si>
    <t>± 1,25E-3</t>
  </si>
  <si>
    <t>Análise Estatística - Linearização do Relaxamento</t>
  </si>
  <si>
    <t>Análise Estatística - Linearização do Creep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</si>
</sst>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165" fontId="0" fillId="0" borderId="0" xfId="0" applyNumberForma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Descarga'!$Z$4:$Z$20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Descarga'!$AB$4:$AB$16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F(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3784818905791824"/>
          <c:w val="0.78610886123337231"/>
          <c:h val="0.6841695930362718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6389747716151149E-2"/>
                  <c:y val="-3.903126880006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4644095665825575E-2"/>
                  <c:y val="0.34725305584429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180379403794038E-2"/>
                  <c:y val="-1.08421963901435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Descarga'!$E$33:$E$44</c:f>
              <c:numCache>
                <c:formatCode>0.0000</c:formatCode>
                <c:ptCount val="12"/>
                <c:pt idx="0">
                  <c:v>1.4527845036319625E-2</c:v>
                </c:pt>
                <c:pt idx="1">
                  <c:v>3.3898305084745797E-2</c:v>
                </c:pt>
                <c:pt idx="2">
                  <c:v>5.5690072639225235E-2</c:v>
                </c:pt>
                <c:pt idx="3">
                  <c:v>8.232445520581122E-2</c:v>
                </c:pt>
                <c:pt idx="4">
                  <c:v>0.10895883777239719</c:v>
                </c:pt>
                <c:pt idx="5">
                  <c:v>0.14527845036319612</c:v>
                </c:pt>
                <c:pt idx="6">
                  <c:v>0.18644067796610173</c:v>
                </c:pt>
                <c:pt idx="7">
                  <c:v>0.22760290556900734</c:v>
                </c:pt>
                <c:pt idx="8">
                  <c:v>0.28087167070217933</c:v>
                </c:pt>
                <c:pt idx="9">
                  <c:v>0.32445520581113818</c:v>
                </c:pt>
                <c:pt idx="10">
                  <c:v>0.37772397094430987</c:v>
                </c:pt>
                <c:pt idx="11">
                  <c:v>0.42372881355932202</c:v>
                </c:pt>
              </c:numCache>
            </c:numRef>
          </c:xVal>
          <c:yVal>
            <c:numRef>
              <c:f>'Carga e Descarga'!$I$33:$I$44</c:f>
              <c:numCache>
                <c:formatCode>0.00E+00</c:formatCode>
                <c:ptCount val="12"/>
                <c:pt idx="0">
                  <c:v>1435468.9693616317</c:v>
                </c:pt>
                <c:pt idx="1">
                  <c:v>2184640.3405754548</c:v>
                </c:pt>
                <c:pt idx="2">
                  <c:v>2968154.3831931339</c:v>
                </c:pt>
                <c:pt idx="3">
                  <c:v>3790013.0992926387</c:v>
                </c:pt>
                <c:pt idx="4">
                  <c:v>4648300.982800982</c:v>
                </c:pt>
                <c:pt idx="5">
                  <c:v>5594482.818265683</c:v>
                </c:pt>
                <c:pt idx="6">
                  <c:v>6638933.1210191082</c:v>
                </c:pt>
                <c:pt idx="7">
                  <c:v>7773333.2088437406</c:v>
                </c:pt>
                <c:pt idx="8">
                  <c:v>9100180.9901301991</c:v>
                </c:pt>
                <c:pt idx="9">
                  <c:v>10471967.503571039</c:v>
                </c:pt>
                <c:pt idx="10">
                  <c:v>12107647.367194779</c:v>
                </c:pt>
                <c:pt idx="11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Descarga'!$G$33:$G$44</c:f>
              <c:numCache>
                <c:formatCode>0.0000</c:formatCode>
                <c:ptCount val="12"/>
                <c:pt idx="0">
                  <c:v>2.6634382566585981E-2</c:v>
                </c:pt>
                <c:pt idx="1">
                  <c:v>4.8426150121065423E-2</c:v>
                </c:pt>
                <c:pt idx="2">
                  <c:v>7.2639225181598127E-2</c:v>
                </c:pt>
                <c:pt idx="3">
                  <c:v>0.10411622276029066</c:v>
                </c:pt>
                <c:pt idx="4">
                  <c:v>0.13801452784503632</c:v>
                </c:pt>
                <c:pt idx="5">
                  <c:v>0.17917675544794193</c:v>
                </c:pt>
                <c:pt idx="6">
                  <c:v>0.22033898305084754</c:v>
                </c:pt>
                <c:pt idx="7">
                  <c:v>0.25665859564164661</c:v>
                </c:pt>
                <c:pt idx="8">
                  <c:v>0.305084745762712</c:v>
                </c:pt>
                <c:pt idx="9">
                  <c:v>0.35351089588377743</c:v>
                </c:pt>
                <c:pt idx="10">
                  <c:v>0.39467312348668276</c:v>
                </c:pt>
                <c:pt idx="11">
                  <c:v>0.42857142857142855</c:v>
                </c:pt>
              </c:numCache>
            </c:numRef>
          </c:xVal>
          <c:yVal>
            <c:numRef>
              <c:f>'Carga e Descarga'!$I$33:$I$44</c:f>
              <c:numCache>
                <c:formatCode>0.00E+00</c:formatCode>
                <c:ptCount val="12"/>
                <c:pt idx="0">
                  <c:v>1435468.9693616317</c:v>
                </c:pt>
                <c:pt idx="1">
                  <c:v>2184640.3405754548</c:v>
                </c:pt>
                <c:pt idx="2">
                  <c:v>2968154.3831931339</c:v>
                </c:pt>
                <c:pt idx="3">
                  <c:v>3790013.0992926387</c:v>
                </c:pt>
                <c:pt idx="4">
                  <c:v>4648300.982800982</c:v>
                </c:pt>
                <c:pt idx="5">
                  <c:v>5594482.818265683</c:v>
                </c:pt>
                <c:pt idx="6">
                  <c:v>6638933.1210191082</c:v>
                </c:pt>
                <c:pt idx="7">
                  <c:v>7773333.2088437406</c:v>
                </c:pt>
                <c:pt idx="8">
                  <c:v>9100180.9901301991</c:v>
                </c:pt>
                <c:pt idx="9">
                  <c:v>10471967.503571039</c:v>
                </c:pt>
                <c:pt idx="10">
                  <c:v>12107647.367194779</c:v>
                </c:pt>
                <c:pt idx="11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746146341463415"/>
          <c:y val="0.67760267466526558"/>
          <c:w val="0.30615956639566394"/>
          <c:h val="0.16384500610132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78328343083784"/>
          <c:y val="0.17171296296296296"/>
          <c:w val="0.8209734234902231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layout>
            <c:manualLayout>
              <c:xMode val="edge"/>
              <c:yMode val="edge"/>
              <c:x val="3.4536489311558954E-4"/>
              <c:y val="0.40797934132215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Relax'!$F$26:$F$40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Relax'!$D$26:$D$40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8776488723839"/>
          <c:y val="0.17691636263116342"/>
          <c:w val="0.78023002772745031"/>
          <c:h val="0.65819634758141254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Relax'!$Y$5:$Y$19</c:f>
              <c:numCache>
                <c:formatCode>0.00</c:formatCode>
                <c:ptCount val="15"/>
                <c:pt idx="0">
                  <c:v>-0.34390832433375484</c:v>
                </c:pt>
                <c:pt idx="2">
                  <c:v>2.3296036050003188E-2</c:v>
                </c:pt>
                <c:pt idx="3">
                  <c:v>5.8723118701605515E-2</c:v>
                </c:pt>
                <c:pt idx="4">
                  <c:v>-0.11140551087668271</c:v>
                </c:pt>
                <c:pt idx="5">
                  <c:v>7.4309048098410102E-2</c:v>
                </c:pt>
                <c:pt idx="6">
                  <c:v>8.4132353061019849E-2</c:v>
                </c:pt>
                <c:pt idx="7">
                  <c:v>9.3629903966014005E-2</c:v>
                </c:pt>
                <c:pt idx="8">
                  <c:v>0.14097378083979084</c:v>
                </c:pt>
                <c:pt idx="9">
                  <c:v>8.774143617974639E-2</c:v>
                </c:pt>
                <c:pt idx="10">
                  <c:v>0.10403814496917008</c:v>
                </c:pt>
                <c:pt idx="11">
                  <c:v>7.6415619823738012E-2</c:v>
                </c:pt>
                <c:pt idx="12">
                  <c:v>4.9208270178403346E-2</c:v>
                </c:pt>
                <c:pt idx="13">
                  <c:v>-1.3173383720086029E-2</c:v>
                </c:pt>
                <c:pt idx="14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2.3587551676159401E-2"/>
              <c:y val="0.34580313988059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57917685301165"/>
          <c:y val="0.17691636263116342"/>
          <c:w val="0.76034994105653331"/>
          <c:h val="0.63570431337477873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Relax'!$F$26:$F$40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Relax'!$AA$5:$AA$19</c:f>
              <c:numCache>
                <c:formatCode>0.00</c:formatCode>
                <c:ptCount val="15"/>
                <c:pt idx="0">
                  <c:v>5.9937950881213453E-2</c:v>
                </c:pt>
                <c:pt idx="2">
                  <c:v>7.4089972111591962E-2</c:v>
                </c:pt>
                <c:pt idx="3">
                  <c:v>-5.0797759367187112E-3</c:v>
                </c:pt>
                <c:pt idx="4">
                  <c:v>-2.0446211829749927E-3</c:v>
                </c:pt>
                <c:pt idx="5">
                  <c:v>1.8742951263523544E-2</c:v>
                </c:pt>
                <c:pt idx="6">
                  <c:v>-2.8905547979701574E-2</c:v>
                </c:pt>
                <c:pt idx="7">
                  <c:v>-8.4370241800106882E-2</c:v>
                </c:pt>
                <c:pt idx="8">
                  <c:v>-4.614976638868562E-2</c:v>
                </c:pt>
                <c:pt idx="9">
                  <c:v>-1.6112099976625771E-2</c:v>
                </c:pt>
                <c:pt idx="10">
                  <c:v>-6.8729381850999083E-2</c:v>
                </c:pt>
                <c:pt idx="11">
                  <c:v>-3.5565025297787045E-2</c:v>
                </c:pt>
                <c:pt idx="12">
                  <c:v>-2.4366760028371459E-3</c:v>
                </c:pt>
                <c:pt idx="13">
                  <c:v>5.5650997181010631E-2</c:v>
                </c:pt>
                <c:pt idx="14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2.9795632092542979E-2"/>
              <c:y val="0.34817582803480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tx>
            <c:v>Linear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475064994124026"/>
          <c:y val="0.67208260425780098"/>
          <c:w val="0.30005201805593562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tx>
            <c:v>Linear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Relax'!$F$26:$F$40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Relax'!$E$27:$E$40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191043564126241"/>
          <c:y val="0.31889218418614873"/>
          <c:w val="0.35785407219074522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210594</xdr:colOff>
      <xdr:row>17</xdr:row>
      <xdr:rowOff>178303</xdr:rowOff>
    </xdr:from>
    <xdr:to>
      <xdr:col>18</xdr:col>
      <xdr:colOff>221597</xdr:colOff>
      <xdr:row>32</xdr:row>
      <xdr:rowOff>109092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574132</xdr:colOff>
      <xdr:row>0</xdr:row>
      <xdr:rowOff>107577</xdr:rowOff>
    </xdr:from>
    <xdr:to>
      <xdr:col>17</xdr:col>
      <xdr:colOff>563741</xdr:colOff>
      <xdr:row>16</xdr:row>
      <xdr:rowOff>119850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21035</xdr:colOff>
      <xdr:row>34</xdr:row>
      <xdr:rowOff>116541</xdr:rowOff>
    </xdr:from>
    <xdr:to>
      <xdr:col>29</xdr:col>
      <xdr:colOff>246173</xdr:colOff>
      <xdr:row>49</xdr:row>
      <xdr:rowOff>40909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368164</xdr:colOff>
      <xdr:row>0</xdr:row>
      <xdr:rowOff>125506</xdr:rowOff>
    </xdr:from>
    <xdr:to>
      <xdr:col>29</xdr:col>
      <xdr:colOff>595774</xdr:colOff>
      <xdr:row>16</xdr:row>
      <xdr:rowOff>109004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231323</xdr:colOff>
      <xdr:row>17</xdr:row>
      <xdr:rowOff>145654</xdr:rowOff>
    </xdr:from>
    <xdr:to>
      <xdr:col>29</xdr:col>
      <xdr:colOff>438151</xdr:colOff>
      <xdr:row>32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200491</xdr:colOff>
      <xdr:row>34</xdr:row>
      <xdr:rowOff>68351</xdr:rowOff>
    </xdr:from>
    <xdr:to>
      <xdr:col>18</xdr:col>
      <xdr:colOff>126399</xdr:colOff>
      <xdr:row>49</xdr:row>
      <xdr:rowOff>95901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413225</xdr:colOff>
      <xdr:row>0</xdr:row>
      <xdr:rowOff>57050</xdr:rowOff>
    </xdr:from>
    <xdr:to>
      <xdr:col>13</xdr:col>
      <xdr:colOff>537881</xdr:colOff>
      <xdr:row>17</xdr:row>
      <xdr:rowOff>47269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105801</xdr:colOff>
      <xdr:row>23</xdr:row>
      <xdr:rowOff>70088</xdr:rowOff>
    </xdr:from>
    <xdr:to>
      <xdr:col>13</xdr:col>
      <xdr:colOff>509661</xdr:colOff>
      <xdr:row>40</xdr:row>
      <xdr:rowOff>92134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85062</xdr:colOff>
      <xdr:row>1</xdr:row>
      <xdr:rowOff>104215</xdr:rowOff>
    </xdr:from>
    <xdr:to>
      <xdr:col>37</xdr:col>
      <xdr:colOff>165212</xdr:colOff>
      <xdr:row>19</xdr:row>
      <xdr:rowOff>113179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354511</xdr:colOff>
      <xdr:row>23</xdr:row>
      <xdr:rowOff>152400</xdr:rowOff>
    </xdr:from>
    <xdr:to>
      <xdr:col>36</xdr:col>
      <xdr:colOff>350794</xdr:colOff>
      <xdr:row>41</xdr:row>
      <xdr:rowOff>4889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147917</xdr:colOff>
      <xdr:row>1</xdr:row>
      <xdr:rowOff>40340</xdr:rowOff>
    </xdr:from>
    <xdr:to>
      <xdr:col>21</xdr:col>
      <xdr:colOff>685800</xdr:colOff>
      <xdr:row>17</xdr:row>
      <xdr:rowOff>94128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147918</xdr:colOff>
      <xdr:row>17</xdr:row>
      <xdr:rowOff>156883</xdr:rowOff>
    </xdr:from>
    <xdr:to>
      <xdr:col>21</xdr:col>
      <xdr:colOff>685801</xdr:colOff>
      <xdr:row>34</xdr:row>
      <xdr:rowOff>31377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F45"/>
  <sheetViews>
    <sheetView zoomScale="85" zoomScaleNormal="85" workbookViewId="0">
      <selection activeCell="J23" sqref="J23"/>
    </sheetView>
  </sheetViews>
  <sheetFormatPr defaultRowHeight="14.4" x14ac:dyDescent="0.3"/>
  <cols>
    <col min="5" max="5" width="10.6640625" customWidth="1"/>
    <col min="6" max="6" width="9.5546875" customWidth="1"/>
    <col min="8" max="8" width="9.6640625" customWidth="1"/>
    <col min="9" max="9" width="12" bestFit="1" customWidth="1"/>
    <col min="10" max="10" width="12" customWidth="1"/>
    <col min="11" max="11" width="11" customWidth="1"/>
    <col min="12" max="12" width="12" bestFit="1" customWidth="1"/>
    <col min="15" max="15" width="10" customWidth="1"/>
    <col min="18" max="18" width="10.6640625" customWidth="1"/>
    <col min="23" max="23" width="10.33203125" customWidth="1"/>
  </cols>
  <sheetData>
    <row r="1" spans="1:28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Y1" s="26" t="s">
        <v>11</v>
      </c>
      <c r="Z1" s="26"/>
      <c r="AA1" s="26" t="s">
        <v>12</v>
      </c>
      <c r="AB1" s="26"/>
    </row>
    <row r="2" spans="1:28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32</v>
      </c>
      <c r="H2" s="3" t="s">
        <v>33</v>
      </c>
      <c r="I2" s="3" t="s">
        <v>23</v>
      </c>
      <c r="J2" s="41"/>
      <c r="Y2" s="6" t="s">
        <v>13</v>
      </c>
      <c r="Z2" s="6" t="s">
        <v>14</v>
      </c>
      <c r="AA2" s="6" t="s">
        <v>13</v>
      </c>
      <c r="AB2" s="6" t="s">
        <v>14</v>
      </c>
    </row>
    <row r="3" spans="1:28" x14ac:dyDescent="0.3">
      <c r="A3" s="3" t="s">
        <v>44</v>
      </c>
      <c r="B3" s="23" t="s">
        <v>45</v>
      </c>
      <c r="C3" s="23" t="s">
        <v>46</v>
      </c>
      <c r="D3" s="3" t="s">
        <v>46</v>
      </c>
      <c r="E3" s="23" t="s">
        <v>46</v>
      </c>
      <c r="F3" s="3" t="s">
        <v>46</v>
      </c>
      <c r="G3" s="3" t="s">
        <v>47</v>
      </c>
      <c r="H3" s="3" t="s">
        <v>47</v>
      </c>
      <c r="I3" s="3" t="s">
        <v>48</v>
      </c>
      <c r="Y3" s="18"/>
      <c r="Z3" s="18"/>
      <c r="AA3" s="18"/>
      <c r="AB3" s="18"/>
    </row>
    <row r="4" spans="1:28" x14ac:dyDescent="0.3">
      <c r="A4" s="15">
        <v>1.0240000000000001E-2</v>
      </c>
      <c r="B4" s="15">
        <f>A4*9.81</f>
        <v>0.10045440000000001</v>
      </c>
      <c r="C4" s="15">
        <v>0.41299999999999998</v>
      </c>
      <c r="D4" s="15">
        <f t="shared" ref="D4:D16" si="0">C4-$G$18</f>
        <v>0</v>
      </c>
      <c r="E4" s="15">
        <v>0.41699999999999998</v>
      </c>
      <c r="F4" s="15">
        <f t="shared" ref="F4:F16" si="1">E4-$G$18</f>
        <v>4.0000000000000036E-3</v>
      </c>
      <c r="G4" s="4">
        <v>3.28E-4</v>
      </c>
      <c r="H4" s="4">
        <v>4.2700000000000002E-4</v>
      </c>
      <c r="I4" s="19">
        <v>1.4000000000000001E-7</v>
      </c>
      <c r="Y4" s="16">
        <f t="shared" ref="Y4:Y16" si="2">$A$20*D4^3+$B$20*D4^2+$C$20*D4+$D$20</f>
        <v>0.11543688973114569</v>
      </c>
      <c r="Z4" s="16">
        <f>B4-Y4</f>
        <v>-1.4982489731145673E-2</v>
      </c>
      <c r="AA4" s="16">
        <f t="shared" ref="AA4:AA16" si="3">$A$24*(F4^3)+$B$24*(F4^2)+$C$24*F4+$D$24</f>
        <v>0.1138750385595301</v>
      </c>
      <c r="AB4" s="16">
        <f>B4-AA4</f>
        <v>-1.3420638559530088E-2</v>
      </c>
    </row>
    <row r="5" spans="1:28" x14ac:dyDescent="0.3">
      <c r="A5" s="15">
        <v>2.0250000000000001E-2</v>
      </c>
      <c r="B5" s="15">
        <f t="shared" ref="B5:B16" si="4">A5*9.81</f>
        <v>0.19865250000000001</v>
      </c>
      <c r="C5" s="15">
        <v>0.41899999999999998</v>
      </c>
      <c r="D5" s="15">
        <f t="shared" si="0"/>
        <v>6.0000000000000053E-3</v>
      </c>
      <c r="E5" s="15">
        <v>0.42399999999999999</v>
      </c>
      <c r="F5" s="15">
        <f t="shared" si="1"/>
        <v>1.100000000000001E-2</v>
      </c>
      <c r="G5" s="5" t="s">
        <v>4</v>
      </c>
      <c r="H5" s="5" t="s">
        <v>4</v>
      </c>
      <c r="I5" s="5" t="s">
        <v>4</v>
      </c>
      <c r="Y5" s="16">
        <f t="shared" si="2"/>
        <v>0.19364495040707835</v>
      </c>
      <c r="Z5" s="16">
        <f t="shared" ref="Z5:Z16" si="5">B5-Y5</f>
        <v>5.0075495929216562E-3</v>
      </c>
      <c r="AA5" s="16">
        <f t="shared" si="3"/>
        <v>0.19434772374568215</v>
      </c>
      <c r="AB5" s="16">
        <f t="shared" ref="AB5:AB16" si="6">B5-AA5</f>
        <v>4.3047762543178547E-3</v>
      </c>
    </row>
    <row r="6" spans="1:28" x14ac:dyDescent="0.3">
      <c r="A6" s="15">
        <v>3.0339999999999999E-2</v>
      </c>
      <c r="B6" s="15">
        <f t="shared" si="4"/>
        <v>0.29763539999999999</v>
      </c>
      <c r="C6" s="15">
        <v>0.42699999999999999</v>
      </c>
      <c r="D6" s="15">
        <f t="shared" si="0"/>
        <v>1.4000000000000012E-2</v>
      </c>
      <c r="E6" s="15">
        <v>0.433</v>
      </c>
      <c r="F6" s="15">
        <f t="shared" si="1"/>
        <v>2.0000000000000018E-2</v>
      </c>
      <c r="G6" s="5" t="s">
        <v>4</v>
      </c>
      <c r="H6" s="5" t="s">
        <v>4</v>
      </c>
      <c r="I6" s="5" t="s">
        <v>4</v>
      </c>
      <c r="Y6" s="16">
        <f t="shared" si="2"/>
        <v>0.28999942529810896</v>
      </c>
      <c r="Z6" s="16">
        <f t="shared" si="5"/>
        <v>7.6359747018910351E-3</v>
      </c>
      <c r="AA6" s="16">
        <f t="shared" si="3"/>
        <v>0.28942658841201363</v>
      </c>
      <c r="AB6" s="16">
        <f t="shared" si="6"/>
        <v>8.2088115879863643E-3</v>
      </c>
    </row>
    <row r="7" spans="1:28" x14ac:dyDescent="0.3">
      <c r="A7" s="15">
        <v>4.0489999999999998E-2</v>
      </c>
      <c r="B7" s="15">
        <f t="shared" si="4"/>
        <v>0.39720690000000003</v>
      </c>
      <c r="C7" s="15">
        <v>0.436</v>
      </c>
      <c r="D7" s="15">
        <f t="shared" si="0"/>
        <v>2.300000000000002E-2</v>
      </c>
      <c r="E7" s="15">
        <v>0.443</v>
      </c>
      <c r="F7" s="15">
        <f t="shared" si="1"/>
        <v>3.0000000000000027E-2</v>
      </c>
      <c r="G7" s="5" t="s">
        <v>4</v>
      </c>
      <c r="H7" s="5" t="s">
        <v>4</v>
      </c>
      <c r="I7" s="5" t="s">
        <v>4</v>
      </c>
      <c r="Y7" s="16">
        <f t="shared" si="2"/>
        <v>0.38830599108672942</v>
      </c>
      <c r="Z7" s="16">
        <f t="shared" si="5"/>
        <v>8.900908913270611E-3</v>
      </c>
      <c r="AA7" s="16">
        <f t="shared" si="3"/>
        <v>0.38494431336259582</v>
      </c>
      <c r="AB7" s="16">
        <f t="shared" si="6"/>
        <v>1.2262586637404205E-2</v>
      </c>
    </row>
    <row r="8" spans="1:28" x14ac:dyDescent="0.3">
      <c r="A8" s="15">
        <v>5.0560000000000001E-2</v>
      </c>
      <c r="B8" s="15">
        <f t="shared" si="4"/>
        <v>0.49599360000000003</v>
      </c>
      <c r="C8" s="15">
        <v>0.44700000000000001</v>
      </c>
      <c r="D8" s="15">
        <f t="shared" si="0"/>
        <v>3.400000000000003E-2</v>
      </c>
      <c r="E8" s="15">
        <v>0.45600000000000002</v>
      </c>
      <c r="F8" s="15">
        <f t="shared" si="1"/>
        <v>4.3000000000000038E-2</v>
      </c>
      <c r="G8" s="5" t="s">
        <v>4</v>
      </c>
      <c r="H8" s="5" t="s">
        <v>4</v>
      </c>
      <c r="I8" s="5" t="s">
        <v>4</v>
      </c>
      <c r="Y8" s="16">
        <f t="shared" si="2"/>
        <v>0.49522653182815812</v>
      </c>
      <c r="Z8" s="16">
        <f t="shared" si="5"/>
        <v>7.6706817184191145E-4</v>
      </c>
      <c r="AA8" s="16">
        <f t="shared" si="3"/>
        <v>0.4950025994997459</v>
      </c>
      <c r="AB8" s="16">
        <f t="shared" si="6"/>
        <v>9.9100050025413555E-4</v>
      </c>
    </row>
    <row r="9" spans="1:28" x14ac:dyDescent="0.3">
      <c r="A9" s="15">
        <v>6.0609999999999997E-2</v>
      </c>
      <c r="B9" s="15">
        <f t="shared" si="4"/>
        <v>0.59458409999999995</v>
      </c>
      <c r="C9" s="15">
        <v>0.45800000000000002</v>
      </c>
      <c r="D9" s="15">
        <f t="shared" si="0"/>
        <v>4.500000000000004E-2</v>
      </c>
      <c r="E9" s="15">
        <v>0.47</v>
      </c>
      <c r="F9" s="15">
        <f t="shared" si="1"/>
        <v>5.6999999999999995E-2</v>
      </c>
      <c r="G9" s="5" t="s">
        <v>4</v>
      </c>
      <c r="H9" s="5" t="s">
        <v>4</v>
      </c>
      <c r="I9" s="5" t="s">
        <v>4</v>
      </c>
      <c r="Y9" s="16">
        <f t="shared" si="2"/>
        <v>0.58915051373090188</v>
      </c>
      <c r="Z9" s="16">
        <f t="shared" si="5"/>
        <v>5.4335862690980674E-3</v>
      </c>
      <c r="AA9" s="16">
        <f t="shared" si="3"/>
        <v>0.59834250902307207</v>
      </c>
      <c r="AB9" s="16">
        <f t="shared" si="6"/>
        <v>-3.7584090230721179E-3</v>
      </c>
    </row>
    <row r="10" spans="1:28" x14ac:dyDescent="0.3">
      <c r="A10" s="15">
        <v>7.0650000000000004E-2</v>
      </c>
      <c r="B10" s="15">
        <f t="shared" si="4"/>
        <v>0.6930765000000001</v>
      </c>
      <c r="C10" s="15">
        <v>0.47299999999999998</v>
      </c>
      <c r="D10" s="15">
        <f t="shared" si="0"/>
        <v>0.06</v>
      </c>
      <c r="E10" s="15">
        <v>0.48699999999999999</v>
      </c>
      <c r="F10" s="15">
        <f t="shared" si="1"/>
        <v>7.400000000000001E-2</v>
      </c>
      <c r="G10" s="5" t="s">
        <v>4</v>
      </c>
      <c r="H10" s="5" t="s">
        <v>4</v>
      </c>
      <c r="I10" s="5" t="s">
        <v>4</v>
      </c>
      <c r="Y10" s="16">
        <f t="shared" si="2"/>
        <v>0.69928167827754861</v>
      </c>
      <c r="Z10" s="16">
        <f t="shared" si="5"/>
        <v>-6.2051782775485176E-3</v>
      </c>
      <c r="AA10" s="16">
        <f t="shared" si="3"/>
        <v>0.7070664921675025</v>
      </c>
      <c r="AB10" s="16">
        <f t="shared" si="6"/>
        <v>-1.3989992167502407E-2</v>
      </c>
    </row>
    <row r="11" spans="1:28" x14ac:dyDescent="0.3">
      <c r="A11" s="15">
        <v>8.0750000000000002E-2</v>
      </c>
      <c r="B11" s="15">
        <f t="shared" si="4"/>
        <v>0.79215750000000007</v>
      </c>
      <c r="C11" s="15">
        <v>0.49</v>
      </c>
      <c r="D11" s="15">
        <f t="shared" si="0"/>
        <v>7.7000000000000013E-2</v>
      </c>
      <c r="E11" s="15">
        <v>0.504</v>
      </c>
      <c r="F11" s="15">
        <f t="shared" si="1"/>
        <v>9.1000000000000025E-2</v>
      </c>
      <c r="G11" s="5" t="s">
        <v>4</v>
      </c>
      <c r="H11" s="5" t="s">
        <v>4</v>
      </c>
      <c r="I11" s="5" t="s">
        <v>4</v>
      </c>
      <c r="J11" s="41"/>
      <c r="Y11" s="16">
        <f t="shared" si="2"/>
        <v>0.80392300115051696</v>
      </c>
      <c r="Z11" s="16">
        <f t="shared" si="5"/>
        <v>-1.1765501150516888E-2</v>
      </c>
      <c r="AA11" s="16">
        <f t="shared" si="3"/>
        <v>0.80268431952747932</v>
      </c>
      <c r="AB11" s="16">
        <f t="shared" si="6"/>
        <v>-1.0526819527479248E-2</v>
      </c>
    </row>
    <row r="12" spans="1:28" x14ac:dyDescent="0.3">
      <c r="A12" s="15">
        <v>9.0929999999999997E-2</v>
      </c>
      <c r="B12" s="15">
        <f t="shared" si="4"/>
        <v>0.89202329999999996</v>
      </c>
      <c r="C12" s="15">
        <v>0.50700000000000001</v>
      </c>
      <c r="D12" s="15">
        <f t="shared" si="0"/>
        <v>9.4000000000000028E-2</v>
      </c>
      <c r="E12" s="15">
        <v>0.51900000000000002</v>
      </c>
      <c r="F12" s="15">
        <f t="shared" si="1"/>
        <v>0.10600000000000004</v>
      </c>
      <c r="G12" s="5" t="s">
        <v>4</v>
      </c>
      <c r="H12" s="5" t="s">
        <v>4</v>
      </c>
      <c r="I12" s="5" t="s">
        <v>4</v>
      </c>
      <c r="Y12" s="16">
        <f t="shared" si="2"/>
        <v>0.89301343109781373</v>
      </c>
      <c r="Z12" s="16">
        <f t="shared" si="5"/>
        <v>-9.901310978137623E-4</v>
      </c>
      <c r="AA12" s="16">
        <f t="shared" si="3"/>
        <v>0.88064171190349305</v>
      </c>
      <c r="AB12" s="16">
        <f t="shared" si="6"/>
        <v>1.1381588096506912E-2</v>
      </c>
    </row>
    <row r="13" spans="1:28" x14ac:dyDescent="0.3">
      <c r="A13" s="15">
        <v>0.10097</v>
      </c>
      <c r="B13" s="15">
        <f t="shared" si="4"/>
        <v>0.99051570000000011</v>
      </c>
      <c r="C13" s="15">
        <v>0.52900000000000003</v>
      </c>
      <c r="D13" s="15">
        <f t="shared" si="0"/>
        <v>0.11600000000000005</v>
      </c>
      <c r="E13" s="15">
        <v>0.53900000000000003</v>
      </c>
      <c r="F13" s="15">
        <f t="shared" si="1"/>
        <v>0.12600000000000006</v>
      </c>
      <c r="G13" s="5" t="s">
        <v>4</v>
      </c>
      <c r="H13" s="5" t="s">
        <v>4</v>
      </c>
      <c r="I13" s="5" t="s">
        <v>4</v>
      </c>
      <c r="Y13" s="16">
        <f t="shared" si="2"/>
        <v>0.99520484458816205</v>
      </c>
      <c r="Z13" s="16">
        <f t="shared" si="5"/>
        <v>-4.689144588161942E-3</v>
      </c>
      <c r="AA13" s="16">
        <f t="shared" si="3"/>
        <v>0.98215719604090768</v>
      </c>
      <c r="AB13" s="16">
        <f t="shared" si="6"/>
        <v>8.3585039590924337E-3</v>
      </c>
    </row>
    <row r="14" spans="1:28" x14ac:dyDescent="0.3">
      <c r="A14" s="15">
        <v>0.11103</v>
      </c>
      <c r="B14" s="15">
        <f t="shared" si="4"/>
        <v>1.0892043</v>
      </c>
      <c r="C14" s="15">
        <v>0.54700000000000004</v>
      </c>
      <c r="D14" s="15">
        <f t="shared" si="0"/>
        <v>0.13400000000000006</v>
      </c>
      <c r="E14" s="15">
        <v>0.55900000000000005</v>
      </c>
      <c r="F14" s="15">
        <f t="shared" si="1"/>
        <v>0.14600000000000007</v>
      </c>
      <c r="G14" s="5" t="s">
        <v>4</v>
      </c>
      <c r="H14" s="5" t="s">
        <v>4</v>
      </c>
      <c r="I14" s="5" t="s">
        <v>4</v>
      </c>
      <c r="Y14" s="16">
        <f t="shared" si="2"/>
        <v>1.0763474259512305</v>
      </c>
      <c r="Z14" s="16">
        <f t="shared" si="5"/>
        <v>1.2856874048769562E-2</v>
      </c>
      <c r="AA14" s="16">
        <f t="shared" si="3"/>
        <v>1.089265503901349</v>
      </c>
      <c r="AB14" s="16">
        <f t="shared" si="6"/>
        <v>-6.1203901349005108E-5</v>
      </c>
    </row>
    <row r="15" spans="1:28" x14ac:dyDescent="0.3">
      <c r="A15" s="15">
        <v>0.12107999999999999</v>
      </c>
      <c r="B15" s="15">
        <f t="shared" si="4"/>
        <v>1.1877948</v>
      </c>
      <c r="C15" s="15">
        <v>0.56899999999999995</v>
      </c>
      <c r="D15" s="15">
        <f t="shared" si="0"/>
        <v>0.15599999999999997</v>
      </c>
      <c r="E15" s="15">
        <v>0.57599999999999996</v>
      </c>
      <c r="F15" s="15">
        <f t="shared" si="1"/>
        <v>0.16299999999999998</v>
      </c>
      <c r="G15" s="5" t="s">
        <v>4</v>
      </c>
      <c r="H15" s="5" t="s">
        <v>4</v>
      </c>
      <c r="I15" s="5" t="s">
        <v>4</v>
      </c>
      <c r="Y15" s="16">
        <f t="shared" si="2"/>
        <v>1.1838395452102002</v>
      </c>
      <c r="Z15" s="16">
        <f t="shared" si="5"/>
        <v>3.9552547897998558E-3</v>
      </c>
      <c r="AA15" s="16">
        <f t="shared" si="3"/>
        <v>1.1915229778502316</v>
      </c>
      <c r="AB15" s="16">
        <f t="shared" si="6"/>
        <v>-3.7281778502316065E-3</v>
      </c>
    </row>
    <row r="16" spans="1:28" x14ac:dyDescent="0.3">
      <c r="A16" s="15">
        <v>0.13125999999999999</v>
      </c>
      <c r="B16" s="15">
        <f t="shared" si="4"/>
        <v>1.2876605999999999</v>
      </c>
      <c r="C16" s="15">
        <v>0.58799999999999997</v>
      </c>
      <c r="D16" s="15">
        <f t="shared" si="0"/>
        <v>0.17499999999999999</v>
      </c>
      <c r="E16" s="15">
        <v>0.59</v>
      </c>
      <c r="F16" s="15">
        <f t="shared" si="1"/>
        <v>0.17699999999999999</v>
      </c>
      <c r="G16" s="4">
        <v>2.24E-4</v>
      </c>
      <c r="H16" s="4">
        <v>4.1300000000000001E-4</v>
      </c>
      <c r="I16" s="19">
        <v>9.2999999999999999E-8</v>
      </c>
      <c r="J16" t="s">
        <v>54</v>
      </c>
      <c r="Y16" s="16">
        <f t="shared" si="2"/>
        <v>1.2935853716424059</v>
      </c>
      <c r="Z16" s="16">
        <f t="shared" si="5"/>
        <v>-5.9247716424060126E-3</v>
      </c>
      <c r="AA16" s="16">
        <f t="shared" si="3"/>
        <v>1.287682626006394</v>
      </c>
      <c r="AB16" s="16">
        <f t="shared" si="6"/>
        <v>-2.2026006394115782E-5</v>
      </c>
    </row>
    <row r="18" spans="1:11" x14ac:dyDescent="0.3">
      <c r="A18" s="31" t="s">
        <v>42</v>
      </c>
      <c r="B18" s="31"/>
      <c r="C18" s="31"/>
      <c r="D18" s="31"/>
      <c r="F18" s="40" t="s">
        <v>22</v>
      </c>
      <c r="G18" s="22">
        <f>C4</f>
        <v>0.41299999999999998</v>
      </c>
      <c r="I18" s="41">
        <v>5.0000000000000001E-4</v>
      </c>
    </row>
    <row r="19" spans="1:11" x14ac:dyDescent="0.3">
      <c r="A19" s="17" t="s">
        <v>17</v>
      </c>
      <c r="B19" s="17" t="s">
        <v>18</v>
      </c>
      <c r="C19" s="17" t="s">
        <v>19</v>
      </c>
      <c r="D19" s="17" t="s">
        <v>20</v>
      </c>
      <c r="F19" s="40" t="s">
        <v>52</v>
      </c>
      <c r="G19" s="22">
        <v>5.0000000000000001E-4</v>
      </c>
      <c r="I19">
        <v>0.01</v>
      </c>
    </row>
    <row r="20" spans="1:11" x14ac:dyDescent="0.3">
      <c r="A20" s="4">
        <f t="array" ref="A20:D20">LINEST(B4:B16,D4:D16^{1,2,3},TRUE,TRUE)</f>
        <v>207.75294223761728</v>
      </c>
      <c r="B20" s="4">
        <v>-74.895588697844104</v>
      </c>
      <c r="C20" s="4">
        <v>13.476571205588607</v>
      </c>
      <c r="D20" s="4">
        <v>0.11543688973114569</v>
      </c>
      <c r="I20" s="11">
        <v>5.0000000000000001E-9</v>
      </c>
    </row>
    <row r="22" spans="1:11" x14ac:dyDescent="0.3">
      <c r="A22" s="31" t="s">
        <v>43</v>
      </c>
      <c r="B22" s="31"/>
      <c r="C22" s="31"/>
      <c r="D22" s="31"/>
      <c r="F22" s="17" t="s">
        <v>8</v>
      </c>
      <c r="G22" s="3" t="s">
        <v>23</v>
      </c>
    </row>
    <row r="23" spans="1:11" x14ac:dyDescent="0.3">
      <c r="A23" s="17" t="s">
        <v>17</v>
      </c>
      <c r="B23" s="17" t="s">
        <v>18</v>
      </c>
      <c r="C23" s="17" t="s">
        <v>19</v>
      </c>
      <c r="D23" s="17" t="s">
        <v>20</v>
      </c>
      <c r="F23" s="4">
        <f>D4</f>
        <v>0</v>
      </c>
      <c r="G23" s="4">
        <f>I4</f>
        <v>1.4000000000000001E-7</v>
      </c>
    </row>
    <row r="24" spans="1:11" x14ac:dyDescent="0.3">
      <c r="A24" s="4">
        <f t="array" ref="A24:D24">LINEST(B4:B16,F4:F16^{1,2,3},TRUE,TRUE)</f>
        <v>190.1669209069772</v>
      </c>
      <c r="B24" s="4">
        <v>-64.892066449053743</v>
      </c>
      <c r="C24" s="4">
        <v>12.435058667787642</v>
      </c>
      <c r="D24" s="4">
        <v>6.5160906268626306E-2</v>
      </c>
      <c r="F24" s="4">
        <f>D16</f>
        <v>0.17499999999999999</v>
      </c>
      <c r="G24" s="4">
        <f>I16</f>
        <v>9.2999999999999999E-8</v>
      </c>
    </row>
    <row r="26" spans="1:11" x14ac:dyDescent="0.3">
      <c r="B26" s="27" t="s">
        <v>24</v>
      </c>
      <c r="C26" s="27"/>
    </row>
    <row r="27" spans="1:11" x14ac:dyDescent="0.3">
      <c r="A27" s="21" t="s">
        <v>25</v>
      </c>
      <c r="B27" s="4">
        <f t="array" ref="B27:C29">LINEST(G23:G24,F23:F24,TRUE,TRUE)</f>
        <v>-2.6857142857142862E-7</v>
      </c>
      <c r="C27" s="4">
        <v>1.4000000000000001E-7</v>
      </c>
      <c r="D27" s="28" t="s">
        <v>26</v>
      </c>
      <c r="E27" s="27"/>
    </row>
    <row r="28" spans="1:11" x14ac:dyDescent="0.3">
      <c r="A28" s="21" t="s">
        <v>28</v>
      </c>
      <c r="B28" s="4">
        <v>0</v>
      </c>
      <c r="C28" s="4">
        <v>0</v>
      </c>
      <c r="D28" s="28" t="s">
        <v>27</v>
      </c>
      <c r="E28" s="27"/>
    </row>
    <row r="29" spans="1:11" ht="16.2" x14ac:dyDescent="0.3">
      <c r="A29" s="21" t="s">
        <v>41</v>
      </c>
      <c r="B29" s="4">
        <v>1</v>
      </c>
      <c r="C29" s="4">
        <v>0</v>
      </c>
      <c r="D29" s="28" t="s">
        <v>29</v>
      </c>
      <c r="E29" s="27"/>
    </row>
    <row r="31" spans="1:11" ht="16.2" x14ac:dyDescent="0.3">
      <c r="A31" s="12" t="s">
        <v>30</v>
      </c>
      <c r="B31" s="13" t="s">
        <v>8</v>
      </c>
      <c r="C31" s="13" t="s">
        <v>10</v>
      </c>
      <c r="D31" s="13" t="s">
        <v>40</v>
      </c>
      <c r="E31" s="36" t="s">
        <v>38</v>
      </c>
      <c r="F31" s="36" t="s">
        <v>50</v>
      </c>
      <c r="G31" s="38" t="s">
        <v>39</v>
      </c>
      <c r="H31" s="36" t="s">
        <v>51</v>
      </c>
      <c r="I31" s="42" t="s">
        <v>31</v>
      </c>
      <c r="J31" s="36" t="s">
        <v>53</v>
      </c>
      <c r="K31" s="42" t="s">
        <v>49</v>
      </c>
    </row>
    <row r="32" spans="1:11" x14ac:dyDescent="0.3">
      <c r="A32" s="24" t="s">
        <v>45</v>
      </c>
      <c r="B32" s="13" t="s">
        <v>46</v>
      </c>
      <c r="C32" s="13" t="s">
        <v>46</v>
      </c>
      <c r="D32" s="13" t="s">
        <v>48</v>
      </c>
      <c r="E32" s="37"/>
      <c r="F32" s="37"/>
      <c r="G32" s="39"/>
      <c r="H32" s="37"/>
      <c r="I32" s="43"/>
      <c r="J32" s="37"/>
      <c r="K32" s="43"/>
    </row>
    <row r="33" spans="1:32" x14ac:dyDescent="0.3">
      <c r="A33" s="22">
        <f>B5</f>
        <v>0.19865250000000001</v>
      </c>
      <c r="B33" s="22">
        <f>D5</f>
        <v>6.0000000000000053E-3</v>
      </c>
      <c r="C33" s="22">
        <f>F5</f>
        <v>1.100000000000001E-2</v>
      </c>
      <c r="D33" s="19">
        <f>$B$27*D5+$C$27</f>
        <v>1.3838857142857145E-7</v>
      </c>
      <c r="E33" s="22">
        <f>D5/$G$18</f>
        <v>1.4527845036319625E-2</v>
      </c>
      <c r="F33" s="19">
        <f>SQRT((1/$G$18*$I$18)^2+((B33/$G$18^2)*$G$19)^2)</f>
        <v>1.2107815055364254E-3</v>
      </c>
      <c r="G33" s="15">
        <f>F5/$G$18</f>
        <v>2.6634382566585981E-2</v>
      </c>
      <c r="H33" s="19">
        <f>SQRT((1/$G$18*$I$18)^2+((C33/$G$18^2)*$G$19)^2)</f>
        <v>1.2110830899338047E-3</v>
      </c>
      <c r="I33" s="19">
        <f>A33/D33</f>
        <v>1435468.9693616317</v>
      </c>
      <c r="J33" s="19">
        <f>SQRT((1/D33*$I$19)^2+((A33/D33^2)*$I$20)^2)</f>
        <v>88946.027342537462</v>
      </c>
      <c r="K33" s="35">
        <f>($A$20*3*B33^2+$B$20*2*B33+$C$20)*($G$18/D33)*0.000001</f>
        <v>37.603596372429614</v>
      </c>
    </row>
    <row r="34" spans="1:32" x14ac:dyDescent="0.3">
      <c r="A34" s="22">
        <f>B6</f>
        <v>0.29763539999999999</v>
      </c>
      <c r="B34" s="22">
        <f>D6</f>
        <v>1.4000000000000012E-2</v>
      </c>
      <c r="C34" s="22">
        <f>F6</f>
        <v>2.0000000000000018E-2</v>
      </c>
      <c r="D34" s="19">
        <f>$B$27*D6+$C$27</f>
        <v>1.3624000000000001E-7</v>
      </c>
      <c r="E34" s="22">
        <f>D6/$G$18</f>
        <v>3.3898305084745797E-2</v>
      </c>
      <c r="F34" s="19">
        <f t="shared" ref="F34:F44" si="7">SQRT((1/$G$18*$I$18)^2+((B34/$G$18^2)*$G$19)^2)</f>
        <v>1.2113491314602078E-3</v>
      </c>
      <c r="G34" s="15">
        <f>F6/$G$18</f>
        <v>4.8426150121065423E-2</v>
      </c>
      <c r="H34" s="19">
        <f t="shared" ref="H34:H44" si="8">SQRT((1/$G$18*$I$18)^2+((C34/$G$18^2)*$G$19)^2)</f>
        <v>1.2120724689837412E-3</v>
      </c>
      <c r="I34" s="19">
        <f>A34/D34</f>
        <v>2184640.3405754548</v>
      </c>
      <c r="J34" s="19">
        <f t="shared" ref="J34:J44" si="9">SQRT((1/D34*$I$19)^2+((A34/D34^2)*$I$20)^2)</f>
        <v>108700.32820216547</v>
      </c>
      <c r="K34" s="35">
        <f>($A$20*3*B34^2+$B$20*2*B34+$C$20)*($G$18/D34)*0.000001</f>
        <v>34.866286521660122</v>
      </c>
    </row>
    <row r="35" spans="1:32" x14ac:dyDescent="0.3">
      <c r="A35" s="22">
        <f>B7</f>
        <v>0.39720690000000003</v>
      </c>
      <c r="B35" s="22">
        <f>D7</f>
        <v>2.300000000000002E-2</v>
      </c>
      <c r="C35" s="22">
        <f>F7</f>
        <v>3.0000000000000027E-2</v>
      </c>
      <c r="D35" s="19">
        <f>$B$27*D7+$C$27</f>
        <v>1.3382285714285714E-7</v>
      </c>
      <c r="E35" s="22">
        <f>D7/$G$18</f>
        <v>5.5690072639225235E-2</v>
      </c>
      <c r="F35" s="19">
        <f t="shared" si="7"/>
        <v>1.2125296508875552E-3</v>
      </c>
      <c r="G35" s="15">
        <f>F7/$G$18</f>
        <v>7.2639225181598127E-2</v>
      </c>
      <c r="H35" s="19">
        <f t="shared" si="8"/>
        <v>1.2138435321353924E-3</v>
      </c>
      <c r="I35" s="19">
        <f>A35/D35</f>
        <v>2968154.3831931339</v>
      </c>
      <c r="J35" s="19">
        <f t="shared" si="9"/>
        <v>133725.20172826867</v>
      </c>
      <c r="K35" s="35">
        <f>($A$20*3*B35^2+$B$20*2*B35+$C$20)*($G$18/D35)*0.000001</f>
        <v>31.976041491493405</v>
      </c>
    </row>
    <row r="36" spans="1:32" x14ac:dyDescent="0.3">
      <c r="A36" s="22">
        <f>B8</f>
        <v>0.49599360000000003</v>
      </c>
      <c r="B36" s="22">
        <f>D8</f>
        <v>3.400000000000003E-2</v>
      </c>
      <c r="C36" s="22">
        <f>F8</f>
        <v>4.3000000000000038E-2</v>
      </c>
      <c r="D36" s="19">
        <f>$B$27*D8+$C$27</f>
        <v>1.3086857142857142E-7</v>
      </c>
      <c r="E36" s="22">
        <f>D8/$G$18</f>
        <v>8.232445520581122E-2</v>
      </c>
      <c r="F36" s="19">
        <f t="shared" si="7"/>
        <v>1.2147493169915678E-3</v>
      </c>
      <c r="G36" s="15">
        <f>F8/$G$18</f>
        <v>0.10411622276029066</v>
      </c>
      <c r="H36" s="19">
        <f t="shared" si="8"/>
        <v>1.217197922870129E-3</v>
      </c>
      <c r="I36" s="19">
        <f>A36/D36</f>
        <v>3790013.0992926387</v>
      </c>
      <c r="J36" s="19">
        <f t="shared" si="9"/>
        <v>163727.12706488924</v>
      </c>
      <c r="K36" s="35">
        <f>($A$20*3*B36^2+$B$20*2*B36+$C$20)*($G$18/D36)*0.000001</f>
        <v>28.731248220967515</v>
      </c>
    </row>
    <row r="37" spans="1:32" x14ac:dyDescent="0.3">
      <c r="A37" s="22">
        <f>B9</f>
        <v>0.59458409999999995</v>
      </c>
      <c r="B37" s="22">
        <f>D9</f>
        <v>4.500000000000004E-2</v>
      </c>
      <c r="C37" s="22">
        <f>F9</f>
        <v>5.6999999999999995E-2</v>
      </c>
      <c r="D37" s="19">
        <f>$B$27*D9+$C$27</f>
        <v>1.2791428571428572E-7</v>
      </c>
      <c r="E37" s="22">
        <f>D9/$G$18</f>
        <v>0.10895883777239719</v>
      </c>
      <c r="F37" s="19">
        <f t="shared" si="7"/>
        <v>1.217819007075246E-3</v>
      </c>
      <c r="G37" s="15">
        <f>F9/$G$18</f>
        <v>0.13801452784503632</v>
      </c>
      <c r="H37" s="19">
        <f t="shared" si="8"/>
        <v>1.2221296349681529E-3</v>
      </c>
      <c r="I37" s="19">
        <f>A37/D37</f>
        <v>4648300.982800982</v>
      </c>
      <c r="J37" s="19">
        <f t="shared" si="9"/>
        <v>197800.67905775076</v>
      </c>
      <c r="K37" s="35">
        <f>($A$20*3*B37^2+$B$20*2*B37+$C$20)*($G$18/D37)*0.000001</f>
        <v>25.823556734218197</v>
      </c>
    </row>
    <row r="38" spans="1:32" x14ac:dyDescent="0.3">
      <c r="A38" s="22">
        <f>B10</f>
        <v>0.6930765000000001</v>
      </c>
      <c r="B38" s="22">
        <f>D10</f>
        <v>0.06</v>
      </c>
      <c r="C38" s="22">
        <f>F10</f>
        <v>7.400000000000001E-2</v>
      </c>
      <c r="D38" s="19">
        <f>$B$27*D10+$C$27</f>
        <v>1.2388571428571429E-7</v>
      </c>
      <c r="E38" s="22">
        <f>D10/$G$18</f>
        <v>0.14527845036319612</v>
      </c>
      <c r="F38" s="19">
        <f t="shared" si="7"/>
        <v>1.2233629685728092E-3</v>
      </c>
      <c r="G38" s="15">
        <f>F10/$G$18</f>
        <v>0.17917675544794193</v>
      </c>
      <c r="H38" s="19">
        <f t="shared" si="8"/>
        <v>1.2299338335540009E-3</v>
      </c>
      <c r="I38" s="19">
        <f>A38/D38</f>
        <v>5594482.818265683</v>
      </c>
      <c r="J38" s="19">
        <f t="shared" si="9"/>
        <v>239786.80922552335</v>
      </c>
      <c r="K38" s="35">
        <f>($A$20*3*B38^2+$B$20*2*B38+$C$20)*($G$18/D38)*0.000001</f>
        <v>22.44536241835478</v>
      </c>
    </row>
    <row r="39" spans="1:32" x14ac:dyDescent="0.3">
      <c r="A39" s="22">
        <f>B11</f>
        <v>0.79215750000000007</v>
      </c>
      <c r="B39" s="22">
        <f>D11</f>
        <v>7.7000000000000013E-2</v>
      </c>
      <c r="C39" s="22">
        <f>F11</f>
        <v>9.1000000000000025E-2</v>
      </c>
      <c r="D39" s="19">
        <f>$B$27*D11+$C$27</f>
        <v>1.1932000000000001E-7</v>
      </c>
      <c r="E39" s="22">
        <f>D11/$G$18</f>
        <v>0.18644067796610173</v>
      </c>
      <c r="F39" s="19">
        <f t="shared" si="7"/>
        <v>1.2315152532624992E-3</v>
      </c>
      <c r="G39" s="15">
        <f>F11/$G$18</f>
        <v>0.22033898305084754</v>
      </c>
      <c r="H39" s="19">
        <f t="shared" si="8"/>
        <v>1.2396936403326808E-3</v>
      </c>
      <c r="I39" s="19">
        <f>A39/D39</f>
        <v>6638933.1210191082</v>
      </c>
      <c r="J39" s="19">
        <f t="shared" si="9"/>
        <v>290548.31545224489</v>
      </c>
      <c r="K39" s="35">
        <f>($A$20*3*B39^2+$B$20*2*B39+$C$20)*($G$18/D39)*0.000001</f>
        <v>19.514534273940324</v>
      </c>
    </row>
    <row r="40" spans="1:32" x14ac:dyDescent="0.3">
      <c r="A40" s="22">
        <f>B12</f>
        <v>0.89202329999999996</v>
      </c>
      <c r="B40" s="22">
        <f>D12</f>
        <v>9.4000000000000028E-2</v>
      </c>
      <c r="C40" s="22">
        <f>F12</f>
        <v>0.10600000000000004</v>
      </c>
      <c r="D40" s="19">
        <f>$B$27*D12+$C$27</f>
        <v>1.1475428571428572E-7</v>
      </c>
      <c r="E40" s="22">
        <f>D12/$G$18</f>
        <v>0.22760290556900734</v>
      </c>
      <c r="F40" s="19">
        <f t="shared" si="7"/>
        <v>1.2416156337080014E-3</v>
      </c>
      <c r="G40" s="15">
        <f>F12/$G$18</f>
        <v>0.25665859564164661</v>
      </c>
      <c r="H40" s="19">
        <f t="shared" si="8"/>
        <v>1.2498929330039923E-3</v>
      </c>
      <c r="I40" s="19">
        <f>A40/D40</f>
        <v>7773333.2088437406</v>
      </c>
      <c r="J40" s="19">
        <f t="shared" si="9"/>
        <v>349725.51924606354</v>
      </c>
      <c r="K40" s="35">
        <f>($A$20*3*B40^2+$B$20*2*B40+$C$20)*($G$18/D40)*0.000001</f>
        <v>17.647003756665296</v>
      </c>
    </row>
    <row r="41" spans="1:32" x14ac:dyDescent="0.3">
      <c r="A41" s="22">
        <f>B13</f>
        <v>0.99051570000000011</v>
      </c>
      <c r="B41" s="22">
        <f>D13</f>
        <v>0.11600000000000005</v>
      </c>
      <c r="C41" s="22">
        <f>F13</f>
        <v>0.12600000000000006</v>
      </c>
      <c r="D41" s="19">
        <f>$B$27*D13+$C$27</f>
        <v>1.0884571428571429E-7</v>
      </c>
      <c r="E41" s="22">
        <f>D13/$G$18</f>
        <v>0.28087167070217933</v>
      </c>
      <c r="F41" s="19">
        <f t="shared" si="7"/>
        <v>1.2575009279999091E-3</v>
      </c>
      <c r="G41" s="15">
        <f>F13/$G$18</f>
        <v>0.305084745762712</v>
      </c>
      <c r="H41" s="19">
        <f t="shared" si="8"/>
        <v>1.265742234439294E-3</v>
      </c>
      <c r="I41" s="19">
        <f>A41/D41</f>
        <v>9100180.9901301991</v>
      </c>
      <c r="J41" s="19">
        <f t="shared" si="9"/>
        <v>428007.90318188921</v>
      </c>
      <c r="K41" s="35">
        <f>($A$20*3*B41^2+$B$20*2*B41+$C$20)*($G$18/D41)*0.000001</f>
        <v>17.026687015982791</v>
      </c>
    </row>
    <row r="42" spans="1:32" x14ac:dyDescent="0.3">
      <c r="A42" s="22">
        <f>B14</f>
        <v>1.0892043</v>
      </c>
      <c r="B42" s="22">
        <f>D14</f>
        <v>0.13400000000000006</v>
      </c>
      <c r="C42" s="22">
        <f>F14</f>
        <v>0.14600000000000007</v>
      </c>
      <c r="D42" s="19">
        <f>$B$27*D14+$C$27</f>
        <v>1.0401142857142855E-7</v>
      </c>
      <c r="E42" s="22">
        <f>D14/$G$18</f>
        <v>0.32445520581113818</v>
      </c>
      <c r="F42" s="19">
        <f t="shared" si="7"/>
        <v>1.272783028590452E-3</v>
      </c>
      <c r="G42" s="15">
        <f>F14/$G$18</f>
        <v>0.35351089588377743</v>
      </c>
      <c r="H42" s="19">
        <f t="shared" si="8"/>
        <v>1.284075069774024E-3</v>
      </c>
      <c r="I42" s="19">
        <f>A42/D42</f>
        <v>10471967.503571039</v>
      </c>
      <c r="J42" s="19">
        <f t="shared" si="9"/>
        <v>512503.44301519386</v>
      </c>
      <c r="K42" s="35">
        <f>($A$20*3*B42^2+$B$20*2*B42+$C$20)*($G$18/D42)*0.000001</f>
        <v>18.248579535245629</v>
      </c>
    </row>
    <row r="43" spans="1:32" x14ac:dyDescent="0.3">
      <c r="A43" s="22">
        <f>B15</f>
        <v>1.1877948</v>
      </c>
      <c r="B43" s="22">
        <f>D15</f>
        <v>0.15599999999999997</v>
      </c>
      <c r="C43" s="22">
        <f>F15</f>
        <v>0.16299999999999998</v>
      </c>
      <c r="D43" s="19">
        <f>$B$27*D15+$C$27</f>
        <v>9.8102857142857161E-8</v>
      </c>
      <c r="E43" s="22">
        <f>D15/$G$18</f>
        <v>0.37772397094430987</v>
      </c>
      <c r="F43" s="19">
        <f t="shared" si="7"/>
        <v>1.2941403886225821E-3</v>
      </c>
      <c r="G43" s="15">
        <f>F15/$G$18</f>
        <v>0.39467312348668276</v>
      </c>
      <c r="H43" s="19">
        <f t="shared" si="8"/>
        <v>1.3015326707858398E-3</v>
      </c>
      <c r="I43" s="19">
        <f>A43/D43</f>
        <v>12107647.367194779</v>
      </c>
      <c r="J43" s="19">
        <f t="shared" si="9"/>
        <v>625451.73950479249</v>
      </c>
      <c r="K43" s="35">
        <f>($A$20*3*B43^2+$B$20*2*B43+$C$20)*($G$18/D43)*0.000001</f>
        <v>22.214519182945583</v>
      </c>
    </row>
    <row r="44" spans="1:32" x14ac:dyDescent="0.3">
      <c r="A44" s="22">
        <f>B16</f>
        <v>1.2876605999999999</v>
      </c>
      <c r="B44" s="22">
        <f>D16</f>
        <v>0.17499999999999999</v>
      </c>
      <c r="C44" s="22">
        <f>F16</f>
        <v>0.17699999999999999</v>
      </c>
      <c r="D44" s="19">
        <f>$B$27*D16+$C$27</f>
        <v>9.2999999999999999E-8</v>
      </c>
      <c r="E44" s="22">
        <f>D16/$G$18</f>
        <v>0.42372881355932202</v>
      </c>
      <c r="F44" s="19">
        <f t="shared" si="7"/>
        <v>1.3148536416958013E-3</v>
      </c>
      <c r="G44" s="15">
        <f>F16/$G$18</f>
        <v>0.42857142857142855</v>
      </c>
      <c r="H44" s="19">
        <f t="shared" si="8"/>
        <v>1.3171520418304927E-3</v>
      </c>
      <c r="I44" s="19">
        <f>A44/D44</f>
        <v>13845812.903225806</v>
      </c>
      <c r="J44" s="19">
        <f t="shared" si="9"/>
        <v>752124.47200397204</v>
      </c>
      <c r="K44" s="35">
        <f>($A$20*3*B44^2+$B$20*2*B44+$C$20)*($G$18/D44)*0.000001</f>
        <v>28.201313002712013</v>
      </c>
    </row>
    <row r="45" spans="1:32" x14ac:dyDescent="0.3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</sheetData>
  <mergeCells count="16">
    <mergeCell ref="J31:J32"/>
    <mergeCell ref="K31:K32"/>
    <mergeCell ref="E31:E32"/>
    <mergeCell ref="G31:G32"/>
    <mergeCell ref="F31:F32"/>
    <mergeCell ref="H31:H32"/>
    <mergeCell ref="I31:I32"/>
    <mergeCell ref="Y1:Z1"/>
    <mergeCell ref="AA1:AB1"/>
    <mergeCell ref="B26:C26"/>
    <mergeCell ref="D29:E29"/>
    <mergeCell ref="D28:E28"/>
    <mergeCell ref="D27:E27"/>
    <mergeCell ref="A1:I1"/>
    <mergeCell ref="A18:D18"/>
    <mergeCell ref="A22:D22"/>
  </mergeCells>
  <pageMargins left="3.937007874015748E-2" right="3.937007874015748E-2" top="3.937007874015748E-2" bottom="3.937007874015748E-2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A61"/>
  <sheetViews>
    <sheetView tabSelected="1" zoomScale="70" zoomScaleNormal="70" workbookViewId="0">
      <selection activeCell="Z30" sqref="Z30"/>
    </sheetView>
  </sheetViews>
  <sheetFormatPr defaultRowHeight="14.4" x14ac:dyDescent="0.3"/>
  <cols>
    <col min="5" max="5" width="11" customWidth="1"/>
    <col min="7" max="7" width="10.21875" customWidth="1"/>
    <col min="9" max="9" width="9.77734375" customWidth="1"/>
    <col min="10" max="10" width="13" bestFit="1" customWidth="1"/>
    <col min="11" max="11" width="12.44140625" bestFit="1" customWidth="1"/>
    <col min="12" max="12" width="9" bestFit="1" customWidth="1"/>
    <col min="16" max="16" width="10.33203125" customWidth="1"/>
    <col min="18" max="18" width="10.5546875" customWidth="1"/>
    <col min="19" max="19" width="12.44140625" bestFit="1" customWidth="1"/>
    <col min="20" max="20" width="9" bestFit="1" customWidth="1"/>
    <col min="22" max="22" width="11.88671875" customWidth="1"/>
    <col min="32" max="32" width="9.44140625" bestFit="1" customWidth="1"/>
  </cols>
  <sheetData>
    <row r="2" spans="1:27" x14ac:dyDescent="0.3">
      <c r="A2" s="29" t="s">
        <v>1</v>
      </c>
      <c r="B2" s="30"/>
      <c r="C2" s="30"/>
      <c r="D2" s="30"/>
      <c r="E2" s="30"/>
      <c r="F2" s="34"/>
    </row>
    <row r="3" spans="1:27" x14ac:dyDescent="0.3">
      <c r="A3" s="2" t="s">
        <v>21</v>
      </c>
      <c r="B3" s="2" t="s">
        <v>5</v>
      </c>
      <c r="C3" s="3" t="s">
        <v>6</v>
      </c>
      <c r="D3" s="44" t="s">
        <v>55</v>
      </c>
      <c r="E3" s="42" t="s">
        <v>37</v>
      </c>
      <c r="F3" s="3" t="s">
        <v>2</v>
      </c>
      <c r="J3">
        <v>0.41299999999999998</v>
      </c>
      <c r="X3" s="26" t="s">
        <v>15</v>
      </c>
      <c r="Y3" s="26"/>
      <c r="Z3" s="26" t="s">
        <v>3</v>
      </c>
      <c r="AA3" s="26"/>
    </row>
    <row r="4" spans="1:27" ht="15.6" customHeight="1" x14ac:dyDescent="0.3">
      <c r="A4" s="25" t="s">
        <v>44</v>
      </c>
      <c r="B4" s="25" t="s">
        <v>46</v>
      </c>
      <c r="C4" s="3" t="s">
        <v>46</v>
      </c>
      <c r="D4" s="3" t="s">
        <v>57</v>
      </c>
      <c r="E4" s="43"/>
      <c r="F4" s="3" t="s">
        <v>56</v>
      </c>
      <c r="J4">
        <v>5.0000000000000001E-4</v>
      </c>
      <c r="X4" s="6" t="s">
        <v>13</v>
      </c>
      <c r="Y4" s="6" t="s">
        <v>14</v>
      </c>
      <c r="Z4" s="6" t="s">
        <v>13</v>
      </c>
      <c r="AA4" s="6" t="s">
        <v>14</v>
      </c>
    </row>
    <row r="5" spans="1:27" x14ac:dyDescent="0.3">
      <c r="A5" s="32">
        <v>9.0939999999999993E-2</v>
      </c>
      <c r="B5" s="16">
        <v>0.51500000000000001</v>
      </c>
      <c r="C5" s="16">
        <f>B5-'Carga e Descarga'!$G$18</f>
        <v>0.10200000000000004</v>
      </c>
      <c r="D5" s="16">
        <f>C5/$N$21</f>
        <v>0.24697336561743352</v>
      </c>
      <c r="E5" s="16" t="s">
        <v>4</v>
      </c>
      <c r="F5" s="45">
        <v>30</v>
      </c>
      <c r="X5" s="20">
        <f>$W$37*F6+$X$37</f>
        <v>-3.5879173083905704</v>
      </c>
      <c r="Y5" s="20">
        <f>E6-X5</f>
        <v>-0.34390832433375484</v>
      </c>
      <c r="Z5" s="20">
        <f>$Q$37*F27+$R$37</f>
        <v>-5.5813988687434586</v>
      </c>
      <c r="AA5" s="20">
        <f>E27-Z5</f>
        <v>5.9937950881213453E-2</v>
      </c>
    </row>
    <row r="6" spans="1:27" x14ac:dyDescent="0.3">
      <c r="A6" s="33"/>
      <c r="B6" s="16">
        <v>0.51700000000000002</v>
      </c>
      <c r="C6" s="16">
        <f>B6-'Carga e Descarga'!$G$18</f>
        <v>0.10400000000000004</v>
      </c>
      <c r="D6" s="16">
        <f>C6/$N$21</f>
        <v>0.25181598062954008</v>
      </c>
      <c r="E6" s="16">
        <f>LN((-$C$5+C6)/$C$5)</f>
        <v>-3.9318256327243253</v>
      </c>
      <c r="F6" s="45">
        <v>80</v>
      </c>
      <c r="X6" s="20"/>
      <c r="Y6" s="20"/>
      <c r="Z6" s="20"/>
      <c r="AA6" s="20"/>
    </row>
    <row r="7" spans="1:27" x14ac:dyDescent="0.3">
      <c r="A7" s="33"/>
      <c r="B7" s="16">
        <v>0.51800000000000002</v>
      </c>
      <c r="C7" s="16">
        <f>B7-'Carga e Descarga'!$G$18</f>
        <v>0.10500000000000004</v>
      </c>
      <c r="D7" s="16">
        <f>C7/$N$21</f>
        <v>0.25423728813559332</v>
      </c>
      <c r="E7" s="16">
        <f>LN((-$C$5+C7)/$C$5)</f>
        <v>-3.5263605246161607</v>
      </c>
      <c r="F7" s="45">
        <v>126</v>
      </c>
      <c r="X7" s="20">
        <f>$W$37*F7+$X$37</f>
        <v>-3.5496565606661639</v>
      </c>
      <c r="Y7" s="20">
        <f>E7-X7</f>
        <v>2.3296036050003188E-2</v>
      </c>
      <c r="Z7" s="20">
        <f>$Q$37*F28+$R$37</f>
        <v>-5.6208686979581248</v>
      </c>
      <c r="AA7" s="20">
        <f>E28-Z7</f>
        <v>7.4089972111591962E-2</v>
      </c>
    </row>
    <row r="8" spans="1:27" x14ac:dyDescent="0.3">
      <c r="A8" s="33"/>
      <c r="B8" s="16">
        <v>0.51819999999999999</v>
      </c>
      <c r="C8" s="16">
        <f>B8-'Carga e Descarga'!$G$18</f>
        <v>0.10520000000000002</v>
      </c>
      <c r="D8" s="16">
        <f>C8/$N$21</f>
        <v>0.25472154963680393</v>
      </c>
      <c r="E8" s="16">
        <f>LN((-$C$5+C8)/$C$5)</f>
        <v>-3.4618220034785967</v>
      </c>
      <c r="F8" s="45">
        <v>161</v>
      </c>
      <c r="X8" s="20">
        <f>$W$37*F8+$X$37</f>
        <v>-3.5205451221802022</v>
      </c>
      <c r="Y8" s="20">
        <f>E8-X8</f>
        <v>5.8723118701605515E-2</v>
      </c>
      <c r="Z8" s="20">
        <f>$Q$37*F29+$R$37</f>
        <v>-5.6499125345500492</v>
      </c>
      <c r="AA8" s="20">
        <f>E29-Z8</f>
        <v>-5.0797759367187112E-3</v>
      </c>
    </row>
    <row r="9" spans="1:27" x14ac:dyDescent="0.3">
      <c r="A9" s="33"/>
      <c r="B9" s="16">
        <v>0.51780000000000004</v>
      </c>
      <c r="C9" s="16">
        <f>B9-'Carga e Descarga'!$G$18</f>
        <v>0.10480000000000006</v>
      </c>
      <c r="D9" s="16">
        <f>C9/$N$21</f>
        <v>0.25375302663438271</v>
      </c>
      <c r="E9" s="16">
        <f>LN((-$C$5+C9)/$C$5)</f>
        <v>-3.5953533961031043</v>
      </c>
      <c r="F9" s="45">
        <v>205</v>
      </c>
      <c r="X9" s="20">
        <f>$W$37*F9+$X$37</f>
        <v>-3.4839478852264216</v>
      </c>
      <c r="Y9" s="20">
        <f>E9-X9</f>
        <v>-0.11140551087668271</v>
      </c>
      <c r="Z9" s="20">
        <f>$Q$37*F30+$R$37</f>
        <v>-5.6819352261770426</v>
      </c>
      <c r="AA9" s="20">
        <f>E30-Z9</f>
        <v>-2.0446211829749927E-3</v>
      </c>
    </row>
    <row r="10" spans="1:27" x14ac:dyDescent="0.3">
      <c r="A10" s="33"/>
      <c r="B10" s="16">
        <v>0.51849999999999996</v>
      </c>
      <c r="C10" s="16">
        <f>B10-'Carga e Descarga'!$G$18</f>
        <v>0.10549999999999998</v>
      </c>
      <c r="D10" s="16">
        <f>C10/$N$21</f>
        <v>0.2554479418886198</v>
      </c>
      <c r="E10" s="16">
        <f>LN((-$C$5+C10)/$C$5)</f>
        <v>-3.3722098447889182</v>
      </c>
      <c r="F10" s="45">
        <v>250</v>
      </c>
      <c r="X10" s="20">
        <f>$W$37*F10+$X$37</f>
        <v>-3.4465188928873283</v>
      </c>
      <c r="Y10" s="20">
        <f>E10-X10</f>
        <v>7.4309048098410102E-2</v>
      </c>
      <c r="Z10" s="20">
        <f>$Q$37*F31+$R$37</f>
        <v>-5.7325757617732185</v>
      </c>
      <c r="AA10" s="20">
        <f>E31-Z10</f>
        <v>1.8742951263523544E-2</v>
      </c>
    </row>
    <row r="11" spans="1:27" x14ac:dyDescent="0.3">
      <c r="A11" s="33"/>
      <c r="B11" s="16">
        <v>0.51870000000000005</v>
      </c>
      <c r="C11" s="16">
        <f>B11-'Carga e Descarga'!$G$18</f>
        <v>0.10570000000000007</v>
      </c>
      <c r="D11" s="16">
        <f>C11/$N$21</f>
        <v>0.25593220338983069</v>
      </c>
      <c r="E11" s="16">
        <f>LN((-$C$5+C11)/$C$5)</f>
        <v>-3.3166399936340829</v>
      </c>
      <c r="F11" s="45">
        <v>305</v>
      </c>
      <c r="X11" s="20">
        <f>$W$37*F11+$X$37</f>
        <v>-3.4007723466951028</v>
      </c>
      <c r="Y11" s="20">
        <f>E11-X11</f>
        <v>8.4132353061019849E-2</v>
      </c>
      <c r="Z11" s="20">
        <f>$Q$37*F32+$R$37</f>
        <v>-5.7802374423343252</v>
      </c>
      <c r="AA11" s="20">
        <f>E32-Z11</f>
        <v>-2.8905547979701574E-2</v>
      </c>
    </row>
    <row r="12" spans="1:27" x14ac:dyDescent="0.3">
      <c r="A12" s="33"/>
      <c r="B12" s="16">
        <v>0.51910000000000001</v>
      </c>
      <c r="C12" s="16">
        <f>B12-'Carga e Descarga'!$G$18</f>
        <v>0.10610000000000003</v>
      </c>
      <c r="D12" s="16">
        <f>C12/$N$21</f>
        <v>0.25690072639225192</v>
      </c>
      <c r="E12" s="16">
        <f>LN((-$C$5+C12)/$C$5)</f>
        <v>-3.2139858395740113</v>
      </c>
      <c r="F12" s="45">
        <v>417</v>
      </c>
      <c r="X12" s="20">
        <f>$W$37*F12+$X$37</f>
        <v>-3.3076157435400253</v>
      </c>
      <c r="Y12" s="20">
        <f>E12-X12</f>
        <v>9.3629903966014005E-2</v>
      </c>
      <c r="Z12" s="20">
        <f>$Q$37*F33+$R$37</f>
        <v>-5.8301332641717334</v>
      </c>
      <c r="AA12" s="20">
        <f>E33-Z12</f>
        <v>-8.4370241800106882E-2</v>
      </c>
    </row>
    <row r="13" spans="1:27" x14ac:dyDescent="0.3">
      <c r="A13" s="33"/>
      <c r="B13" s="16">
        <v>0.51949999999999996</v>
      </c>
      <c r="C13" s="16">
        <f>B13-'Carga e Descarga'!$G$18</f>
        <v>0.10649999999999998</v>
      </c>
      <c r="D13" s="16">
        <f>C13/$N$21</f>
        <v>0.25786924939467309</v>
      </c>
      <c r="E13" s="16">
        <f>LN((-$C$5+C13)/$C$5)</f>
        <v>-3.1208954165080089</v>
      </c>
      <c r="F13" s="45">
        <v>472</v>
      </c>
      <c r="X13" s="20">
        <f>$W$37*F13+$X$37</f>
        <v>-3.2618691973477998</v>
      </c>
      <c r="Y13" s="20">
        <f>E13-X13</f>
        <v>0.14097378083979084</v>
      </c>
      <c r="Z13" s="20">
        <f>$Q$37*F34+$R$37</f>
        <v>-5.9060940675659968</v>
      </c>
      <c r="AA13" s="20">
        <f>E34-Z13</f>
        <v>-4.614976638868562E-2</v>
      </c>
    </row>
    <row r="14" spans="1:27" x14ac:dyDescent="0.3">
      <c r="A14" s="33"/>
      <c r="B14" s="16">
        <v>0.51949999999999996</v>
      </c>
      <c r="C14" s="16">
        <f>B14-'Carga e Descarga'!$G$18</f>
        <v>0.10649999999999998</v>
      </c>
      <c r="D14" s="16">
        <f>C14/$N$21</f>
        <v>0.25786924939467309</v>
      </c>
      <c r="E14" s="16">
        <f>LN((-$C$5+C14)/$C$5)</f>
        <v>-3.1208954165080089</v>
      </c>
      <c r="F14" s="45">
        <v>536</v>
      </c>
      <c r="X14" s="20">
        <f>$W$37*F14+$X$37</f>
        <v>-3.2086368526877553</v>
      </c>
      <c r="Y14" s="20">
        <f>E14-X14</f>
        <v>8.774143617974639E-2</v>
      </c>
      <c r="Z14" s="20">
        <f>$Q$37*F35+$R$37</f>
        <v>-5.975352447131355</v>
      </c>
      <c r="AA14" s="20">
        <f>E35-Z14</f>
        <v>-1.6112099976625771E-2</v>
      </c>
    </row>
    <row r="15" spans="1:27" x14ac:dyDescent="0.3">
      <c r="A15" s="33"/>
      <c r="B15" s="16">
        <v>0.51980000000000004</v>
      </c>
      <c r="C15" s="16">
        <f>B15-'Carga e Descarga'!$G$18</f>
        <v>0.10680000000000006</v>
      </c>
      <c r="D15" s="16">
        <f>C15/$N$21</f>
        <v>0.25859564164648929</v>
      </c>
      <c r="E15" s="16">
        <f>LN((-$C$5+C15)/$C$5)</f>
        <v>-3.0563568953704205</v>
      </c>
      <c r="F15" s="45">
        <v>594</v>
      </c>
      <c r="X15" s="20">
        <f>$W$37*F15+$X$37</f>
        <v>-3.1603950403395906</v>
      </c>
      <c r="Y15" s="20">
        <f>E15-X15</f>
        <v>0.10403814496917008</v>
      </c>
      <c r="Z15" s="20">
        <f>$Q$37*F36+$R$37</f>
        <v>-6.0505685367668516</v>
      </c>
      <c r="AA15" s="20">
        <f>E36-Z15</f>
        <v>-6.8729381850999083E-2</v>
      </c>
    </row>
    <row r="16" spans="1:27" x14ac:dyDescent="0.3">
      <c r="A16" s="33"/>
      <c r="B16" s="16">
        <v>0.51990000000000003</v>
      </c>
      <c r="C16" s="16">
        <f>B16-'Carga e Descarga'!$G$18</f>
        <v>0.10690000000000005</v>
      </c>
      <c r="D16" s="16">
        <f>C16/$N$21</f>
        <v>0.25883777239709455</v>
      </c>
      <c r="E16" s="16">
        <f>LN((-$C$5+C16)/$C$5)</f>
        <v>-3.0357376081676875</v>
      </c>
      <c r="F16" s="45">
        <v>652</v>
      </c>
      <c r="X16" s="20">
        <f>$W$37*F16+$X$37</f>
        <v>-3.1121532279914255</v>
      </c>
      <c r="Y16" s="20">
        <f>E16-X16</f>
        <v>7.6415619823738012E-2</v>
      </c>
      <c r="Z16" s="20">
        <f>$Q$37*F37+$R$37</f>
        <v>-6.1302529089549509</v>
      </c>
      <c r="AA16" s="20">
        <f>E37-Z16</f>
        <v>-3.5565025297787045E-2</v>
      </c>
    </row>
    <row r="17" spans="1:27" x14ac:dyDescent="0.3">
      <c r="A17" s="33"/>
      <c r="B17" s="16">
        <v>0.52</v>
      </c>
      <c r="C17" s="16">
        <f>B17-'Carga e Descarga'!$G$18</f>
        <v>0.10700000000000004</v>
      </c>
      <c r="D17" s="16">
        <f>C17/$N$21</f>
        <v>0.25907990314769985</v>
      </c>
      <c r="E17" s="16">
        <f>LN((-$C$5+C17)/$C$5)</f>
        <v>-3.0155349008501702</v>
      </c>
      <c r="F17" s="45">
        <v>709</v>
      </c>
      <c r="R17">
        <v>9</v>
      </c>
      <c r="X17" s="20">
        <f>$W$37*F17+$X$37</f>
        <v>-3.0647431710285735</v>
      </c>
      <c r="Y17" s="20">
        <f>E17-X17</f>
        <v>4.9208270178403346E-2</v>
      </c>
      <c r="Z17" s="20">
        <f>$Q$37*F38+$R$37</f>
        <v>-6.2121714224193534</v>
      </c>
      <c r="AA17" s="20">
        <f>E38-Z17</f>
        <v>-2.4366760028371459E-3</v>
      </c>
    </row>
    <row r="18" spans="1:27" x14ac:dyDescent="0.3">
      <c r="A18" s="33"/>
      <c r="B18" s="16">
        <v>0.52</v>
      </c>
      <c r="C18" s="16">
        <f>B18-'Carga e Descarga'!$G$18</f>
        <v>0.10700000000000004</v>
      </c>
      <c r="D18" s="16">
        <f>C18/$N$21</f>
        <v>0.25907990314769985</v>
      </c>
      <c r="E18" s="16">
        <f>LN((-$C$5+C18)/$C$5)</f>
        <v>-3.0155349008501702</v>
      </c>
      <c r="F18" s="45">
        <v>784</v>
      </c>
      <c r="X18" s="20">
        <f>$W$37*F18+$X$37</f>
        <v>-3.0023615171300841</v>
      </c>
      <c r="Y18" s="20">
        <f>E18-X18</f>
        <v>-1.3173383720086029E-2</v>
      </c>
      <c r="Z18" s="20">
        <f>$Q$37*F39+$R$37</f>
        <v>-6.2702590956032012</v>
      </c>
      <c r="AA18" s="20">
        <f>E39-Z18</f>
        <v>5.5650997181010631E-2</v>
      </c>
    </row>
    <row r="19" spans="1:27" x14ac:dyDescent="0.3">
      <c r="A19" s="33"/>
      <c r="B19" s="16">
        <v>0.52</v>
      </c>
      <c r="C19" s="16">
        <f>B19-'Carga e Descarga'!$G$18</f>
        <v>0.10700000000000004</v>
      </c>
      <c r="D19" s="16">
        <f>C19/$N$21</f>
        <v>0.25907990314769985</v>
      </c>
      <c r="E19" s="16">
        <f>LN((-$C$5+C19)/$C$5)</f>
        <v>-3.0155349008501702</v>
      </c>
      <c r="F19" s="45">
        <v>845</v>
      </c>
      <c r="X19" s="20">
        <f>$W$37*F19+$X$37</f>
        <v>-2.9516244386259798</v>
      </c>
      <c r="Y19" s="20">
        <f>E19-X19</f>
        <v>-6.391046222419039E-2</v>
      </c>
      <c r="Z19" s="20">
        <f>$Q$37*F40+$R$37</f>
        <v>-6.2955793634012895</v>
      </c>
      <c r="AA19" s="20">
        <f>E40-Z19</f>
        <v>8.0971264979099011E-2</v>
      </c>
    </row>
    <row r="20" spans="1:27" x14ac:dyDescent="0.3">
      <c r="A20" s="33"/>
      <c r="B20" s="16">
        <v>0.52</v>
      </c>
      <c r="C20" s="16">
        <f>B20-'Carga e Descarga'!$G$18</f>
        <v>0.10700000000000004</v>
      </c>
      <c r="D20" s="16">
        <f>C20/$N$21</f>
        <v>0.25907990314769985</v>
      </c>
      <c r="E20" s="16">
        <f>LN((-$C$5+C20)/$C$5)</f>
        <v>-3.0155349008501702</v>
      </c>
      <c r="F20" s="45">
        <v>905</v>
      </c>
      <c r="X20" s="20">
        <f>$W$37*F20+$X$37</f>
        <v>-2.9017191155071882</v>
      </c>
      <c r="Y20" s="20">
        <f>E20-X20</f>
        <v>-0.11381578534298198</v>
      </c>
    </row>
    <row r="21" spans="1:27" x14ac:dyDescent="0.3">
      <c r="A21" s="33"/>
      <c r="B21" s="16">
        <v>0.52</v>
      </c>
      <c r="C21" s="16">
        <f>B21-'Carga e Descarga'!$G$18</f>
        <v>0.10700000000000004</v>
      </c>
      <c r="D21" s="16">
        <f>C21/$N$21</f>
        <v>0.25907990314769985</v>
      </c>
      <c r="E21" s="16">
        <f>LN((-$C$5+C21)/$C$5)</f>
        <v>-3.0155349008501702</v>
      </c>
      <c r="F21" s="45">
        <v>944</v>
      </c>
      <c r="M21" s="1" t="s">
        <v>22</v>
      </c>
      <c r="N21" s="10">
        <v>0.41299999999999998</v>
      </c>
      <c r="X21" s="20">
        <f>$W$37*F21+$X$37</f>
        <v>-2.8692806554799737</v>
      </c>
      <c r="Y21" s="20">
        <f>E21-X21</f>
        <v>-0.14625424537019649</v>
      </c>
      <c r="Z21" s="14"/>
      <c r="AA21" s="14"/>
    </row>
    <row r="22" spans="1:27" x14ac:dyDescent="0.3">
      <c r="A22" s="49"/>
      <c r="B22" s="49"/>
      <c r="C22" s="49"/>
      <c r="D22" s="49"/>
      <c r="E22" s="49"/>
      <c r="F22" s="49"/>
    </row>
    <row r="23" spans="1:27" x14ac:dyDescent="0.3">
      <c r="A23" s="46" t="s">
        <v>3</v>
      </c>
      <c r="B23" s="47"/>
      <c r="C23" s="47"/>
      <c r="D23" s="47"/>
      <c r="E23" s="47"/>
      <c r="F23" s="48"/>
    </row>
    <row r="24" spans="1:27" x14ac:dyDescent="0.3">
      <c r="A24" s="24" t="s">
        <v>21</v>
      </c>
      <c r="B24" s="24" t="s">
        <v>5</v>
      </c>
      <c r="C24" s="13" t="s">
        <v>6</v>
      </c>
      <c r="D24" s="44" t="s">
        <v>55</v>
      </c>
      <c r="E24" s="42" t="s">
        <v>36</v>
      </c>
      <c r="F24" s="13" t="s">
        <v>2</v>
      </c>
    </row>
    <row r="25" spans="1:27" x14ac:dyDescent="0.3">
      <c r="A25" s="24" t="s">
        <v>44</v>
      </c>
      <c r="B25" s="24" t="s">
        <v>46</v>
      </c>
      <c r="C25" s="13" t="s">
        <v>46</v>
      </c>
      <c r="D25" s="13" t="s">
        <v>57</v>
      </c>
      <c r="E25" s="43"/>
      <c r="F25" s="13" t="s">
        <v>56</v>
      </c>
    </row>
    <row r="26" spans="1:27" x14ac:dyDescent="0.3">
      <c r="A26" s="32">
        <v>1.0290000000000001E-2</v>
      </c>
      <c r="B26" s="16">
        <v>0.41799999999999998</v>
      </c>
      <c r="C26" s="16">
        <f>B26-'Carga e Descarga'!$G$18</f>
        <v>5.0000000000000044E-3</v>
      </c>
      <c r="D26" s="16">
        <f t="shared" ref="D26:D40" si="0">C26/$N$21</f>
        <v>1.2106537530266356E-2</v>
      </c>
      <c r="E26" s="16" t="s">
        <v>4</v>
      </c>
      <c r="F26" s="45">
        <v>12</v>
      </c>
    </row>
    <row r="27" spans="1:27" x14ac:dyDescent="0.3">
      <c r="A27" s="33"/>
      <c r="B27" s="16">
        <v>0.41699999999999998</v>
      </c>
      <c r="C27" s="16">
        <f>B27-'Carga e Descarga'!$G$18</f>
        <v>4.0000000000000036E-3</v>
      </c>
      <c r="D27" s="16">
        <f t="shared" si="0"/>
        <v>9.6852300242130842E-3</v>
      </c>
      <c r="E27" s="16">
        <f>LN(C27)</f>
        <v>-5.5214609178622451</v>
      </c>
      <c r="F27" s="45">
        <v>71</v>
      </c>
    </row>
    <row r="28" spans="1:27" x14ac:dyDescent="0.3">
      <c r="A28" s="33"/>
      <c r="B28" s="16">
        <v>0.41689999999999999</v>
      </c>
      <c r="C28" s="16">
        <f>B28-'Carga e Descarga'!$G$18</f>
        <v>3.9000000000000146E-3</v>
      </c>
      <c r="D28" s="16">
        <f t="shared" si="0"/>
        <v>9.4430992736077839E-3</v>
      </c>
      <c r="E28" s="16">
        <f t="shared" ref="E28:E40" si="1">LN(C28)</f>
        <v>-5.5467787258465329</v>
      </c>
      <c r="F28" s="45">
        <v>124</v>
      </c>
    </row>
    <row r="29" spans="1:27" x14ac:dyDescent="0.3">
      <c r="A29" s="33"/>
      <c r="B29" s="16">
        <v>0.41649999999999998</v>
      </c>
      <c r="C29" s="16">
        <f>B29-'Carga e Descarga'!$G$18</f>
        <v>3.5000000000000031E-3</v>
      </c>
      <c r="D29" s="16">
        <f t="shared" si="0"/>
        <v>8.4745762711864493E-3</v>
      </c>
      <c r="E29" s="16">
        <f t="shared" si="1"/>
        <v>-5.6549923104867679</v>
      </c>
      <c r="F29" s="45">
        <v>163</v>
      </c>
    </row>
    <row r="30" spans="1:27" x14ac:dyDescent="0.3">
      <c r="A30" s="33"/>
      <c r="B30" s="16">
        <v>0.41639999999999999</v>
      </c>
      <c r="C30" s="16">
        <f>B30-'Carga e Descarga'!$G$18</f>
        <v>3.4000000000000141E-3</v>
      </c>
      <c r="D30" s="16">
        <f t="shared" si="0"/>
        <v>8.2324455205811491E-3</v>
      </c>
      <c r="E30" s="16">
        <f t="shared" si="1"/>
        <v>-5.6839798473600176</v>
      </c>
      <c r="F30" s="45">
        <v>206</v>
      </c>
    </row>
    <row r="31" spans="1:27" x14ac:dyDescent="0.3">
      <c r="A31" s="33"/>
      <c r="B31" s="16">
        <v>0.4163</v>
      </c>
      <c r="C31" s="16">
        <f>B31-'Carga e Descarga'!$G$18</f>
        <v>3.3000000000000251E-3</v>
      </c>
      <c r="D31" s="16">
        <f t="shared" si="0"/>
        <v>7.9903147699758488E-3</v>
      </c>
      <c r="E31" s="16">
        <f t="shared" si="1"/>
        <v>-5.7138328105096949</v>
      </c>
      <c r="F31" s="45">
        <v>274</v>
      </c>
    </row>
    <row r="32" spans="1:27" x14ac:dyDescent="0.3">
      <c r="A32" s="33"/>
      <c r="B32" s="16">
        <v>0.41599999999999998</v>
      </c>
      <c r="C32" s="16">
        <f>B32-'Carga e Descarga'!$G$18</f>
        <v>3.0000000000000027E-3</v>
      </c>
      <c r="D32" s="16">
        <f t="shared" si="0"/>
        <v>7.2639225181598127E-3</v>
      </c>
      <c r="E32" s="16">
        <f t="shared" si="1"/>
        <v>-5.8091429903140268</v>
      </c>
      <c r="F32" s="45">
        <v>338</v>
      </c>
    </row>
    <row r="33" spans="1:26" x14ac:dyDescent="0.3">
      <c r="A33" s="33"/>
      <c r="B33" s="16">
        <v>0.41570000000000001</v>
      </c>
      <c r="C33" s="16">
        <f>B33-'Carga e Descarga'!$G$18</f>
        <v>2.7000000000000357E-3</v>
      </c>
      <c r="D33" s="16">
        <f t="shared" si="0"/>
        <v>6.5375302663439128E-3</v>
      </c>
      <c r="E33" s="16">
        <f t="shared" si="1"/>
        <v>-5.9145035059718403</v>
      </c>
      <c r="F33" s="45">
        <v>405</v>
      </c>
    </row>
    <row r="34" spans="1:26" x14ac:dyDescent="0.3">
      <c r="A34" s="33"/>
      <c r="B34" s="16">
        <v>0.41560000000000002</v>
      </c>
      <c r="C34" s="16">
        <f>B34-'Carga e Descarga'!$G$18</f>
        <v>2.6000000000000467E-3</v>
      </c>
      <c r="D34" s="16">
        <f t="shared" si="0"/>
        <v>6.2953995157386125E-3</v>
      </c>
      <c r="E34" s="16">
        <f t="shared" si="1"/>
        <v>-5.9522438339546824</v>
      </c>
      <c r="F34" s="45">
        <v>507</v>
      </c>
    </row>
    <row r="35" spans="1:26" x14ac:dyDescent="0.3">
      <c r="A35" s="33"/>
      <c r="B35" s="16">
        <v>0.41549999999999998</v>
      </c>
      <c r="C35" s="16">
        <f>B35-'Carga e Descarga'!$G$18</f>
        <v>2.5000000000000022E-3</v>
      </c>
      <c r="D35" s="16">
        <f t="shared" si="0"/>
        <v>6.0532687651331778E-3</v>
      </c>
      <c r="E35" s="16">
        <f t="shared" si="1"/>
        <v>-5.9914645471079808</v>
      </c>
      <c r="F35" s="45">
        <v>600</v>
      </c>
    </row>
    <row r="36" spans="1:26" x14ac:dyDescent="0.3">
      <c r="A36" s="33"/>
      <c r="B36" s="16">
        <v>0.41520000000000001</v>
      </c>
      <c r="C36" s="16">
        <f>B36-'Carga e Descarga'!$G$18</f>
        <v>2.2000000000000353E-3</v>
      </c>
      <c r="D36" s="16">
        <f t="shared" si="0"/>
        <v>5.3268765133172771E-3</v>
      </c>
      <c r="E36" s="16">
        <f t="shared" si="1"/>
        <v>-6.1192979186178507</v>
      </c>
      <c r="F36" s="45">
        <v>701</v>
      </c>
      <c r="P36" s="27" t="s">
        <v>58</v>
      </c>
      <c r="Q36" s="27"/>
      <c r="R36" s="27"/>
      <c r="S36" s="27"/>
      <c r="T36" s="27"/>
      <c r="V36" s="27" t="s">
        <v>59</v>
      </c>
      <c r="W36" s="27"/>
      <c r="X36" s="27"/>
      <c r="Y36" s="27"/>
      <c r="Z36" s="27"/>
    </row>
    <row r="37" spans="1:26" x14ac:dyDescent="0.3">
      <c r="A37" s="33"/>
      <c r="B37" s="16">
        <v>0.41510000000000002</v>
      </c>
      <c r="C37" s="16">
        <f>B37-'Carga e Descarga'!$G$18</f>
        <v>2.1000000000000463E-3</v>
      </c>
      <c r="D37" s="16">
        <f t="shared" si="0"/>
        <v>5.0847457627119768E-3</v>
      </c>
      <c r="E37" s="16">
        <f t="shared" si="1"/>
        <v>-6.1658179342527379</v>
      </c>
      <c r="F37" s="45">
        <v>808</v>
      </c>
      <c r="P37" s="21" t="s">
        <v>35</v>
      </c>
      <c r="Q37" s="4">
        <f t="array" ref="Q37:R39">LINEST(E27:E40,F27:F40,TRUE,TRUE)</f>
        <v>-7.4471375876728949E-4</v>
      </c>
      <c r="R37" s="4">
        <v>-5.5285241918709813</v>
      </c>
      <c r="S37" s="28" t="s">
        <v>34</v>
      </c>
      <c r="T37" s="27"/>
      <c r="V37" s="21" t="s">
        <v>35</v>
      </c>
      <c r="W37" s="4">
        <f t="array" ref="W37:X39">LINEST(E6:E21,F6:F21,TRUE,TRUE)</f>
        <v>8.3175538531319096E-4</v>
      </c>
      <c r="X37" s="4">
        <v>-3.6544577392156259</v>
      </c>
      <c r="Y37" s="28" t="s">
        <v>34</v>
      </c>
      <c r="Z37" s="27"/>
    </row>
    <row r="38" spans="1:26" x14ac:dyDescent="0.3">
      <c r="A38" s="33"/>
      <c r="B38" s="16">
        <v>0.41499999999999998</v>
      </c>
      <c r="C38" s="16">
        <f>B38-'Carga e Descarga'!$G$18</f>
        <v>2.0000000000000018E-3</v>
      </c>
      <c r="D38" s="16">
        <f t="shared" si="0"/>
        <v>4.8426150121065421E-3</v>
      </c>
      <c r="E38" s="16">
        <f t="shared" si="1"/>
        <v>-6.2146080984221905</v>
      </c>
      <c r="F38" s="45">
        <v>918</v>
      </c>
      <c r="P38" s="21" t="s">
        <v>28</v>
      </c>
      <c r="Q38" s="4">
        <v>4.5026637565156572E-5</v>
      </c>
      <c r="R38" s="4">
        <v>2.7175572824945746E-2</v>
      </c>
      <c r="S38" s="28" t="s">
        <v>27</v>
      </c>
      <c r="T38" s="27"/>
      <c r="V38" s="21" t="s">
        <v>28</v>
      </c>
      <c r="W38" s="4">
        <v>1.167653155472426E-4</v>
      </c>
      <c r="X38" s="4">
        <v>6.6880507097966502E-2</v>
      </c>
      <c r="Y38" s="28" t="s">
        <v>27</v>
      </c>
      <c r="Z38" s="27"/>
    </row>
    <row r="39" spans="1:26" ht="16.2" x14ac:dyDescent="0.3">
      <c r="A39" s="33"/>
      <c r="B39" s="16">
        <v>0.41499999999999998</v>
      </c>
      <c r="C39" s="16">
        <f>B39-'Carga e Descarga'!$G$18</f>
        <v>2.0000000000000018E-3</v>
      </c>
      <c r="D39" s="16">
        <f t="shared" si="0"/>
        <v>4.8426150121065421E-3</v>
      </c>
      <c r="E39" s="16">
        <f t="shared" si="1"/>
        <v>-6.2146080984221905</v>
      </c>
      <c r="F39" s="45">
        <v>996</v>
      </c>
      <c r="P39" s="21" t="s">
        <v>41</v>
      </c>
      <c r="Q39" s="4">
        <v>0.95797611447723408</v>
      </c>
      <c r="R39" s="4">
        <v>5.4355580392070058E-2</v>
      </c>
      <c r="S39" s="28" t="s">
        <v>29</v>
      </c>
      <c r="T39" s="27"/>
      <c r="V39" s="21" t="s">
        <v>41</v>
      </c>
      <c r="W39" s="4">
        <v>0.78375548496109726</v>
      </c>
      <c r="X39" s="4">
        <v>0.13128518716578064</v>
      </c>
      <c r="Y39" s="28" t="s">
        <v>29</v>
      </c>
      <c r="Z39" s="27"/>
    </row>
    <row r="40" spans="1:26" x14ac:dyDescent="0.3">
      <c r="A40" s="33"/>
      <c r="B40" s="16">
        <v>0.41499999999999998</v>
      </c>
      <c r="C40" s="16">
        <f>B40-'Carga e Descarga'!$G$18</f>
        <v>2.0000000000000018E-3</v>
      </c>
      <c r="D40" s="16">
        <f t="shared" si="0"/>
        <v>4.8426150121065421E-3</v>
      </c>
      <c r="E40" s="16">
        <f t="shared" si="1"/>
        <v>-6.2146080984221905</v>
      </c>
      <c r="F40" s="45">
        <v>1030</v>
      </c>
    </row>
    <row r="61" spans="4:4" x14ac:dyDescent="0.3">
      <c r="D61" s="11"/>
    </row>
  </sheetData>
  <mergeCells count="16">
    <mergeCell ref="E3:E4"/>
    <mergeCell ref="E24:E25"/>
    <mergeCell ref="P36:T36"/>
    <mergeCell ref="V36:Z36"/>
    <mergeCell ref="S38:T38"/>
    <mergeCell ref="S39:T39"/>
    <mergeCell ref="A26:A40"/>
    <mergeCell ref="Z3:AA3"/>
    <mergeCell ref="A2:F2"/>
    <mergeCell ref="A23:F23"/>
    <mergeCell ref="X3:Y3"/>
    <mergeCell ref="A5:A21"/>
    <mergeCell ref="Y37:Z37"/>
    <mergeCell ref="Y38:Z38"/>
    <mergeCell ref="Y39:Z39"/>
    <mergeCell ref="S37:T37"/>
  </mergeCells>
  <phoneticPr fontId="7" type="noConversion"/>
  <pageMargins left="3.937007874015748E-2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2022-04-03T18:34:34Z</cp:lastPrinted>
  <dcterms:created xsi:type="dcterms:W3CDTF">2022-03-28T08:43:32Z</dcterms:created>
  <dcterms:modified xsi:type="dcterms:W3CDTF">2022-04-03T18:48:42Z</dcterms:modified>
</cp:coreProperties>
</file>