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A2826C7-9BCD-4C95-A1BB-0F6BA22CB2AC}" xr6:coauthVersionLast="47" xr6:coauthVersionMax="47" xr10:uidLastSave="{00000000-0000-0000-0000-000000000000}"/>
  <bookViews>
    <workbookView xWindow="-108" yWindow="-108" windowWidth="23256" windowHeight="12456" activeTab="2" xr2:uid="{D149F195-8FA2-4881-9A1D-3CD562656943}"/>
  </bookViews>
  <sheets>
    <sheet name="d1 == d2" sheetId="1" r:id="rId1"/>
    <sheet name="d1 != d2" sheetId="2" r:id="rId2"/>
    <sheet name="sóli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H2" i="3"/>
  <c r="G2" i="3"/>
  <c r="J3" i="2"/>
  <c r="J4" i="2"/>
  <c r="J5" i="2"/>
  <c r="J6" i="2"/>
  <c r="J7" i="2"/>
  <c r="J8" i="2"/>
  <c r="J2" i="2"/>
  <c r="G3" i="2" l="1"/>
  <c r="G4" i="2"/>
  <c r="G5" i="2"/>
  <c r="G6" i="2"/>
  <c r="G7" i="2"/>
  <c r="G8" i="2"/>
  <c r="F2" i="2"/>
  <c r="G2" i="2" s="1"/>
  <c r="F3" i="2"/>
  <c r="F4" i="2"/>
  <c r="F5" i="2"/>
  <c r="F6" i="2"/>
  <c r="F7" i="2"/>
  <c r="F8" i="2"/>
  <c r="H3" i="2"/>
  <c r="H4" i="2"/>
  <c r="H5" i="2"/>
  <c r="H7" i="2"/>
  <c r="H8" i="2"/>
  <c r="H6" i="2" l="1"/>
  <c r="O8" i="1" l="1"/>
  <c r="O7" i="2"/>
  <c r="H2" i="2"/>
  <c r="B2" i="2"/>
  <c r="H2" i="1" l="1"/>
  <c r="G2" i="1"/>
  <c r="M6" i="3"/>
  <c r="M7" i="3" s="1"/>
  <c r="U4" i="2"/>
  <c r="H20" i="1"/>
  <c r="H4" i="1"/>
  <c r="H6" i="1"/>
  <c r="H8" i="1"/>
  <c r="H10" i="1"/>
  <c r="H12" i="1"/>
  <c r="H14" i="1"/>
  <c r="H16" i="1"/>
  <c r="H18" i="1"/>
  <c r="H22" i="1"/>
  <c r="H24" i="1"/>
  <c r="A2" i="2" l="1"/>
  <c r="B3" i="2"/>
  <c r="A3" i="2" s="1"/>
  <c r="B4" i="2"/>
  <c r="A4" i="2" s="1"/>
  <c r="B5" i="2"/>
  <c r="A5" i="2" s="1"/>
  <c r="B6" i="2"/>
  <c r="A6" i="2" s="1"/>
  <c r="B7" i="2"/>
  <c r="A7" i="2" s="1"/>
  <c r="B8" i="2"/>
  <c r="A8" i="2" s="1"/>
  <c r="G24" i="1"/>
  <c r="G22" i="1"/>
  <c r="G20" i="1"/>
  <c r="G18" i="1"/>
  <c r="G16" i="1"/>
  <c r="G14" i="1"/>
  <c r="G12" i="1"/>
  <c r="G10" i="1"/>
  <c r="G8" i="1"/>
  <c r="G6" i="1"/>
  <c r="G4" i="1"/>
  <c r="Q5" i="3" l="1"/>
  <c r="I5" i="3" s="1"/>
  <c r="D5" i="3"/>
  <c r="F5" i="3" s="1"/>
  <c r="D2" i="3"/>
  <c r="F2" i="3" s="1"/>
  <c r="S4" i="2"/>
  <c r="K2" i="2" s="1"/>
  <c r="E5" i="3" l="1"/>
  <c r="E2" i="3"/>
  <c r="Y4" i="1"/>
  <c r="D2" i="1"/>
  <c r="F2" i="1" s="1"/>
  <c r="E2" i="1" l="1"/>
  <c r="Z4" i="1" s="1"/>
  <c r="AC4" i="1"/>
  <c r="D20" i="1"/>
  <c r="F20" i="1" s="1"/>
  <c r="AC13" i="1" s="1"/>
  <c r="Y13" i="1"/>
  <c r="D22" i="1"/>
  <c r="Y14" i="1"/>
  <c r="D24" i="1"/>
  <c r="F24" i="1" s="1"/>
  <c r="AC15" i="1" s="1"/>
  <c r="Y15" i="1"/>
  <c r="K3" i="2"/>
  <c r="K4" i="2"/>
  <c r="K5" i="2"/>
  <c r="K6" i="2"/>
  <c r="K7" i="2"/>
  <c r="K8" i="2"/>
  <c r="D4" i="1"/>
  <c r="D6" i="1"/>
  <c r="D8" i="1"/>
  <c r="D10" i="1"/>
  <c r="D12" i="1"/>
  <c r="D14" i="1"/>
  <c r="D16" i="1"/>
  <c r="D18" i="1"/>
  <c r="E12" i="1" l="1"/>
  <c r="Z9" i="1" s="1"/>
  <c r="F12" i="1"/>
  <c r="AC9" i="1" s="1"/>
  <c r="E8" i="1"/>
  <c r="Z7" i="1" s="1"/>
  <c r="F8" i="1"/>
  <c r="AC7" i="1" s="1"/>
  <c r="E16" i="1"/>
  <c r="Z11" i="1" s="1"/>
  <c r="F16" i="1"/>
  <c r="AC11" i="1" s="1"/>
  <c r="E4" i="1"/>
  <c r="Z5" i="1" s="1"/>
  <c r="F4" i="1"/>
  <c r="AC5" i="1" s="1"/>
  <c r="E18" i="1"/>
  <c r="Z12" i="1" s="1"/>
  <c r="F18" i="1"/>
  <c r="AC12" i="1" s="1"/>
  <c r="E14" i="1"/>
  <c r="Z10" i="1" s="1"/>
  <c r="F14" i="1"/>
  <c r="AC10" i="1" s="1"/>
  <c r="E10" i="1"/>
  <c r="Z8" i="1" s="1"/>
  <c r="F10" i="1"/>
  <c r="AC8" i="1" s="1"/>
  <c r="E22" i="1"/>
  <c r="Z14" i="1" s="1"/>
  <c r="F22" i="1"/>
  <c r="AC14" i="1" s="1"/>
  <c r="E6" i="1"/>
  <c r="Z6" i="1" s="1"/>
  <c r="F6" i="1"/>
  <c r="AC6" i="1" s="1"/>
  <c r="E24" i="1"/>
  <c r="Z15" i="1" s="1"/>
  <c r="E20" i="1"/>
  <c r="Z13" i="1" s="1"/>
  <c r="Y5" i="1"/>
  <c r="Y6" i="1"/>
  <c r="Y7" i="1"/>
  <c r="Y8" i="1"/>
  <c r="Y9" i="1"/>
  <c r="Y10" i="1"/>
  <c r="Y11" i="1"/>
  <c r="Y12" i="1"/>
  <c r="T4" i="1" l="1" a="1"/>
  <c r="T4" i="1" s="1"/>
  <c r="I7" i="2"/>
  <c r="I6" i="2"/>
  <c r="I8" i="2"/>
  <c r="I3" i="2"/>
  <c r="I5" i="2"/>
  <c r="I2" i="2" l="1"/>
  <c r="I4" i="2"/>
  <c r="L4" i="2" s="1"/>
  <c r="I2" i="1"/>
  <c r="I22" i="1"/>
  <c r="K22" i="1" s="1"/>
  <c r="I4" i="1"/>
  <c r="K4" i="1" s="1"/>
  <c r="J2" i="3"/>
  <c r="I18" i="1"/>
  <c r="K18" i="1" s="1"/>
  <c r="I6" i="1"/>
  <c r="K6" i="1" s="1"/>
  <c r="I20" i="1"/>
  <c r="K20" i="1" s="1"/>
  <c r="I8" i="1"/>
  <c r="K8" i="1" s="1"/>
  <c r="I10" i="1"/>
  <c r="K10" i="1" s="1"/>
  <c r="I12" i="1"/>
  <c r="K12" i="1" s="1"/>
  <c r="I24" i="1"/>
  <c r="K24" i="1" s="1"/>
  <c r="I14" i="1"/>
  <c r="K14" i="1" s="1"/>
  <c r="I16" i="1"/>
  <c r="K16" i="1" s="1"/>
  <c r="L8" i="2"/>
  <c r="U4" i="1"/>
  <c r="AA11" i="1" s="1"/>
  <c r="AB11" i="1" s="1"/>
  <c r="T5" i="1"/>
  <c r="L6" i="2"/>
  <c r="L7" i="2"/>
  <c r="U6" i="1"/>
  <c r="U5" i="1"/>
  <c r="L3" i="2"/>
  <c r="T6" i="1"/>
  <c r="L5" i="2"/>
  <c r="G5" i="3"/>
  <c r="J5" i="3" s="1"/>
  <c r="J2" i="1" l="1"/>
  <c r="K2" i="1"/>
  <c r="H5" i="3"/>
  <c r="O9" i="1"/>
  <c r="J4" i="1"/>
  <c r="J6" i="1"/>
  <c r="J10" i="1"/>
  <c r="J18" i="1"/>
  <c r="J22" i="1"/>
  <c r="J8" i="1"/>
  <c r="J12" i="1"/>
  <c r="J20" i="1"/>
  <c r="J24" i="1"/>
  <c r="J14" i="1"/>
  <c r="J16" i="1"/>
  <c r="AA5" i="1"/>
  <c r="AB5" i="1" s="1"/>
  <c r="AA6" i="1"/>
  <c r="AB6" i="1" s="1"/>
  <c r="AA14" i="1"/>
  <c r="AB14" i="1" s="1"/>
  <c r="AA4" i="1"/>
  <c r="AA8" i="1"/>
  <c r="AB8" i="1" s="1"/>
  <c r="AA12" i="1"/>
  <c r="AB12" i="1" s="1"/>
  <c r="AA10" i="1"/>
  <c r="AB10" i="1" s="1"/>
  <c r="AA13" i="1"/>
  <c r="AB13" i="1" s="1"/>
  <c r="AA9" i="1"/>
  <c r="AB9" i="1" s="1"/>
  <c r="AB4" i="1"/>
  <c r="AA7" i="1"/>
  <c r="AB7" i="1" s="1"/>
  <c r="AA15" i="1"/>
  <c r="AB15" i="1" s="1"/>
  <c r="L2" i="2" l="1"/>
</calcChain>
</file>

<file path=xl/sharedStrings.xml><?xml version="1.0" encoding="utf-8"?>
<sst xmlns="http://schemas.openxmlformats.org/spreadsheetml/2006/main" count="94" uniqueCount="84">
  <si>
    <t>I'</t>
  </si>
  <si>
    <r>
      <t>m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</si>
  <si>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</si>
  <si>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</si>
  <si>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</si>
  <si>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</si>
  <si>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vareta</t>
    </r>
  </si>
  <si>
    <t>Sólido</t>
  </si>
  <si>
    <t>D</t>
  </si>
  <si>
    <t>T^2</t>
  </si>
  <si>
    <t>Análise Estatística</t>
  </si>
  <si>
    <t>m</t>
  </si>
  <si>
    <t>u(m)</t>
  </si>
  <si>
    <t>r^2</t>
  </si>
  <si>
    <t>b</t>
  </si>
  <si>
    <t>u(b)</t>
  </si>
  <si>
    <t>sy</t>
  </si>
  <si>
    <t>fit</t>
  </si>
  <si>
    <t>resíduos</t>
  </si>
  <si>
    <t>I OO'</t>
  </si>
  <si>
    <t xml:space="preserve"> </t>
  </si>
  <si>
    <t>M</t>
  </si>
  <si>
    <t>Erro %</t>
  </si>
  <si>
    <t>Cilindro Oco</t>
  </si>
  <si>
    <t>Disco</t>
  </si>
  <si>
    <t>M cil</t>
  </si>
  <si>
    <t>D cil</t>
  </si>
  <si>
    <t>h cil</t>
  </si>
  <si>
    <t>espessura</t>
  </si>
  <si>
    <t>M disco</t>
  </si>
  <si>
    <t>h disco</t>
  </si>
  <si>
    <t>D disco</t>
  </si>
  <si>
    <t>R ext</t>
  </si>
  <si>
    <t xml:space="preserve">R int </t>
  </si>
  <si>
    <t>R disco</t>
  </si>
  <si>
    <r>
      <t>I'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</si>
  <si>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u(T^2)</t>
  </si>
  <si>
    <t>u(D)</t>
  </si>
  <si>
    <r>
      <t>u(m</t>
    </r>
    <r>
      <rPr>
        <vertAlign val="subscript"/>
        <sz val="11"/>
        <color theme="1"/>
        <rFont val="Calibri"/>
        <family val="2"/>
        <scheme val="minor"/>
      </rPr>
      <t>1)</t>
    </r>
  </si>
  <si>
    <r>
      <t>u(m</t>
    </r>
    <r>
      <rPr>
        <vertAlign val="subscript"/>
        <sz val="11"/>
        <color theme="1"/>
        <rFont val="Calibri"/>
        <family val="2"/>
        <scheme val="minor"/>
      </rPr>
      <t>2)</t>
    </r>
  </si>
  <si>
    <r>
      <t>u(m</t>
    </r>
    <r>
      <rPr>
        <vertAlign val="subscript"/>
        <sz val="11"/>
        <color theme="1"/>
        <rFont val="Calibri"/>
        <family val="2"/>
        <scheme val="minor"/>
      </rPr>
      <t>vareta</t>
    </r>
    <r>
      <rPr>
        <sz val="11"/>
        <color theme="1"/>
        <rFont val="Calibri"/>
        <family val="2"/>
        <scheme val="minor"/>
      </rPr>
      <t>)</t>
    </r>
  </si>
  <si>
    <r>
      <t>u(L</t>
    </r>
    <r>
      <rPr>
        <vertAlign val="subscript"/>
        <sz val="11"/>
        <color theme="1"/>
        <rFont val="Calibri"/>
        <family val="2"/>
        <scheme val="minor"/>
      </rPr>
      <t>vareta</t>
    </r>
    <r>
      <rPr>
        <sz val="11"/>
        <color theme="1"/>
        <rFont val="Calibri"/>
        <family val="2"/>
        <scheme val="minor"/>
      </rPr>
      <t>)</t>
    </r>
  </si>
  <si>
    <t>u(d)</t>
  </si>
  <si>
    <t>u(I) (%)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</si>
  <si>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</si>
  <si>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 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</si>
  <si>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I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</si>
  <si>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u(I')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</si>
  <si>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 (</t>
    </r>
    <r>
      <rPr>
        <sz val="11"/>
        <color theme="1"/>
        <rFont val="Calibri"/>
        <family val="2"/>
      </rPr>
      <t>±0,0005)m</t>
    </r>
  </si>
  <si>
    <r>
      <t>(T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±0,001) (s)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</si>
  <si>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±0,0005</t>
    </r>
    <r>
      <rPr>
        <sz val="11"/>
        <color theme="1"/>
        <rFont val="Calibri"/>
        <family val="2"/>
        <scheme val="minor"/>
      </rPr>
      <t>) (m)</t>
    </r>
  </si>
  <si>
    <t>(T±0,0005) (s)</t>
  </si>
  <si>
    <r>
      <t>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±0,001)s</t>
    </r>
  </si>
  <si>
    <t>Erro (%)</t>
  </si>
  <si>
    <r>
      <t>u(m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</si>
  <si>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</si>
  <si>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u(d1)</t>
  </si>
  <si>
    <t>u(d2)</t>
  </si>
  <si>
    <t>u(M)</t>
  </si>
  <si>
    <t xml:space="preserve">     (± 0,0005) (m)</t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</si>
  <si>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(±0,001)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</si>
  <si>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(±0,001) (s)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</si>
  <si>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</si>
  <si>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(±0,0005)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</si>
  <si>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(±0,0005) (s)</t>
    </r>
  </si>
  <si>
    <t>u(M cil)</t>
  </si>
  <si>
    <t>u(D cil)</t>
  </si>
  <si>
    <t>u(h cil)</t>
  </si>
  <si>
    <t>u(espessura)</t>
  </si>
  <si>
    <t>u(R ext)</t>
  </si>
  <si>
    <t>u(R int)</t>
  </si>
  <si>
    <t>u(M disco)</t>
  </si>
  <si>
    <t>u(h disco)</t>
  </si>
  <si>
    <t>u(D disco)</t>
  </si>
  <si>
    <t>u(R disco)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</si>
  <si>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</si>
  <si>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Desvio de I e I´(%)</t>
  </si>
  <si>
    <t>(T±0,0007) (s)</t>
  </si>
  <si>
    <r>
      <t xml:space="preserve">I </t>
    </r>
    <r>
      <rPr>
        <vertAlign val="subscript"/>
        <sz val="11"/>
        <color theme="1"/>
        <rFont val="Calibri"/>
        <family val="2"/>
        <scheme val="minor"/>
      </rPr>
      <t xml:space="preserve">ZZ' </t>
    </r>
    <r>
      <rPr>
        <sz val="11"/>
        <color theme="1"/>
        <rFont val="Calibri"/>
        <family val="2"/>
        <scheme val="minor"/>
      </rPr>
      <t>(E)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</si>
  <si>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u(I </t>
    </r>
    <r>
      <rPr>
        <vertAlign val="subscript"/>
        <sz val="11"/>
        <color theme="1"/>
        <rFont val="Calibri"/>
        <family val="2"/>
        <scheme val="minor"/>
      </rPr>
      <t>ZZ'</t>
    </r>
    <r>
      <rPr>
        <sz val="11"/>
        <color theme="1"/>
        <rFont val="Calibri"/>
        <family val="2"/>
        <scheme val="minor"/>
      </rPr>
      <t>(E))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</si>
  <si>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I </t>
    </r>
    <r>
      <rPr>
        <vertAlign val="subscript"/>
        <sz val="11"/>
        <color theme="1"/>
        <rFont val="Calibri"/>
        <family val="2"/>
        <scheme val="minor"/>
      </rPr>
      <t xml:space="preserve">ZZ' </t>
    </r>
    <r>
      <rPr>
        <sz val="11"/>
        <color theme="1"/>
        <rFont val="Calibri"/>
        <family val="2"/>
        <scheme val="minor"/>
      </rPr>
      <t>(S)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</si>
  <si>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</si>
  <si>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</si>
  <si>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 (±0,0004)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</si>
</sst>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E+00"/>
    <numFmt numFmtId="166" formatCode="0.00000"/>
    <numFmt numFmtId="167" formatCode="0.000%"/>
    <numFmt numFmtId="168" formatCode="0.00000%"/>
    <numFmt numFmtId="169" formatCode="0.0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I'(T2)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581154104544564E-2"/>
                  <c:y val="0.16917185223969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'd1 == d2'!$AC$4:$AC$15</c:f>
                <c:numCache>
                  <c:formatCode>General</c:formatCode>
                  <c:ptCount val="12"/>
                  <c:pt idx="0">
                    <c:v>7.8110000000000002E-3</c:v>
                  </c:pt>
                  <c:pt idx="1">
                    <c:v>7.5492499999999995E-3</c:v>
                  </c:pt>
                  <c:pt idx="2">
                    <c:v>7.2995000000000004E-3</c:v>
                  </c:pt>
                  <c:pt idx="3">
                    <c:v>7.0425000000000001E-3</c:v>
                  </c:pt>
                  <c:pt idx="4">
                    <c:v>6.8077500000000004E-3</c:v>
                  </c:pt>
                  <c:pt idx="5">
                    <c:v>6.5515E-3</c:v>
                  </c:pt>
                  <c:pt idx="6">
                    <c:v>6.294000000000001E-3</c:v>
                  </c:pt>
                  <c:pt idx="7">
                    <c:v>6.0700000000000007E-3</c:v>
                  </c:pt>
                  <c:pt idx="8">
                    <c:v>5.8037499999999999E-3</c:v>
                  </c:pt>
                  <c:pt idx="9">
                    <c:v>5.5877499999999998E-3</c:v>
                  </c:pt>
                  <c:pt idx="10">
                    <c:v>5.3360000000000005E-3</c:v>
                  </c:pt>
                  <c:pt idx="11">
                    <c:v>4.2282499999999994E-3</c:v>
                  </c:pt>
                </c:numCache>
              </c:numRef>
            </c:plus>
            <c:minus>
              <c:numRef>
                <c:f>'d1 == d2'!$AC$4:$AC$15</c:f>
                <c:numCache>
                  <c:formatCode>General</c:formatCode>
                  <c:ptCount val="12"/>
                  <c:pt idx="0">
                    <c:v>7.8110000000000002E-3</c:v>
                  </c:pt>
                  <c:pt idx="1">
                    <c:v>7.5492499999999995E-3</c:v>
                  </c:pt>
                  <c:pt idx="2">
                    <c:v>7.2995000000000004E-3</c:v>
                  </c:pt>
                  <c:pt idx="3">
                    <c:v>7.0425000000000001E-3</c:v>
                  </c:pt>
                  <c:pt idx="4">
                    <c:v>6.8077500000000004E-3</c:v>
                  </c:pt>
                  <c:pt idx="5">
                    <c:v>6.5515E-3</c:v>
                  </c:pt>
                  <c:pt idx="6">
                    <c:v>6.294000000000001E-3</c:v>
                  </c:pt>
                  <c:pt idx="7">
                    <c:v>6.0700000000000007E-3</c:v>
                  </c:pt>
                  <c:pt idx="8">
                    <c:v>5.8037499999999999E-3</c:v>
                  </c:pt>
                  <c:pt idx="9">
                    <c:v>5.5877499999999998E-3</c:v>
                  </c:pt>
                  <c:pt idx="10">
                    <c:v>5.3360000000000005E-3</c:v>
                  </c:pt>
                  <c:pt idx="11">
                    <c:v>4.2282499999999994E-3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'd1 == d2'!$H$2:$H$25</c:f>
                <c:numCache>
                  <c:formatCode>General</c:formatCode>
                  <c:ptCount val="24"/>
                  <c:pt idx="0">
                    <c:v>8.109409690069414E-5</c:v>
                  </c:pt>
                  <c:pt idx="2">
                    <c:v>7.8111292978219035E-5</c:v>
                  </c:pt>
                  <c:pt idx="4">
                    <c:v>7.5129396239149759E-5</c:v>
                  </c:pt>
                  <c:pt idx="6">
                    <c:v>7.2148510682682639E-5</c:v>
                  </c:pt>
                  <c:pt idx="8">
                    <c:v>6.9168758541260307E-5</c:v>
                  </c:pt>
                  <c:pt idx="10">
                    <c:v>6.6190284366281202E-5</c:v>
                  </c:pt>
                  <c:pt idx="12">
                    <c:v>6.321326026063812E-5</c:v>
                  </c:pt>
                  <c:pt idx="14">
                    <c:v>6.0237892650798886E-5</c:v>
                  </c:pt>
                  <c:pt idx="16">
                    <c:v>5.726443115214863E-5</c:v>
                  </c:pt>
                  <c:pt idx="18">
                    <c:v>5.429318032026831E-5</c:v>
                  </c:pt>
                  <c:pt idx="20">
                    <c:v>5.1324515441835107E-5</c:v>
                  </c:pt>
                  <c:pt idx="22">
                    <c:v>3.6541647126110369E-5</c:v>
                  </c:pt>
                </c:numCache>
              </c:numRef>
            </c:plus>
            <c:minus>
              <c:numRef>
                <c:f>'d1 == d2'!$H$2:$H$25</c:f>
                <c:numCache>
                  <c:formatCode>General</c:formatCode>
                  <c:ptCount val="24"/>
                  <c:pt idx="0">
                    <c:v>8.109409690069414E-5</c:v>
                  </c:pt>
                  <c:pt idx="2">
                    <c:v>7.8111292978219035E-5</c:v>
                  </c:pt>
                  <c:pt idx="4">
                    <c:v>7.5129396239149759E-5</c:v>
                  </c:pt>
                  <c:pt idx="6">
                    <c:v>7.2148510682682639E-5</c:v>
                  </c:pt>
                  <c:pt idx="8">
                    <c:v>6.9168758541260307E-5</c:v>
                  </c:pt>
                  <c:pt idx="10">
                    <c:v>6.6190284366281202E-5</c:v>
                  </c:pt>
                  <c:pt idx="12">
                    <c:v>6.321326026063812E-5</c:v>
                  </c:pt>
                  <c:pt idx="14">
                    <c:v>6.0237892650798886E-5</c:v>
                  </c:pt>
                  <c:pt idx="16">
                    <c:v>5.726443115214863E-5</c:v>
                  </c:pt>
                  <c:pt idx="18">
                    <c:v>5.429318032026831E-5</c:v>
                  </c:pt>
                  <c:pt idx="20">
                    <c:v>5.1324515441835107E-5</c:v>
                  </c:pt>
                  <c:pt idx="22">
                    <c:v>3.6541647126110369E-5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'd1 == d2'!$Z$5:$Z$15</c:f>
              <c:numCache>
                <c:formatCode>General</c:formatCode>
                <c:ptCount val="11"/>
                <c:pt idx="0">
                  <c:v>56.991175562499997</c:v>
                </c:pt>
                <c:pt idx="1">
                  <c:v>53.282700250000005</c:v>
                </c:pt>
                <c:pt idx="2">
                  <c:v>49.596806250000007</c:v>
                </c:pt>
                <c:pt idx="3">
                  <c:v>46.345460062500003</c:v>
                </c:pt>
                <c:pt idx="4">
                  <c:v>42.922152249999996</c:v>
                </c:pt>
                <c:pt idx="5">
                  <c:v>39.614436000000005</c:v>
                </c:pt>
                <c:pt idx="6">
                  <c:v>36.844900000000003</c:v>
                </c:pt>
                <c:pt idx="7">
                  <c:v>33.683514062500002</c:v>
                </c:pt>
                <c:pt idx="8">
                  <c:v>31.222950062499997</c:v>
                </c:pt>
                <c:pt idx="9">
                  <c:v>28.472896000000002</c:v>
                </c:pt>
                <c:pt idx="10">
                  <c:v>17.878098062499994</c:v>
                </c:pt>
              </c:numCache>
            </c:numRef>
          </c:xVal>
          <c:yVal>
            <c:numRef>
              <c:f>'d1 == d2'!$Y$5:$Y$15</c:f>
              <c:numCache>
                <c:formatCode>General</c:formatCode>
                <c:ptCount val="11"/>
                <c:pt idx="0">
                  <c:v>3.2725075218333337E-2</c:v>
                </c:pt>
                <c:pt idx="1">
                  <c:v>3.0566500218333334E-2</c:v>
                </c:pt>
                <c:pt idx="2">
                  <c:v>2.849257521833333E-2</c:v>
                </c:pt>
                <c:pt idx="3">
                  <c:v>2.6503300218333331E-2</c:v>
                </c:pt>
                <c:pt idx="4">
                  <c:v>2.4598675218333331E-2</c:v>
                </c:pt>
                <c:pt idx="5">
                  <c:v>2.277870021833333E-2</c:v>
                </c:pt>
                <c:pt idx="6">
                  <c:v>2.1043375218333334E-2</c:v>
                </c:pt>
                <c:pt idx="7">
                  <c:v>1.9392700218333333E-2</c:v>
                </c:pt>
                <c:pt idx="8">
                  <c:v>1.7826675218333331E-2</c:v>
                </c:pt>
                <c:pt idx="9">
                  <c:v>1.6345300218333334E-2</c:v>
                </c:pt>
                <c:pt idx="10">
                  <c:v>1.0208175218333332E-2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8-448D-AE86-088D199EE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93199"/>
        <c:axId val="149296111"/>
      </c:scatterChart>
      <c:valAx>
        <c:axId val="149293199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6111"/>
        <c:crosses val="autoZero"/>
        <c:crossBetween val="midCat"/>
      </c:valAx>
      <c:valAx>
        <c:axId val="149296111"/>
        <c:scaling>
          <c:orientation val="minMax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I' (kg 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== d2'!$Z$4:$Z$15</c:f>
              <c:numCache>
                <c:formatCode>General</c:formatCode>
                <c:ptCount val="12"/>
                <c:pt idx="0">
                  <c:v>61.011721000000001</c:v>
                </c:pt>
                <c:pt idx="1">
                  <c:v>56.991175562499997</c:v>
                </c:pt>
                <c:pt idx="2">
                  <c:v>53.282700250000005</c:v>
                </c:pt>
                <c:pt idx="3">
                  <c:v>49.596806250000007</c:v>
                </c:pt>
                <c:pt idx="4">
                  <c:v>46.345460062500003</c:v>
                </c:pt>
                <c:pt idx="5">
                  <c:v>42.922152249999996</c:v>
                </c:pt>
                <c:pt idx="6">
                  <c:v>39.614436000000005</c:v>
                </c:pt>
                <c:pt idx="7">
                  <c:v>36.844900000000003</c:v>
                </c:pt>
                <c:pt idx="8">
                  <c:v>33.683514062500002</c:v>
                </c:pt>
                <c:pt idx="9">
                  <c:v>31.222950062499997</c:v>
                </c:pt>
                <c:pt idx="10">
                  <c:v>28.472896000000002</c:v>
                </c:pt>
                <c:pt idx="11">
                  <c:v>17.878098062499994</c:v>
                </c:pt>
              </c:numCache>
            </c:numRef>
          </c:xVal>
          <c:yVal>
            <c:numRef>
              <c:f>'d1 == d2'!$AB$4:$AB$15</c:f>
              <c:numCache>
                <c:formatCode>General</c:formatCode>
                <c:ptCount val="12"/>
                <c:pt idx="0">
                  <c:v>-3.4057557465869137E-5</c:v>
                </c:pt>
                <c:pt idx="1">
                  <c:v>3.2325465109110663E-5</c:v>
                </c:pt>
                <c:pt idx="2">
                  <c:v>4.0893622606022473E-6</c:v>
                </c:pt>
                <c:pt idx="3">
                  <c:v>4.7531392454985139E-5</c:v>
                </c:pt>
                <c:pt idx="4">
                  <c:v>-7.4003183875553241E-5</c:v>
                </c:pt>
                <c:pt idx="5">
                  <c:v>-1.210416110268217E-5</c:v>
                </c:pt>
                <c:pt idx="6">
                  <c:v>6.804312483071201E-5</c:v>
                </c:pt>
                <c:pt idx="7">
                  <c:v>-7.6317996301238783E-5</c:v>
                </c:pt>
                <c:pt idx="8">
                  <c:v>8.9069634306875034E-5</c:v>
                </c:pt>
                <c:pt idx="9">
                  <c:v>-6.3480889953119318E-5</c:v>
                </c:pt>
                <c:pt idx="10">
                  <c:v>3.4916562317518357E-5</c:v>
                </c:pt>
                <c:pt idx="11">
                  <c:v>-1.6011752581389371E-5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2-449B-B11F-2140EEAC2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49551"/>
        <c:axId val="256946223"/>
      </c:scatterChart>
      <c:valAx>
        <c:axId val="256949551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6223"/>
        <c:crossesAt val="-1000"/>
        <c:crossBetween val="midCat"/>
      </c:valAx>
      <c:valAx>
        <c:axId val="2569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</a:t>
            </a:r>
            <a:r>
              <a:rPr lang="en-US" baseline="-25000"/>
              <a:t>ZZ'</a:t>
            </a:r>
            <a:r>
              <a:rPr lang="en-US"/>
              <a:t>(E) VS 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en-US" sz="1400" b="0" i="0" u="none" strike="noStrike" baseline="-25000">
                <a:effectLst/>
              </a:rPr>
              <a:t>ZZ'</a:t>
            </a:r>
            <a:r>
              <a:rPr lang="en-US" sz="1400" b="0" i="0" u="none" strike="noStrike" baseline="0">
                <a:effectLst/>
              </a:rPr>
              <a:t>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5336832895889"/>
          <c:y val="0.17171296296296296"/>
          <c:w val="0.7804212598425196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Izz' Calculado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'd1 != d2'!$U$2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'd1 != d2'!$U$2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'd1 != d2'!$A$2:$A$8</c:f>
              <c:numCache>
                <c:formatCode>0.0000</c:formatCode>
                <c:ptCount val="7"/>
                <c:pt idx="0">
                  <c:v>3.0500000000000027E-2</c:v>
                </c:pt>
                <c:pt idx="1">
                  <c:v>4.550000000000004E-2</c:v>
                </c:pt>
                <c:pt idx="2">
                  <c:v>5.5500000000000049E-2</c:v>
                </c:pt>
                <c:pt idx="3">
                  <c:v>6.5500000000000003E-2</c:v>
                </c:pt>
                <c:pt idx="4">
                  <c:v>7.5500000000000012E-2</c:v>
                </c:pt>
                <c:pt idx="5">
                  <c:v>8.550000000000002E-2</c:v>
                </c:pt>
                <c:pt idx="6">
                  <c:v>9.5499999999999974E-2</c:v>
                </c:pt>
              </c:numCache>
            </c:numRef>
          </c:xVal>
          <c:yVal>
            <c:numRef>
              <c:f>'d1 != d2'!$I$2:$I$8</c:f>
              <c:numCache>
                <c:formatCode>0.0000</c:formatCode>
                <c:ptCount val="7"/>
                <c:pt idx="0">
                  <c:v>3.3171582742893821E-2</c:v>
                </c:pt>
                <c:pt idx="1">
                  <c:v>3.2801573558932005E-2</c:v>
                </c:pt>
                <c:pt idx="2">
                  <c:v>3.2606526479090368E-2</c:v>
                </c:pt>
                <c:pt idx="3">
                  <c:v>3.2619511522526859E-2</c:v>
                </c:pt>
                <c:pt idx="4">
                  <c:v>3.2641159006101823E-2</c:v>
                </c:pt>
                <c:pt idx="5">
                  <c:v>3.2615182887488985E-2</c:v>
                </c:pt>
                <c:pt idx="6">
                  <c:v>3.2884101403651396E-2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B-449C-B67E-49D854047704}"/>
            </c:ext>
          </c:extLst>
        </c:ser>
        <c:ser>
          <c:idx val="1"/>
          <c:order val="1"/>
          <c:tx>
            <c:v>Izz' Steiner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'd1 != d2'!$A$2:$A$8</c:f>
              <c:numCache>
                <c:formatCode>0.0000</c:formatCode>
                <c:ptCount val="7"/>
                <c:pt idx="0">
                  <c:v>3.0500000000000027E-2</c:v>
                </c:pt>
                <c:pt idx="1">
                  <c:v>4.550000000000004E-2</c:v>
                </c:pt>
                <c:pt idx="2">
                  <c:v>5.5500000000000049E-2</c:v>
                </c:pt>
                <c:pt idx="3">
                  <c:v>6.5500000000000003E-2</c:v>
                </c:pt>
                <c:pt idx="4">
                  <c:v>7.5500000000000012E-2</c:v>
                </c:pt>
                <c:pt idx="5">
                  <c:v>8.550000000000002E-2</c:v>
                </c:pt>
                <c:pt idx="6">
                  <c:v>9.5499999999999974E-2</c:v>
                </c:pt>
              </c:numCache>
            </c:numRef>
          </c:xVal>
          <c:yVal>
            <c:numRef>
              <c:f>'d1 != d2'!$K$2:$K$8</c:f>
              <c:numCache>
                <c:formatCode>0.0000</c:formatCode>
                <c:ptCount val="7"/>
                <c:pt idx="0">
                  <c:v>3.4465099498333332E-2</c:v>
                </c:pt>
                <c:pt idx="1">
                  <c:v>3.5098335298333332E-2</c:v>
                </c:pt>
                <c:pt idx="2">
                  <c:v>3.5659359998333334E-2</c:v>
                </c:pt>
                <c:pt idx="3">
                  <c:v>3.6331478698333336E-2</c:v>
                </c:pt>
                <c:pt idx="4">
                  <c:v>3.711469139833333E-2</c:v>
                </c:pt>
                <c:pt idx="5">
                  <c:v>3.8008998098333337E-2</c:v>
                </c:pt>
                <c:pt idx="6">
                  <c:v>3.9014398798333329E-2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5B-449C-B67E-49D854047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36511"/>
        <c:axId val="193737343"/>
      </c:scatterChart>
      <c:valAx>
        <c:axId val="19373651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7343"/>
        <c:crosses val="autoZero"/>
        <c:crossBetween val="midCat"/>
      </c:valAx>
      <c:valAx>
        <c:axId val="1937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 </a:t>
                </a:r>
                <a:r>
                  <a:rPr lang="en-US" baseline="0"/>
                  <a:t>(kg 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31690030091112"/>
          <c:y val="0.24152704870224556"/>
          <c:w val="0.20629615048118985"/>
          <c:h val="0.156251093613298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!= d2'!$A$2:$A$8</c:f>
              <c:numCache>
                <c:formatCode>0.0000</c:formatCode>
                <c:ptCount val="7"/>
                <c:pt idx="0">
                  <c:v>3.0500000000000027E-2</c:v>
                </c:pt>
                <c:pt idx="1">
                  <c:v>4.550000000000004E-2</c:v>
                </c:pt>
                <c:pt idx="2">
                  <c:v>5.5500000000000049E-2</c:v>
                </c:pt>
                <c:pt idx="3">
                  <c:v>6.5500000000000003E-2</c:v>
                </c:pt>
                <c:pt idx="4">
                  <c:v>7.5500000000000012E-2</c:v>
                </c:pt>
                <c:pt idx="5">
                  <c:v>8.550000000000002E-2</c:v>
                </c:pt>
                <c:pt idx="6">
                  <c:v>9.5499999999999974E-2</c:v>
                </c:pt>
              </c:numCache>
            </c:numRef>
          </c:xVal>
          <c:yVal>
            <c:numRef>
              <c:f>'d1 != d2'!$F$2:$F$8</c:f>
              <c:numCache>
                <c:formatCode>0.0000</c:formatCode>
                <c:ptCount val="7"/>
                <c:pt idx="0">
                  <c:v>7.5990000000000002</c:v>
                </c:pt>
                <c:pt idx="1">
                  <c:v>7.5564999999999998</c:v>
                </c:pt>
                <c:pt idx="2">
                  <c:v>7.5339999999999998</c:v>
                </c:pt>
                <c:pt idx="3">
                  <c:v>7.5355000000000008</c:v>
                </c:pt>
                <c:pt idx="4">
                  <c:v>7.5380000000000003</c:v>
                </c:pt>
                <c:pt idx="5">
                  <c:v>7.5350000000000001</c:v>
                </c:pt>
                <c:pt idx="6">
                  <c:v>7.5660000000000007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C-4B1E-8F16-437013E8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897840"/>
        <c:axId val="1197898256"/>
      </c:scatterChart>
      <c:valAx>
        <c:axId val="1197897840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898256"/>
        <c:crosses val="autoZero"/>
        <c:crossBetween val="midCat"/>
      </c:valAx>
      <c:valAx>
        <c:axId val="11978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89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534669</xdr:colOff>
      <xdr:row>10</xdr:row>
      <xdr:rowOff>21166</xdr:rowOff>
    </xdr:from>
    <xdr:to>
      <xdr:col>20</xdr:col>
      <xdr:colOff>314113</xdr:colOff>
      <xdr:row>26</xdr:row>
      <xdr:rowOff>74506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A4F50-CB96-A566-B83C-8EE9F06B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727287</xdr:colOff>
      <xdr:row>15</xdr:row>
      <xdr:rowOff>164676</xdr:rowOff>
    </xdr:from>
    <xdr:to>
      <xdr:col>28</xdr:col>
      <xdr:colOff>284903</xdr:colOff>
      <xdr:row>30</xdr:row>
      <xdr:rowOff>164676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8CE9A-242E-DFFF-82E3-DEA46A7B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9</xdr:row>
      <xdr:rowOff>76200</xdr:rowOff>
    </xdr:from>
    <xdr:to>
      <xdr:col>12</xdr:col>
      <xdr:colOff>320040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6387F-BE3C-EAA0-E077-E120C607D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60960</xdr:colOff>
      <xdr:row>0</xdr:row>
      <xdr:rowOff>22860</xdr:rowOff>
    </xdr:from>
    <xdr:ext cx="175753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0AABEF-681A-D8E7-0FA9-289D4D68D26A}"/>
                </a:ext>
              </a:extLst>
            </xdr:cNvPr>
            <xdr:cNvSpPr txBox="1"/>
          </xdr:nvSpPr>
          <xdr:spPr>
            <a:xfrm>
              <a:off x="1066800" y="22860"/>
              <a:ext cx="17575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0AABEF-681A-D8E7-0FA9-289D4D68D26A}"/>
                </a:ext>
              </a:extLst>
            </xdr:cNvPr>
            <xdr:cNvSpPr txBox="1"/>
          </xdr:nvSpPr>
          <xdr:spPr>
            <a:xfrm>
              <a:off x="1066800" y="22860"/>
              <a:ext cx="17575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(𝑑_1 )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60960</xdr:colOff>
      <xdr:row>0</xdr:row>
      <xdr:rowOff>22860</xdr:rowOff>
    </xdr:from>
    <xdr:ext cx="179023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40EB4F7-AB3D-46C6-9462-371792688D90}"/>
                </a:ext>
              </a:extLst>
            </xdr:cNvPr>
            <xdr:cNvSpPr txBox="1"/>
          </xdr:nvSpPr>
          <xdr:spPr>
            <a:xfrm>
              <a:off x="2110740" y="22860"/>
              <a:ext cx="17902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40EB4F7-AB3D-46C6-9462-371792688D90}"/>
                </a:ext>
              </a:extLst>
            </xdr:cNvPr>
            <xdr:cNvSpPr txBox="1"/>
          </xdr:nvSpPr>
          <xdr:spPr>
            <a:xfrm>
              <a:off x="2110740" y="22860"/>
              <a:ext cx="17902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(𝑑_2 ) ̅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228600</xdr:colOff>
      <xdr:row>9</xdr:row>
      <xdr:rowOff>68580</xdr:rowOff>
    </xdr:from>
    <xdr:to>
      <xdr:col>5</xdr:col>
      <xdr:colOff>53340</xdr:colOff>
      <xdr:row>24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DBB862-C566-2672-2E14-67F299E2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F82D-724E-4007-ACEE-899E5FEDB6AF}">
  <dimension ref="A1:AC25"/>
  <sheetViews>
    <sheetView topLeftCell="C1" zoomScale="82" workbookViewId="0">
      <selection activeCell="G30" sqref="G30"/>
    </sheetView>
  </sheetViews>
  <sheetFormatPr defaultRowHeight="14.4" x14ac:dyDescent="0.3"/>
  <cols>
    <col min="1" max="1" width="15.77734375" style="2" customWidth="1"/>
    <col min="2" max="2" width="13.77734375" style="2" customWidth="1"/>
    <col min="3" max="3" width="11" style="2" customWidth="1"/>
    <col min="4" max="4" width="13.44140625" style="2" customWidth="1"/>
    <col min="5" max="5" width="9.21875" style="2" bestFit="1" customWidth="1"/>
    <col min="6" max="6" width="12.33203125" style="2" customWidth="1"/>
    <col min="7" max="7" width="10.109375" style="2" bestFit="1" customWidth="1"/>
    <col min="8" max="8" width="12.33203125" style="2" bestFit="1" customWidth="1"/>
    <col min="9" max="9" width="9.21875" style="2" bestFit="1" customWidth="1"/>
    <col min="10" max="10" width="12.6640625" style="2" bestFit="1" customWidth="1"/>
    <col min="11" max="11" width="15.88671875" style="2" customWidth="1"/>
    <col min="12" max="14" width="8.88671875" style="2"/>
    <col min="15" max="15" width="9.5546875" style="2" bestFit="1" customWidth="1"/>
    <col min="16" max="16" width="8.88671875" style="2"/>
    <col min="17" max="17" width="9" style="2" bestFit="1" customWidth="1"/>
    <col min="18" max="19" width="8.88671875" style="2"/>
    <col min="20" max="20" width="11.109375" style="2" customWidth="1"/>
    <col min="21" max="21" width="10.88671875" style="2" bestFit="1" customWidth="1"/>
    <col min="22" max="24" width="8.88671875" style="2"/>
    <col min="25" max="27" width="9" style="2" bestFit="1" customWidth="1"/>
    <col min="28" max="28" width="13.21875" style="2" bestFit="1" customWidth="1"/>
    <col min="29" max="29" width="9" style="2" bestFit="1" customWidth="1"/>
    <col min="30" max="16384" width="8.88671875" style="2"/>
  </cols>
  <sheetData>
    <row r="1" spans="1:29" ht="16.2" x14ac:dyDescent="0.3">
      <c r="A1" s="3" t="s">
        <v>50</v>
      </c>
      <c r="B1" s="3" t="s">
        <v>49</v>
      </c>
      <c r="C1" s="3" t="s">
        <v>52</v>
      </c>
      <c r="D1" s="3" t="s">
        <v>51</v>
      </c>
      <c r="E1" s="3" t="s">
        <v>44</v>
      </c>
      <c r="F1" s="7" t="s">
        <v>45</v>
      </c>
      <c r="G1" s="3" t="s">
        <v>35</v>
      </c>
      <c r="H1" s="7" t="s">
        <v>47</v>
      </c>
      <c r="I1" s="7" t="s">
        <v>46</v>
      </c>
      <c r="J1" s="7" t="s">
        <v>43</v>
      </c>
      <c r="K1" s="14" t="s">
        <v>76</v>
      </c>
    </row>
    <row r="2" spans="1:29" x14ac:dyDescent="0.3">
      <c r="A2" s="25">
        <v>0.27</v>
      </c>
      <c r="B2" s="18">
        <v>7.8040000000000003</v>
      </c>
      <c r="C2" s="18">
        <v>7.8120000000000003</v>
      </c>
      <c r="D2" s="25">
        <f>AVERAGE(AVERAGE(B2:B3),AVERAGE(C2:C3))</f>
        <v>7.8109999999999999</v>
      </c>
      <c r="E2" s="25">
        <f>D2^2</f>
        <v>61.011721000000001</v>
      </c>
      <c r="F2" s="23">
        <f>2*D2*0.0005</f>
        <v>7.8110000000000002E-3</v>
      </c>
      <c r="G2" s="42">
        <f>A2^2*$O$3+A2^2*$O$4+($O$5*$O$6^2)/12</f>
        <v>3.4968300218333331E-2</v>
      </c>
      <c r="H2" s="23">
        <f>SQRT((A2^2*Q$3)^2+(A2^2*Q$4)^2+(2*O$3*A2*Q$8)^2+(2*O$4*A2*Q$8)^2+(O$6^2/12*Q$5)^2+(O$5/6*O$6*Q$6)^2)</f>
        <v>8.109409690069414E-5</v>
      </c>
      <c r="I2" s="42">
        <f>($O$8/(4*PI()^2))*E2</f>
        <v>3.5048269565217699E-2</v>
      </c>
      <c r="J2" s="21">
        <f>SQRT((E2*T$5)^2+(T$4*F2)^2)/I2</f>
        <v>2.4158164389171057E-3</v>
      </c>
      <c r="K2" s="44">
        <f>ABS(G2-I2)/G2</f>
        <v>2.2869097549797677E-3</v>
      </c>
    </row>
    <row r="3" spans="1:29" ht="15.6" x14ac:dyDescent="0.3">
      <c r="A3" s="26"/>
      <c r="B3" s="10">
        <v>7.8140000000000001</v>
      </c>
      <c r="C3" s="10">
        <v>7.8140000000000001</v>
      </c>
      <c r="D3" s="26"/>
      <c r="E3" s="26"/>
      <c r="F3" s="24"/>
      <c r="G3" s="43"/>
      <c r="H3" s="24"/>
      <c r="I3" s="43"/>
      <c r="J3" s="22"/>
      <c r="K3" s="44"/>
      <c r="N3" s="3" t="s">
        <v>3</v>
      </c>
      <c r="O3" s="1">
        <v>0.21243999999999999</v>
      </c>
      <c r="P3" s="7" t="s">
        <v>38</v>
      </c>
      <c r="Q3" s="8">
        <v>1.0000000000000001E-5</v>
      </c>
      <c r="S3" s="27" t="s">
        <v>10</v>
      </c>
      <c r="T3" s="27"/>
      <c r="U3" s="27"/>
      <c r="V3" s="27"/>
      <c r="Y3" s="2" t="s">
        <v>0</v>
      </c>
      <c r="Z3" s="2" t="s">
        <v>9</v>
      </c>
      <c r="AA3" s="2" t="s">
        <v>17</v>
      </c>
      <c r="AB3" s="2" t="s">
        <v>18</v>
      </c>
      <c r="AC3" s="2" t="s">
        <v>36</v>
      </c>
    </row>
    <row r="4" spans="1:29" ht="15.6" x14ac:dyDescent="0.3">
      <c r="A4" s="25">
        <v>0.26</v>
      </c>
      <c r="B4" s="10">
        <v>7.548</v>
      </c>
      <c r="C4" s="10">
        <v>7.5540000000000003</v>
      </c>
      <c r="D4" s="25">
        <f t="shared" ref="D4" si="0">AVERAGE(AVERAGE(B4:B5),AVERAGE(C4:C5))</f>
        <v>7.5492499999999998</v>
      </c>
      <c r="E4" s="25">
        <f>D4^2</f>
        <v>56.991175562499997</v>
      </c>
      <c r="F4" s="23">
        <f>2*D4*0.0005</f>
        <v>7.5492499999999995E-3</v>
      </c>
      <c r="G4" s="42">
        <f>A4^2*$O$3+A4^2*$O$4+($O$5*$O$6^2)/12</f>
        <v>3.2725075218333337E-2</v>
      </c>
      <c r="H4" s="23">
        <f>SQRT((A4^2*Q$3)^2+(A4^2*Q$4)^2+(2*O$3*A4*Q$8)^2+(2*O$4*A4*Q$8)^2+(O$6^2/12*Q$5)^2+(O$5/6*O$6*Q$6)^2)</f>
        <v>7.8111292978219035E-5</v>
      </c>
      <c r="I4" s="42">
        <f>($O$8/(4*PI()^2))*E4</f>
        <v>3.2738661542642725E-2</v>
      </c>
      <c r="J4" s="21">
        <f>SQRT((E4*T$5)^2+(T$4*F4)^2)/I4</f>
        <v>2.4160557421944217E-3</v>
      </c>
      <c r="K4" s="44">
        <f t="shared" ref="K4:K25" si="1">ABS(G4-I4)/G4</f>
        <v>4.1516556398246143E-4</v>
      </c>
      <c r="N4" s="3" t="s">
        <v>2</v>
      </c>
      <c r="O4" s="1">
        <v>0.21081</v>
      </c>
      <c r="P4" s="7" t="s">
        <v>39</v>
      </c>
      <c r="Q4" s="8">
        <v>1.0000000000000001E-5</v>
      </c>
      <c r="S4" s="3" t="s">
        <v>11</v>
      </c>
      <c r="T4" s="12">
        <f t="array" ref="T4:U6">LINEST(Y4:Y15,Z4:Z15,1,1)</f>
        <v>5.7445141672397176E-4</v>
      </c>
      <c r="U4" s="12">
        <v>-4.5911789418495025E-5</v>
      </c>
      <c r="V4" s="3" t="s">
        <v>14</v>
      </c>
      <c r="Y4" s="2">
        <f>G2</f>
        <v>3.4968300218333331E-2</v>
      </c>
      <c r="Z4" s="2">
        <f>E2</f>
        <v>61.011721000000001</v>
      </c>
      <c r="AA4" s="2">
        <f>Z4*$T$4+$U$4</f>
        <v>3.50023577757992E-2</v>
      </c>
      <c r="AB4" s="2">
        <f>Y4-AA4</f>
        <v>-3.4057557465869137E-5</v>
      </c>
      <c r="AC4" s="2">
        <f>F2</f>
        <v>7.8110000000000002E-3</v>
      </c>
    </row>
    <row r="5" spans="1:29" ht="15.6" x14ac:dyDescent="0.3">
      <c r="A5" s="26"/>
      <c r="B5" s="10">
        <v>7.5469999999999997</v>
      </c>
      <c r="C5" s="10">
        <v>7.548</v>
      </c>
      <c r="D5" s="26"/>
      <c r="E5" s="26"/>
      <c r="F5" s="24"/>
      <c r="G5" s="43"/>
      <c r="H5" s="24"/>
      <c r="I5" s="43"/>
      <c r="J5" s="22"/>
      <c r="K5" s="44"/>
      <c r="N5" s="3" t="s">
        <v>1</v>
      </c>
      <c r="O5" s="1">
        <v>0.13222</v>
      </c>
      <c r="P5" s="7" t="s">
        <v>40</v>
      </c>
      <c r="Q5" s="8">
        <v>1.0000000000000001E-5</v>
      </c>
      <c r="S5" s="3" t="s">
        <v>12</v>
      </c>
      <c r="T5" s="12">
        <v>1.38581910076239E-6</v>
      </c>
      <c r="U5" s="12">
        <v>5.9909181014831202E-5</v>
      </c>
      <c r="V5" s="3" t="s">
        <v>15</v>
      </c>
      <c r="Y5" s="2">
        <f>G4</f>
        <v>3.2725075218333337E-2</v>
      </c>
      <c r="Z5" s="2">
        <f>E4</f>
        <v>56.991175562499997</v>
      </c>
      <c r="AA5" s="2">
        <f t="shared" ref="AA5:AA15" si="2">Z5*$T$4+$U$4</f>
        <v>3.2692749753224226E-2</v>
      </c>
      <c r="AB5" s="2">
        <f t="shared" ref="AB5:AB15" si="3">Y5-AA5</f>
        <v>3.2325465109110663E-5</v>
      </c>
      <c r="AC5" s="2">
        <f>F4</f>
        <v>7.5492499999999995E-3</v>
      </c>
    </row>
    <row r="6" spans="1:29" ht="15.6" x14ac:dyDescent="0.3">
      <c r="A6" s="25">
        <v>0.25</v>
      </c>
      <c r="B6" s="10">
        <v>7.2939999999999996</v>
      </c>
      <c r="C6" s="10">
        <v>7.306</v>
      </c>
      <c r="D6" s="25">
        <f t="shared" ref="D6" si="4">AVERAGE(AVERAGE(B6:B7),AVERAGE(C6:C7))</f>
        <v>7.2995000000000001</v>
      </c>
      <c r="E6" s="25">
        <f>D6^2</f>
        <v>53.282700250000005</v>
      </c>
      <c r="F6" s="23">
        <f>2*D6*0.0005</f>
        <v>7.2995000000000004E-3</v>
      </c>
      <c r="G6" s="42">
        <f>A6^2*$O$3+A6^2*$O$4+($O$5*$O$6^2)/12</f>
        <v>3.0566500218333334E-2</v>
      </c>
      <c r="H6" s="23">
        <f>SQRT((A6^2*Q$3)^2+(A6^2*Q$4)^2+(2*O$3*A6*Q$8)^2+(2*O$4*A6*Q$8)^2+(O$6^2/12*Q$5)^2+(O$5/6*O$6*Q$6)^2)</f>
        <v>7.5129396239149759E-5</v>
      </c>
      <c r="I6" s="42">
        <f>($O$8/(4*PI()^2))*E6</f>
        <v>3.0608322645491227E-2</v>
      </c>
      <c r="J6" s="21">
        <f>SQRT((E6*T$5)^2+(T$4*F6)^2)/I6</f>
        <v>2.4163084635208704E-3</v>
      </c>
      <c r="K6" s="44">
        <f t="shared" ref="K6:K25" si="5">ABS(G6-I6)/G6</f>
        <v>1.3682438898519466E-3</v>
      </c>
      <c r="N6" s="3" t="s">
        <v>6</v>
      </c>
      <c r="O6" s="1">
        <v>0.61099999999999999</v>
      </c>
      <c r="P6" s="7" t="s">
        <v>41</v>
      </c>
      <c r="Q6" s="8">
        <v>5.0000000000000001E-4</v>
      </c>
      <c r="S6" s="3" t="s">
        <v>13</v>
      </c>
      <c r="T6" s="13">
        <v>0.99994180559905266</v>
      </c>
      <c r="U6" s="12">
        <v>5.8306826438209073E-5</v>
      </c>
      <c r="V6" s="3" t="s">
        <v>16</v>
      </c>
      <c r="Y6" s="2">
        <f>G6</f>
        <v>3.0566500218333334E-2</v>
      </c>
      <c r="Z6" s="2">
        <f>E6</f>
        <v>53.282700250000005</v>
      </c>
      <c r="AA6" s="2">
        <f t="shared" si="2"/>
        <v>3.0562410856072732E-2</v>
      </c>
      <c r="AB6" s="2">
        <f t="shared" si="3"/>
        <v>4.0893622606022473E-6</v>
      </c>
      <c r="AC6" s="2">
        <f>F6</f>
        <v>7.2995000000000004E-3</v>
      </c>
    </row>
    <row r="7" spans="1:29" x14ac:dyDescent="0.3">
      <c r="A7" s="26"/>
      <c r="B7" s="10">
        <v>7.2990000000000004</v>
      </c>
      <c r="C7" s="10">
        <v>7.2990000000000004</v>
      </c>
      <c r="D7" s="26"/>
      <c r="E7" s="26"/>
      <c r="F7" s="24"/>
      <c r="G7" s="43"/>
      <c r="H7" s="24"/>
      <c r="I7" s="43"/>
      <c r="J7" s="22"/>
      <c r="K7" s="44"/>
      <c r="U7" s="15"/>
      <c r="Y7" s="2">
        <f>G8</f>
        <v>2.849257521833333E-2</v>
      </c>
      <c r="Z7" s="2">
        <f>E8</f>
        <v>49.596806250000007</v>
      </c>
      <c r="AA7" s="2">
        <f t="shared" si="2"/>
        <v>2.8445043825878345E-2</v>
      </c>
      <c r="AB7" s="2">
        <f t="shared" si="3"/>
        <v>4.7531392454985139E-5</v>
      </c>
      <c r="AC7" s="2">
        <f>F8</f>
        <v>7.0425000000000001E-3</v>
      </c>
    </row>
    <row r="8" spans="1:29" x14ac:dyDescent="0.3">
      <c r="A8" s="25">
        <v>0.24</v>
      </c>
      <c r="B8" s="10">
        <v>7.0380000000000003</v>
      </c>
      <c r="C8" s="10">
        <v>7.0439999999999996</v>
      </c>
      <c r="D8" s="25">
        <f t="shared" ref="D8" si="6">AVERAGE(AVERAGE(B8:B9),AVERAGE(C8:C9))</f>
        <v>7.0425000000000004</v>
      </c>
      <c r="E8" s="25">
        <f>D8^2</f>
        <v>49.596806250000007</v>
      </c>
      <c r="F8" s="23">
        <f>2*D8*0.0005</f>
        <v>7.0425000000000001E-3</v>
      </c>
      <c r="G8" s="42">
        <f>A8^2*$O$3+A8^2*$O$4+($O$5*$O$6^2)/12</f>
        <v>2.849257521833333E-2</v>
      </c>
      <c r="H8" s="23">
        <f>SQRT((A8^2*Q$3)^2+(A8^2*Q$4)^2+(2*O$3*A8*Q$8)^2+(2*O$4*A8*Q$8)^2+(O$6^2/12*Q$5)^2+(O$5/6*O$6*Q$6)^2)</f>
        <v>7.2148510682682639E-5</v>
      </c>
      <c r="I8" s="42">
        <f>($O$8/(4*PI()^2))*E8</f>
        <v>2.849095561529684E-2</v>
      </c>
      <c r="J8" s="21">
        <f>SQRT((E8*T$5)^2+(T$4*F8)^2)/I8</f>
        <v>2.4165970623725879E-3</v>
      </c>
      <c r="K8" s="44">
        <f t="shared" ref="K8:K25" si="7">ABS(G8-I8)/G8</f>
        <v>5.6842985377046318E-5</v>
      </c>
      <c r="N8" s="7" t="s">
        <v>8</v>
      </c>
      <c r="O8" s="8">
        <f>T4*4*PI()*PI()</f>
        <v>2.2678432922843713E-2</v>
      </c>
      <c r="P8" s="7" t="s">
        <v>42</v>
      </c>
      <c r="Q8" s="8">
        <v>5.0000000000000001E-4</v>
      </c>
      <c r="Y8" s="2">
        <f>G10</f>
        <v>2.6503300218333331E-2</v>
      </c>
      <c r="Z8" s="2">
        <f>E10</f>
        <v>46.345460062500003</v>
      </c>
      <c r="AA8" s="2">
        <f t="shared" si="2"/>
        <v>2.6577303402208884E-2</v>
      </c>
      <c r="AB8" s="2">
        <f t="shared" si="3"/>
        <v>-7.4003183875553241E-5</v>
      </c>
      <c r="AC8" s="2">
        <f>F10</f>
        <v>6.8077500000000004E-3</v>
      </c>
    </row>
    <row r="9" spans="1:29" x14ac:dyDescent="0.3">
      <c r="A9" s="26"/>
      <c r="B9" s="10">
        <v>7.0419999999999998</v>
      </c>
      <c r="C9" s="10">
        <v>7.0460000000000003</v>
      </c>
      <c r="D9" s="26"/>
      <c r="E9" s="26"/>
      <c r="F9" s="24"/>
      <c r="G9" s="43"/>
      <c r="H9" s="24"/>
      <c r="I9" s="43"/>
      <c r="J9" s="22"/>
      <c r="K9" s="44"/>
      <c r="N9" s="7" t="s">
        <v>37</v>
      </c>
      <c r="O9" s="12">
        <f>T5*4*PI()^2</f>
        <v>5.470994518399272E-5</v>
      </c>
      <c r="Y9" s="2">
        <f>G12</f>
        <v>2.4598675218333331E-2</v>
      </c>
      <c r="Z9" s="2">
        <f>E12</f>
        <v>42.922152249999996</v>
      </c>
      <c r="AA9" s="2">
        <f t="shared" si="2"/>
        <v>2.4610779379436013E-2</v>
      </c>
      <c r="AB9" s="2">
        <f t="shared" si="3"/>
        <v>-1.210416110268217E-5</v>
      </c>
      <c r="AC9" s="2">
        <f>F12</f>
        <v>6.5515E-3</v>
      </c>
    </row>
    <row r="10" spans="1:29" x14ac:dyDescent="0.3">
      <c r="A10" s="25">
        <v>0.23</v>
      </c>
      <c r="B10" s="10">
        <v>6.8120000000000003</v>
      </c>
      <c r="C10" s="10">
        <v>6.8079999999999998</v>
      </c>
      <c r="D10" s="25">
        <f t="shared" ref="D10" si="8">AVERAGE(AVERAGE(B10:B11),AVERAGE(C10:C11))</f>
        <v>6.8077500000000004</v>
      </c>
      <c r="E10" s="25">
        <f>D10^2</f>
        <v>46.345460062500003</v>
      </c>
      <c r="F10" s="23">
        <f>2*D10*0.0005</f>
        <v>6.8077500000000004E-3</v>
      </c>
      <c r="G10" s="42">
        <f>A10^2*$O$3+A10^2*$O$4+($O$5*$O$6^2)/12</f>
        <v>2.6503300218333331E-2</v>
      </c>
      <c r="H10" s="23">
        <f>SQRT((A10^2*Q$3)^2+(A10^2*Q$4)^2+(2*O$3*A10*Q$8)^2+(2*O$4*A10*Q$8)^2+(O$6^2/12*Q$5)^2+(O$5/6*O$6*Q$6)^2)</f>
        <v>6.9168758541260307E-5</v>
      </c>
      <c r="I10" s="42">
        <f>($O$8/(4*PI()^2))*E10</f>
        <v>2.6623215191627379E-2</v>
      </c>
      <c r="J10" s="21">
        <f>SQRT((E10*T$5)^2+(T$4*F10)^2)/I10</f>
        <v>2.4168897078186411E-3</v>
      </c>
      <c r="K10" s="44">
        <f t="shared" ref="K10:K25" si="9">ABS(G10-I10)/G10</f>
        <v>4.5245298625526858E-3</v>
      </c>
      <c r="Y10" s="2">
        <f>G14</f>
        <v>2.277870021833333E-2</v>
      </c>
      <c r="Z10" s="2">
        <f>E14</f>
        <v>39.614436000000005</v>
      </c>
      <c r="AA10" s="2">
        <f t="shared" si="2"/>
        <v>2.2710657093502618E-2</v>
      </c>
      <c r="AB10" s="2">
        <f t="shared" si="3"/>
        <v>6.804312483071201E-5</v>
      </c>
      <c r="AC10" s="2">
        <f>F14</f>
        <v>6.294000000000001E-3</v>
      </c>
    </row>
    <row r="11" spans="1:29" x14ac:dyDescent="0.3">
      <c r="A11" s="26"/>
      <c r="B11" s="10">
        <v>6.81</v>
      </c>
      <c r="C11" s="10">
        <v>6.8010000000000002</v>
      </c>
      <c r="D11" s="26"/>
      <c r="E11" s="26"/>
      <c r="F11" s="24"/>
      <c r="G11" s="43"/>
      <c r="H11" s="24"/>
      <c r="I11" s="43"/>
      <c r="J11" s="22"/>
      <c r="K11" s="44"/>
      <c r="Y11" s="2">
        <f>G16</f>
        <v>2.1043375218333334E-2</v>
      </c>
      <c r="Z11" s="2">
        <f>E16</f>
        <v>36.844900000000003</v>
      </c>
      <c r="AA11" s="2">
        <f t="shared" si="2"/>
        <v>2.1119693214634572E-2</v>
      </c>
      <c r="AB11" s="2">
        <f t="shared" si="3"/>
        <v>-7.6317996301238783E-5</v>
      </c>
      <c r="AC11" s="2">
        <f>F16</f>
        <v>6.0700000000000007E-3</v>
      </c>
    </row>
    <row r="12" spans="1:29" x14ac:dyDescent="0.3">
      <c r="A12" s="25">
        <v>0.22</v>
      </c>
      <c r="B12" s="10">
        <v>6.5549999999999997</v>
      </c>
      <c r="C12" s="10">
        <v>6.5469999999999997</v>
      </c>
      <c r="D12" s="25">
        <f t="shared" ref="D12" si="10">AVERAGE(AVERAGE(B12:B13),AVERAGE(C12:C13))</f>
        <v>6.5514999999999999</v>
      </c>
      <c r="E12" s="25">
        <f>D12^2</f>
        <v>42.922152249999996</v>
      </c>
      <c r="F12" s="23">
        <f>2*D12*0.0005</f>
        <v>6.5515E-3</v>
      </c>
      <c r="G12" s="42">
        <f>A12^2*$O$3+A12^2*$O$4+($O$5*$O$6^2)/12</f>
        <v>2.4598675218333331E-2</v>
      </c>
      <c r="H12" s="23">
        <f>SQRT((A12^2*Q$3)^2+(A12^2*Q$4)^2+(2*O$3*A12*Q$8)^2+(2*O$4*A12*Q$8)^2+(O$6^2/12*Q$5)^2+(O$5/6*O$6*Q$6)^2)</f>
        <v>6.6190284366281202E-5</v>
      </c>
      <c r="I12" s="42">
        <f>($O$8/(4*PI()^2))*E12</f>
        <v>2.4656691168854508E-2</v>
      </c>
      <c r="J12" s="21">
        <f>SQRT((E12*T$5)^2+(T$4*F12)^2)/I12</f>
        <v>2.4172456983541459E-3</v>
      </c>
      <c r="K12" s="44">
        <f t="shared" ref="K12:K25" si="11">ABS(G12-I12)/G12</f>
        <v>2.3584989844468557E-3</v>
      </c>
      <c r="Y12" s="2">
        <f>G18</f>
        <v>1.9392700218333333E-2</v>
      </c>
      <c r="Z12" s="2">
        <f>E18</f>
        <v>33.683514062500002</v>
      </c>
      <c r="AA12" s="2">
        <f t="shared" si="2"/>
        <v>1.9303630584026458E-2</v>
      </c>
      <c r="AB12" s="2">
        <f t="shared" si="3"/>
        <v>8.9069634306875034E-5</v>
      </c>
      <c r="AC12" s="2">
        <f>F18</f>
        <v>5.8037499999999999E-3</v>
      </c>
    </row>
    <row r="13" spans="1:29" x14ac:dyDescent="0.3">
      <c r="A13" s="26"/>
      <c r="B13" s="10">
        <v>6.5549999999999997</v>
      </c>
      <c r="C13" s="10">
        <v>6.5490000000000004</v>
      </c>
      <c r="D13" s="26"/>
      <c r="E13" s="26"/>
      <c r="F13" s="24"/>
      <c r="G13" s="43"/>
      <c r="H13" s="24"/>
      <c r="I13" s="43"/>
      <c r="J13" s="22"/>
      <c r="K13" s="44"/>
      <c r="Y13" s="2">
        <f>G20</f>
        <v>1.7826675218333331E-2</v>
      </c>
      <c r="Z13" s="2">
        <f>E20</f>
        <v>31.222950062499997</v>
      </c>
      <c r="AA13" s="2">
        <f t="shared" si="2"/>
        <v>1.789015610828645E-2</v>
      </c>
      <c r="AB13" s="2">
        <f t="shared" si="3"/>
        <v>-6.3480889953119318E-5</v>
      </c>
      <c r="AC13" s="2">
        <f>F20</f>
        <v>5.5877499999999998E-3</v>
      </c>
    </row>
    <row r="14" spans="1:29" x14ac:dyDescent="0.3">
      <c r="A14" s="25">
        <v>0.21</v>
      </c>
      <c r="B14" s="10">
        <v>6.2960000000000003</v>
      </c>
      <c r="C14" s="10">
        <v>6.2919999999999998</v>
      </c>
      <c r="D14" s="25">
        <f t="shared" ref="D14" si="12">AVERAGE(AVERAGE(B14:B15),AVERAGE(C14:C15))</f>
        <v>6.2940000000000005</v>
      </c>
      <c r="E14" s="25">
        <f>D14^2</f>
        <v>39.614436000000005</v>
      </c>
      <c r="F14" s="23">
        <f>2*D14*0.0005</f>
        <v>6.294000000000001E-3</v>
      </c>
      <c r="G14" s="42">
        <f>A14^2*$O$3+A14^2*$O$4+($O$5*$O$6^2)/12</f>
        <v>2.277870021833333E-2</v>
      </c>
      <c r="H14" s="23">
        <f>SQRT((A14^2*Q$3)^2+(A14^2*Q$4)^2+(2*O$3*A14*Q$8)^2+(2*O$4*A14*Q$8)^2+(O$6^2/12*Q$5)^2+(O$5/6*O$6*Q$6)^2)</f>
        <v>6.321326026063812E-5</v>
      </c>
      <c r="I14" s="42">
        <f>($O$8/(4*PI()^2))*E14</f>
        <v>2.2756568882921113E-2</v>
      </c>
      <c r="J14" s="21">
        <f>SQRT((E14*T$5)^2+(T$4*F14)^2)/I14</f>
        <v>2.4176480505209231E-3</v>
      </c>
      <c r="K14" s="44">
        <f t="shared" ref="K14:K25" si="13">ABS(G14-I14)/G14</f>
        <v>9.7158025699836388E-4</v>
      </c>
      <c r="Y14" s="2">
        <f>G22</f>
        <v>1.6345300218333334E-2</v>
      </c>
      <c r="Z14" s="2">
        <f>E22</f>
        <v>28.472896000000002</v>
      </c>
      <c r="AA14" s="2">
        <f t="shared" si="2"/>
        <v>1.6310383656015816E-2</v>
      </c>
      <c r="AB14" s="2">
        <f t="shared" si="3"/>
        <v>3.4916562317518357E-5</v>
      </c>
      <c r="AC14" s="2">
        <f>F22</f>
        <v>5.3360000000000005E-3</v>
      </c>
    </row>
    <row r="15" spans="1:29" x14ac:dyDescent="0.3">
      <c r="A15" s="26"/>
      <c r="B15" s="10">
        <v>6.298</v>
      </c>
      <c r="C15" s="10">
        <v>6.29</v>
      </c>
      <c r="D15" s="26"/>
      <c r="E15" s="26"/>
      <c r="F15" s="24"/>
      <c r="G15" s="43"/>
      <c r="H15" s="24"/>
      <c r="I15" s="43"/>
      <c r="J15" s="22"/>
      <c r="K15" s="44"/>
      <c r="Y15" s="2">
        <f>G24</f>
        <v>1.0208175218333332E-2</v>
      </c>
      <c r="Z15" s="2">
        <f>E24</f>
        <v>17.878098062499994</v>
      </c>
      <c r="AA15" s="2">
        <f t="shared" si="2"/>
        <v>1.0224186970914722E-2</v>
      </c>
      <c r="AB15" s="2">
        <f t="shared" si="3"/>
        <v>-1.6011752581389371E-5</v>
      </c>
      <c r="AC15" s="2">
        <f>F24</f>
        <v>4.2282499999999994E-3</v>
      </c>
    </row>
    <row r="16" spans="1:29" x14ac:dyDescent="0.3">
      <c r="A16" s="25">
        <v>0.2</v>
      </c>
      <c r="B16" s="10">
        <v>6.0720000000000001</v>
      </c>
      <c r="C16" s="10">
        <v>6.069</v>
      </c>
      <c r="D16" s="25">
        <f t="shared" ref="D16" si="14">AVERAGE(AVERAGE(B16:B17),AVERAGE(C16:C17))</f>
        <v>6.07</v>
      </c>
      <c r="E16" s="25">
        <f>D16^2</f>
        <v>36.844900000000003</v>
      </c>
      <c r="F16" s="23">
        <f>2*D16*0.0005</f>
        <v>6.0700000000000007E-3</v>
      </c>
      <c r="G16" s="42">
        <f>A16^2*$O$3+A16^2*$O$4+($O$5*$O$6^2)/12</f>
        <v>2.1043375218333334E-2</v>
      </c>
      <c r="H16" s="23">
        <f>SQRT((A16^2*Q$3)^2+(A16^2*Q$4)^2+(2*O$3*A16*Q$8)^2+(2*O$4*A16*Q$8)^2+(O$6^2/12*Q$5)^2+(O$5/6*O$6*Q$6)^2)</f>
        <v>6.0237892650798886E-5</v>
      </c>
      <c r="I16" s="42">
        <f>($O$8/(4*PI()^2))*E16</f>
        <v>2.1165605004053067E-2</v>
      </c>
      <c r="J16" s="21">
        <f>SQRT((E16*T$5)^2+(T$4*F16)^2)/I16</f>
        <v>2.4180404404379103E-3</v>
      </c>
      <c r="K16" s="44">
        <f t="shared" ref="K16:K25" si="15">ABS(G16-I16)/G16</f>
        <v>5.8084686725181434E-3</v>
      </c>
      <c r="Y16" s="5"/>
    </row>
    <row r="17" spans="1:25" x14ac:dyDescent="0.3">
      <c r="A17" s="26"/>
      <c r="B17" s="10">
        <v>6.0730000000000004</v>
      </c>
      <c r="C17" s="10">
        <v>6.0659999999999998</v>
      </c>
      <c r="D17" s="26"/>
      <c r="E17" s="26"/>
      <c r="F17" s="24"/>
      <c r="G17" s="43"/>
      <c r="H17" s="24"/>
      <c r="I17" s="43"/>
      <c r="J17" s="22"/>
      <c r="K17" s="44"/>
      <c r="Y17" s="5"/>
    </row>
    <row r="18" spans="1:25" x14ac:dyDescent="0.3">
      <c r="A18" s="25">
        <v>0.19</v>
      </c>
      <c r="B18" s="10">
        <v>5.8070000000000004</v>
      </c>
      <c r="C18" s="10">
        <v>5.8019999999999996</v>
      </c>
      <c r="D18" s="25">
        <f t="shared" ref="D18" si="16">AVERAGE(AVERAGE(B18:B19),AVERAGE(C18:C19))</f>
        <v>5.80375</v>
      </c>
      <c r="E18" s="25">
        <f>D18^2</f>
        <v>33.683514062500002</v>
      </c>
      <c r="F18" s="23">
        <f>2*D18*0.0005</f>
        <v>5.8037499999999999E-3</v>
      </c>
      <c r="G18" s="42">
        <f>A18^2*$O$3+A18^2*$O$4+($O$5*$O$6^2)/12</f>
        <v>1.9392700218333333E-2</v>
      </c>
      <c r="H18" s="23">
        <f>SQRT((A18^2*Q$3)^2+(A18^2*Q$4)^2+(2*O$3*A18*Q$8)^2+(2*O$4*A18*Q$8)^2+(O$6^2/12*Q$5)^2+(O$5/6*O$6*Q$6)^2)</f>
        <v>5.726443115214863E-5</v>
      </c>
      <c r="I18" s="42">
        <f>($O$8/(4*PI()^2))*E18</f>
        <v>1.9349542373444953E-2</v>
      </c>
      <c r="J18" s="21">
        <f>SQRT((E18*T$5)^2+(T$4*F18)^2)/I18</f>
        <v>2.418567114452928E-3</v>
      </c>
      <c r="K18" s="44">
        <f t="shared" ref="K18:K25" si="17">ABS(G18-I18)/G18</f>
        <v>2.2254685733542022E-3</v>
      </c>
      <c r="Y18" s="5"/>
    </row>
    <row r="19" spans="1:25" x14ac:dyDescent="0.3">
      <c r="A19" s="26"/>
      <c r="B19" s="10">
        <v>5.8070000000000004</v>
      </c>
      <c r="C19" s="10">
        <v>5.7990000000000004</v>
      </c>
      <c r="D19" s="26"/>
      <c r="E19" s="26"/>
      <c r="F19" s="24"/>
      <c r="G19" s="43"/>
      <c r="H19" s="24"/>
      <c r="I19" s="43"/>
      <c r="J19" s="22"/>
      <c r="K19" s="44"/>
    </row>
    <row r="20" spans="1:25" x14ac:dyDescent="0.3">
      <c r="A20" s="25">
        <v>0.18</v>
      </c>
      <c r="B20" s="10">
        <v>5.5910000000000002</v>
      </c>
      <c r="C20" s="10">
        <v>5.5839999999999996</v>
      </c>
      <c r="D20" s="25">
        <f t="shared" ref="D20" si="18">AVERAGE(AVERAGE(B20:B21),AVERAGE(C20:C21))</f>
        <v>5.5877499999999998</v>
      </c>
      <c r="E20" s="25">
        <f>D20^2</f>
        <v>31.222950062499997</v>
      </c>
      <c r="F20" s="23">
        <f>2*D20*0.0005</f>
        <v>5.5877499999999998E-3</v>
      </c>
      <c r="G20" s="42">
        <f>A20^2*$O$3+A20^2*$O$4+($O$5*$O$6^2)/12</f>
        <v>1.7826675218333331E-2</v>
      </c>
      <c r="H20" s="23">
        <f>SQRT((A20^2*Q$3)^2+(A20^2*Q$4)^2+(2*O$3*A20*Q$8)^2+(2*O$4*A20*Q$8)^2+(O$6^2/12*Q$5)^2+(O$5/6*O$6*Q$6)^2)</f>
        <v>5.429318032026831E-5</v>
      </c>
      <c r="I20" s="42">
        <f>($O$8/(4*PI()^2))*E20</f>
        <v>1.7936067897704945E-2</v>
      </c>
      <c r="J20" s="21">
        <f>SQRT((E20*T$5)^2+(T$4*F20)^2)/I20</f>
        <v>2.4190507428342237E-3</v>
      </c>
      <c r="K20" s="44">
        <f t="shared" ref="K20:K25" si="19">ABS(G20-I20)/G20</f>
        <v>6.1364599978302511E-3</v>
      </c>
    </row>
    <row r="21" spans="1:25" x14ac:dyDescent="0.3">
      <c r="A21" s="26"/>
      <c r="B21" s="10">
        <v>5.5919999999999996</v>
      </c>
      <c r="C21" s="10">
        <v>5.5839999999999996</v>
      </c>
      <c r="D21" s="26"/>
      <c r="E21" s="26"/>
      <c r="F21" s="24"/>
      <c r="G21" s="43"/>
      <c r="H21" s="24"/>
      <c r="I21" s="43"/>
      <c r="J21" s="22"/>
      <c r="K21" s="44"/>
    </row>
    <row r="22" spans="1:25" x14ac:dyDescent="0.3">
      <c r="A22" s="25">
        <v>0.17</v>
      </c>
      <c r="B22" s="10">
        <v>5.3390000000000004</v>
      </c>
      <c r="C22" s="10">
        <v>5.3310000000000004</v>
      </c>
      <c r="D22" s="25">
        <f t="shared" ref="D22" si="20">AVERAGE(AVERAGE(B22:B23),AVERAGE(C22:C23))</f>
        <v>5.3360000000000003</v>
      </c>
      <c r="E22" s="25">
        <f>D22^2</f>
        <v>28.472896000000002</v>
      </c>
      <c r="F22" s="23">
        <f>2*D22*0.0005</f>
        <v>5.3360000000000005E-3</v>
      </c>
      <c r="G22" s="42">
        <f>A22^2*$O$3+A22^2*$O$4+($O$5*$O$6^2)/12</f>
        <v>1.6345300218333334E-2</v>
      </c>
      <c r="H22" s="23">
        <f>SQRT((A22^2*Q$3)^2+(A22^2*Q$4)^2+(2*O$3*A22*Q$8)^2+(2*O$4*A22*Q$8)^2+(O$6^2/12*Q$5)^2+(O$5/6*O$6*Q$6)^2)</f>
        <v>5.1324515441835107E-5</v>
      </c>
      <c r="I22" s="42">
        <f>($O$8/(4*PI()^2))*E22</f>
        <v>1.6356295445434311E-2</v>
      </c>
      <c r="J22" s="21">
        <f>SQRT((E22*T$5)^2+(T$4*F22)^2)/I22</f>
        <v>2.4196900407641763E-3</v>
      </c>
      <c r="K22" s="44">
        <f t="shared" ref="K22:K25" si="21">ABS(G22-I22)/G22</f>
        <v>6.7268431623202136E-4</v>
      </c>
    </row>
    <row r="23" spans="1:25" x14ac:dyDescent="0.3">
      <c r="A23" s="26"/>
      <c r="B23" s="10">
        <v>5.343</v>
      </c>
      <c r="C23" s="10">
        <v>5.3310000000000004</v>
      </c>
      <c r="D23" s="26"/>
      <c r="E23" s="26"/>
      <c r="F23" s="24"/>
      <c r="G23" s="43"/>
      <c r="H23" s="24"/>
      <c r="I23" s="43"/>
      <c r="J23" s="22"/>
      <c r="K23" s="44"/>
    </row>
    <row r="24" spans="1:25" x14ac:dyDescent="0.3">
      <c r="A24" s="25">
        <v>0.12</v>
      </c>
      <c r="B24" s="10">
        <v>4.2329999999999997</v>
      </c>
      <c r="C24" s="10">
        <v>4.2249999999999996</v>
      </c>
      <c r="D24" s="25">
        <f t="shared" ref="D24" si="22">AVERAGE(AVERAGE(B24:B25),AVERAGE(C24:C25))</f>
        <v>4.2282499999999992</v>
      </c>
      <c r="E24" s="25">
        <f>D24^2</f>
        <v>17.878098062499994</v>
      </c>
      <c r="F24" s="23">
        <f>2*D24*0.0005</f>
        <v>4.2282499999999994E-3</v>
      </c>
      <c r="G24" s="42">
        <f>A24^2*$O$3+A24^2*$O$4+($O$5*$O$6^2)/12</f>
        <v>1.0208175218333332E-2</v>
      </c>
      <c r="H24" s="23">
        <f>SQRT((A24^2*Q$3)^2+(A24^2*Q$4)^2+(2*O$3*A24*Q$8)^2+(2*O$4*A24*Q$8)^2+(O$6^2/12*Q$5)^2+(O$5/6*O$6*Q$6)^2)</f>
        <v>3.6541647126110369E-5</v>
      </c>
      <c r="I24" s="42">
        <f>($O$8/(4*PI()^2))*E24</f>
        <v>1.0270098760333217E-2</v>
      </c>
      <c r="J24" s="21">
        <f>SQRT((E24*T$5)^2+(T$4*F24)^2)/I24</f>
        <v>2.4239870327161278E-3</v>
      </c>
      <c r="K24" s="44">
        <f t="shared" ref="K24:K25" si="23">ABS(G24-I24)/G24</f>
        <v>6.0660735807779882E-3</v>
      </c>
    </row>
    <row r="25" spans="1:25" x14ac:dyDescent="0.3">
      <c r="A25" s="26"/>
      <c r="B25" s="10">
        <v>4.2309999999999999</v>
      </c>
      <c r="C25" s="10">
        <v>4.2240000000000002</v>
      </c>
      <c r="D25" s="26"/>
      <c r="E25" s="26"/>
      <c r="F25" s="24"/>
      <c r="G25" s="43"/>
      <c r="H25" s="24"/>
      <c r="I25" s="43"/>
      <c r="J25" s="22"/>
      <c r="K25" s="44"/>
    </row>
  </sheetData>
  <mergeCells count="109">
    <mergeCell ref="K22:K23"/>
    <mergeCell ref="K24:K25"/>
    <mergeCell ref="K12:K13"/>
    <mergeCell ref="K14:K15"/>
    <mergeCell ref="K16:K17"/>
    <mergeCell ref="K18:K19"/>
    <mergeCell ref="K20:K21"/>
    <mergeCell ref="K10:K11"/>
    <mergeCell ref="K8:K9"/>
    <mergeCell ref="K6:K7"/>
    <mergeCell ref="K4:K5"/>
    <mergeCell ref="K2:K3"/>
    <mergeCell ref="S3:V3"/>
    <mergeCell ref="D12:D13"/>
    <mergeCell ref="D10:D11"/>
    <mergeCell ref="D8:D9"/>
    <mergeCell ref="D6:D7"/>
    <mergeCell ref="D4:D5"/>
    <mergeCell ref="D2:D3"/>
    <mergeCell ref="G6:G7"/>
    <mergeCell ref="E6:E7"/>
    <mergeCell ref="E4:E5"/>
    <mergeCell ref="E2:E3"/>
    <mergeCell ref="G4:G5"/>
    <mergeCell ref="G2:G3"/>
    <mergeCell ref="G12:G13"/>
    <mergeCell ref="E12:E13"/>
    <mergeCell ref="E10:E11"/>
    <mergeCell ref="D24:D25"/>
    <mergeCell ref="D22:D23"/>
    <mergeCell ref="D20:D21"/>
    <mergeCell ref="D18:D19"/>
    <mergeCell ref="D16:D17"/>
    <mergeCell ref="D14:D15"/>
    <mergeCell ref="I14:I15"/>
    <mergeCell ref="I16:I17"/>
    <mergeCell ref="I18:I19"/>
    <mergeCell ref="I20:I21"/>
    <mergeCell ref="I22:I23"/>
    <mergeCell ref="I24:I25"/>
    <mergeCell ref="I2:I3"/>
    <mergeCell ref="I4:I5"/>
    <mergeCell ref="I6:I7"/>
    <mergeCell ref="I8:I9"/>
    <mergeCell ref="I10:I11"/>
    <mergeCell ref="I12:I13"/>
    <mergeCell ref="H14:H15"/>
    <mergeCell ref="G10:G11"/>
    <mergeCell ref="E8:E9"/>
    <mergeCell ref="G8:G9"/>
    <mergeCell ref="E22:E23"/>
    <mergeCell ref="G22:G23"/>
    <mergeCell ref="H12:H13"/>
    <mergeCell ref="H10:H11"/>
    <mergeCell ref="H8:H9"/>
    <mergeCell ref="H24:H25"/>
    <mergeCell ref="H22:H23"/>
    <mergeCell ref="H20:H21"/>
    <mergeCell ref="H18:H19"/>
    <mergeCell ref="H16:H17"/>
    <mergeCell ref="E24:E25"/>
    <mergeCell ref="E14:E15"/>
    <mergeCell ref="G14:G15"/>
    <mergeCell ref="G20:G21"/>
    <mergeCell ref="G18:G19"/>
    <mergeCell ref="G16:G17"/>
    <mergeCell ref="E16:E17"/>
    <mergeCell ref="E18:E19"/>
    <mergeCell ref="E20:E21"/>
    <mergeCell ref="A2:A3"/>
    <mergeCell ref="A24:A25"/>
    <mergeCell ref="A22:A23"/>
    <mergeCell ref="A20:A21"/>
    <mergeCell ref="A18:A19"/>
    <mergeCell ref="A16:A17"/>
    <mergeCell ref="A14:A15"/>
    <mergeCell ref="A12:A13"/>
    <mergeCell ref="A10:A11"/>
    <mergeCell ref="A8:A9"/>
    <mergeCell ref="A6:A7"/>
    <mergeCell ref="A4:A5"/>
    <mergeCell ref="H6:H7"/>
    <mergeCell ref="H4:H5"/>
    <mergeCell ref="H2:H3"/>
    <mergeCell ref="F24:F25"/>
    <mergeCell ref="F22:F23"/>
    <mergeCell ref="F20:F21"/>
    <mergeCell ref="F18:F19"/>
    <mergeCell ref="F16:F17"/>
    <mergeCell ref="F14:F15"/>
    <mergeCell ref="F12:F13"/>
    <mergeCell ref="F10:F11"/>
    <mergeCell ref="F8:F9"/>
    <mergeCell ref="F2:F3"/>
    <mergeCell ref="F4:F5"/>
    <mergeCell ref="F6:F7"/>
    <mergeCell ref="G24:G25"/>
    <mergeCell ref="J16:J17"/>
    <mergeCell ref="J18:J19"/>
    <mergeCell ref="J20:J21"/>
    <mergeCell ref="J22:J23"/>
    <mergeCell ref="J24:J25"/>
    <mergeCell ref="J4:J5"/>
    <mergeCell ref="J2:J3"/>
    <mergeCell ref="J14:J15"/>
    <mergeCell ref="J12:J13"/>
    <mergeCell ref="J10:J11"/>
    <mergeCell ref="J8:J9"/>
    <mergeCell ref="J6:J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A10-24EE-40F7-8525-64347259AD68}">
  <dimension ref="A1:U9"/>
  <sheetViews>
    <sheetView workbookViewId="0">
      <selection activeCell="N24" sqref="N24"/>
    </sheetView>
  </sheetViews>
  <sheetFormatPr defaultRowHeight="14.4" x14ac:dyDescent="0.3"/>
  <cols>
    <col min="1" max="1" width="14.6640625" style="2" customWidth="1"/>
    <col min="2" max="2" width="15.21875" style="2" customWidth="1"/>
    <col min="3" max="3" width="15.109375" style="2" customWidth="1"/>
    <col min="4" max="4" width="12.77734375" style="2" customWidth="1"/>
    <col min="5" max="5" width="11.88671875" style="2" customWidth="1"/>
    <col min="6" max="6" width="12.109375" style="2" customWidth="1"/>
    <col min="7" max="8" width="8.88671875" style="2"/>
    <col min="9" max="9" width="12.88671875" style="2" customWidth="1"/>
    <col min="10" max="10" width="13.5546875" style="2" customWidth="1"/>
    <col min="11" max="11" width="12.5546875" style="2" customWidth="1"/>
    <col min="12" max="16384" width="8.88671875" style="2"/>
  </cols>
  <sheetData>
    <row r="1" spans="1:21" ht="16.2" x14ac:dyDescent="0.3">
      <c r="A1" s="3" t="s">
        <v>48</v>
      </c>
      <c r="B1" s="3" t="s">
        <v>59</v>
      </c>
      <c r="C1" s="7" t="s">
        <v>59</v>
      </c>
      <c r="D1" s="3" t="s">
        <v>60</v>
      </c>
      <c r="E1" s="3" t="s">
        <v>61</v>
      </c>
      <c r="F1" s="3" t="s">
        <v>77</v>
      </c>
      <c r="G1" s="3" t="s">
        <v>44</v>
      </c>
      <c r="H1" s="7" t="s">
        <v>62</v>
      </c>
      <c r="I1" s="3" t="s">
        <v>78</v>
      </c>
      <c r="J1" s="7" t="s">
        <v>79</v>
      </c>
      <c r="K1" s="7" t="s">
        <v>80</v>
      </c>
      <c r="L1" s="4" t="s">
        <v>53</v>
      </c>
    </row>
    <row r="2" spans="1:21" ht="15.6" x14ac:dyDescent="0.3">
      <c r="A2" s="16">
        <f t="shared" ref="A2:A8" si="0">B2-$S$2</f>
        <v>3.0500000000000027E-2</v>
      </c>
      <c r="B2" s="16">
        <f>2*S$2-C2</f>
        <v>0.29600000000000004</v>
      </c>
      <c r="C2" s="16">
        <v>0.23499999999999999</v>
      </c>
      <c r="D2" s="16">
        <v>7.6029999999999998</v>
      </c>
      <c r="E2" s="16">
        <v>7.5949999999999998</v>
      </c>
      <c r="F2" s="16">
        <f>AVERAGE(D2:E2)</f>
        <v>7.5990000000000002</v>
      </c>
      <c r="G2" s="16">
        <f t="shared" ref="G2:G5" si="1">F2^2</f>
        <v>57.744801000000002</v>
      </c>
      <c r="H2" s="16">
        <f>2*F2*0.0007</f>
        <v>1.06386E-2</v>
      </c>
      <c r="I2" s="16">
        <f>'d1 == d2'!O$8*G2/(4*PI()*PI())</f>
        <v>3.3171582742893821E-2</v>
      </c>
      <c r="J2" s="20">
        <f>SQRT((G2*'d1 == d2'!T$5)^2+(H2*'d1 == d2'!T$4)^2)</f>
        <v>8.0256868783396568E-5</v>
      </c>
      <c r="K2" s="16">
        <f t="shared" ref="K2:K8" si="2">O$7+S$4*A2^2</f>
        <v>3.4465099498333332E-2</v>
      </c>
      <c r="L2" s="11">
        <f>ABS(K2-I2)/K2</f>
        <v>3.7531206184449377E-2</v>
      </c>
      <c r="N2" s="3" t="s">
        <v>3</v>
      </c>
      <c r="O2" s="1">
        <v>0.21243999999999999</v>
      </c>
      <c r="P2" s="7" t="s">
        <v>55</v>
      </c>
      <c r="Q2" s="8">
        <v>1.0000000000000001E-5</v>
      </c>
      <c r="R2" s="19" t="s">
        <v>4</v>
      </c>
      <c r="S2" s="1">
        <v>0.26550000000000001</v>
      </c>
      <c r="T2" s="7" t="s">
        <v>56</v>
      </c>
      <c r="U2" s="8">
        <v>5.0000000000000001E-4</v>
      </c>
    </row>
    <row r="3" spans="1:21" ht="15.6" x14ac:dyDescent="0.3">
      <c r="A3" s="16">
        <f t="shared" si="0"/>
        <v>4.550000000000004E-2</v>
      </c>
      <c r="B3" s="16">
        <f t="shared" ref="B3:B8" si="3">2*S$2-C3</f>
        <v>0.31100000000000005</v>
      </c>
      <c r="C3" s="16">
        <v>0.22</v>
      </c>
      <c r="D3" s="16">
        <v>7.5609999999999999</v>
      </c>
      <c r="E3" s="16">
        <v>7.5519999999999996</v>
      </c>
      <c r="F3" s="16">
        <f t="shared" ref="F3:F8" si="4">AVERAGE(D3:E3)</f>
        <v>7.5564999999999998</v>
      </c>
      <c r="G3" s="16">
        <f t="shared" si="1"/>
        <v>57.100692249999994</v>
      </c>
      <c r="H3" s="16">
        <f t="shared" ref="H3:H5" si="5">2*F3*0.0007</f>
        <v>1.0579099999999999E-2</v>
      </c>
      <c r="I3" s="16">
        <f>'d1 == d2'!O$8*G3/(4*PI()*PI())</f>
        <v>3.2801573558932005E-2</v>
      </c>
      <c r="J3" s="20">
        <f>SQRT((G3*'d1 == d2'!T$5)^2+(H3*'d1 == d2'!T$4)^2)</f>
        <v>7.9364246758927671E-5</v>
      </c>
      <c r="K3" s="16">
        <f t="shared" si="2"/>
        <v>3.5098335298333332E-2</v>
      </c>
      <c r="L3" s="11">
        <f t="shared" ref="L3:L8" si="6">ABS(K3-I3)/K3</f>
        <v>6.5437910940191787E-2</v>
      </c>
      <c r="N3" s="3" t="s">
        <v>2</v>
      </c>
      <c r="O3" s="1">
        <v>0.21081</v>
      </c>
      <c r="P3" s="7" t="s">
        <v>54</v>
      </c>
      <c r="Q3" s="8">
        <v>1.0000000000000001E-5</v>
      </c>
      <c r="R3" s="19" t="s">
        <v>5</v>
      </c>
      <c r="S3" s="1">
        <v>0.26550000000000001</v>
      </c>
      <c r="T3" s="7" t="s">
        <v>57</v>
      </c>
      <c r="U3" s="8">
        <v>5.0000000000000001E-4</v>
      </c>
    </row>
    <row r="4" spans="1:21" ht="15.6" x14ac:dyDescent="0.3">
      <c r="A4" s="16">
        <f t="shared" si="0"/>
        <v>5.5500000000000049E-2</v>
      </c>
      <c r="B4" s="16">
        <f t="shared" si="3"/>
        <v>0.32100000000000006</v>
      </c>
      <c r="C4" s="16">
        <v>0.21</v>
      </c>
      <c r="D4" s="16">
        <v>7.5369999999999999</v>
      </c>
      <c r="E4" s="16">
        <v>7.5309999999999997</v>
      </c>
      <c r="F4" s="16">
        <f t="shared" si="4"/>
        <v>7.5339999999999998</v>
      </c>
      <c r="G4" s="16">
        <f t="shared" si="1"/>
        <v>56.761156</v>
      </c>
      <c r="H4" s="16">
        <f t="shared" si="5"/>
        <v>1.0547599999999999E-2</v>
      </c>
      <c r="I4" s="16">
        <f>'d1 == d2'!O$8*G4/(4*PI()*PI())</f>
        <v>3.2606526479090368E-2</v>
      </c>
      <c r="J4" s="20">
        <f>SQRT((G4*'d1 == d2'!T$5)^2+(H4*'d1 == d2'!T$4)^2)</f>
        <v>7.889370889208264E-5</v>
      </c>
      <c r="K4" s="16">
        <f t="shared" si="2"/>
        <v>3.5659359998333334E-2</v>
      </c>
      <c r="L4" s="11">
        <f t="shared" si="6"/>
        <v>8.5611001414092988E-2</v>
      </c>
      <c r="N4" s="3" t="s">
        <v>1</v>
      </c>
      <c r="O4" s="1">
        <v>0.13222</v>
      </c>
      <c r="P4" s="7" t="s">
        <v>40</v>
      </c>
      <c r="Q4" s="8">
        <v>1.0000000000000001E-5</v>
      </c>
      <c r="R4" s="19" t="s">
        <v>21</v>
      </c>
      <c r="S4" s="1">
        <f>O2+O3+O4</f>
        <v>0.55547000000000002</v>
      </c>
      <c r="T4" s="7" t="s">
        <v>58</v>
      </c>
      <c r="U4" s="8">
        <f>SQRT((Q2)^2+(Q3)^2+(Q4)^2)</f>
        <v>1.7320508075688774E-5</v>
      </c>
    </row>
    <row r="5" spans="1:21" ht="15.6" x14ac:dyDescent="0.3">
      <c r="A5" s="16">
        <f t="shared" si="0"/>
        <v>6.5500000000000003E-2</v>
      </c>
      <c r="B5" s="16">
        <f t="shared" si="3"/>
        <v>0.33100000000000002</v>
      </c>
      <c r="C5" s="16">
        <v>0.2</v>
      </c>
      <c r="D5" s="16">
        <v>7.5410000000000004</v>
      </c>
      <c r="E5" s="16">
        <v>7.53</v>
      </c>
      <c r="F5" s="16">
        <f t="shared" si="4"/>
        <v>7.5355000000000008</v>
      </c>
      <c r="G5" s="16">
        <f t="shared" si="1"/>
        <v>56.783760250000014</v>
      </c>
      <c r="H5" s="16">
        <f t="shared" si="5"/>
        <v>1.05497E-2</v>
      </c>
      <c r="I5" s="16">
        <f>'d1 == d2'!O$8*G5/(4*PI()*PI())</f>
        <v>3.2619511522526859E-2</v>
      </c>
      <c r="J5" s="20">
        <f>SQRT((G5*'d1 == d2'!T$5)^2+(H5*'d1 == d2'!T$4)^2)</f>
        <v>7.8925034430472234E-5</v>
      </c>
      <c r="K5" s="16">
        <f t="shared" si="2"/>
        <v>3.6331478698333336E-2</v>
      </c>
      <c r="L5" s="11">
        <f t="shared" si="6"/>
        <v>0.10216944943605499</v>
      </c>
      <c r="N5" s="3" t="s">
        <v>6</v>
      </c>
      <c r="O5" s="1">
        <v>0.61099999999999999</v>
      </c>
      <c r="P5" s="7" t="s">
        <v>41</v>
      </c>
      <c r="Q5" s="8">
        <v>5.0000000000000001E-4</v>
      </c>
    </row>
    <row r="6" spans="1:21" x14ac:dyDescent="0.3">
      <c r="A6" s="16">
        <f t="shared" si="0"/>
        <v>7.5500000000000012E-2</v>
      </c>
      <c r="B6" s="16">
        <f t="shared" si="3"/>
        <v>0.34100000000000003</v>
      </c>
      <c r="C6" s="16">
        <v>0.19</v>
      </c>
      <c r="D6" s="16">
        <v>7.5439999999999996</v>
      </c>
      <c r="E6" s="16">
        <v>7.532</v>
      </c>
      <c r="F6" s="16">
        <f t="shared" si="4"/>
        <v>7.5380000000000003</v>
      </c>
      <c r="G6" s="16">
        <f>F6^2</f>
        <v>56.821444000000007</v>
      </c>
      <c r="H6" s="16">
        <f>2*F6*0.0007</f>
        <v>1.05532E-2</v>
      </c>
      <c r="I6" s="16">
        <f>'d1 == d2'!O$8*G6/(4*PI()*PI())</f>
        <v>3.2641159006101823E-2</v>
      </c>
      <c r="J6" s="20">
        <f>SQRT((G6*'d1 == d2'!T$5)^2+(H6*'d1 == d2'!T$4)^2)</f>
        <v>7.897725751913152E-5</v>
      </c>
      <c r="K6" s="16">
        <f t="shared" si="2"/>
        <v>3.711469139833333E-2</v>
      </c>
      <c r="L6" s="11">
        <f t="shared" si="6"/>
        <v>0.12053265765352408</v>
      </c>
    </row>
    <row r="7" spans="1:21" x14ac:dyDescent="0.3">
      <c r="A7" s="16">
        <f t="shared" si="0"/>
        <v>8.550000000000002E-2</v>
      </c>
      <c r="B7" s="16">
        <f t="shared" si="3"/>
        <v>0.35100000000000003</v>
      </c>
      <c r="C7" s="16">
        <v>0.18</v>
      </c>
      <c r="D7" s="16">
        <v>7.5460000000000003</v>
      </c>
      <c r="E7" s="16">
        <v>7.524</v>
      </c>
      <c r="F7" s="16">
        <f t="shared" si="4"/>
        <v>7.5350000000000001</v>
      </c>
      <c r="G7" s="16">
        <f>F7^2</f>
        <v>56.776225000000004</v>
      </c>
      <c r="H7" s="16">
        <f>2*F7*0.0007</f>
        <v>1.0548999999999999E-2</v>
      </c>
      <c r="I7" s="16">
        <f>'d1 == d2'!O$8*G7/(4*PI()*PI())</f>
        <v>3.2615182887488985E-2</v>
      </c>
      <c r="J7" s="20">
        <f>SQRT((G7*'d1 == d2'!T$5)^2+(H7*'d1 == d2'!T$4)^2)</f>
        <v>7.8914591891441862E-5</v>
      </c>
      <c r="K7" s="16">
        <f t="shared" si="2"/>
        <v>3.8008998098333337E-2</v>
      </c>
      <c r="L7" s="11">
        <f t="shared" si="6"/>
        <v>0.14190890264694628</v>
      </c>
      <c r="N7" s="4" t="s">
        <v>19</v>
      </c>
      <c r="O7" s="1">
        <f>O2*S2^2+O3*S3^2+O4*O5^2/12</f>
        <v>3.3948373530833333E-2</v>
      </c>
    </row>
    <row r="8" spans="1:21" x14ac:dyDescent="0.3">
      <c r="A8" s="16">
        <f t="shared" si="0"/>
        <v>9.5499999999999974E-2</v>
      </c>
      <c r="B8" s="16">
        <f t="shared" si="3"/>
        <v>0.36099999999999999</v>
      </c>
      <c r="C8" s="16">
        <v>0.17</v>
      </c>
      <c r="D8" s="16">
        <v>7.5860000000000003</v>
      </c>
      <c r="E8" s="16">
        <v>7.5460000000000003</v>
      </c>
      <c r="F8" s="16">
        <f t="shared" si="4"/>
        <v>7.5660000000000007</v>
      </c>
      <c r="G8" s="16">
        <f>F8^2</f>
        <v>57.24435600000001</v>
      </c>
      <c r="H8" s="16">
        <f>2*F8*0.0007</f>
        <v>1.05924E-2</v>
      </c>
      <c r="I8" s="16">
        <f>'d1 == d2'!O$8*G8/(4*PI()*PI())</f>
        <v>3.2884101403651396E-2</v>
      </c>
      <c r="J8" s="20">
        <f>SQRT((G8*'d1 == d2'!T$5)^2+(H8*'d1 == d2'!T$4)^2)</f>
        <v>7.95633395862587E-5</v>
      </c>
      <c r="K8" s="16">
        <f t="shared" si="2"/>
        <v>3.9014398798333329E-2</v>
      </c>
      <c r="L8" s="11">
        <f t="shared" si="6"/>
        <v>0.1571291006269156</v>
      </c>
      <c r="O8" s="2" t="s">
        <v>20</v>
      </c>
    </row>
    <row r="9" spans="1:21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C9C7-DDA4-41C1-9791-3ACEA0C01E4B}">
  <dimension ref="A1:S7"/>
  <sheetViews>
    <sheetView tabSelected="1" workbookViewId="0">
      <selection activeCell="B28" sqref="B28"/>
    </sheetView>
  </sheetViews>
  <sheetFormatPr defaultRowHeight="14.4" x14ac:dyDescent="0.3"/>
  <cols>
    <col min="1" max="1" width="13" style="2" customWidth="1"/>
    <col min="2" max="2" width="13.5546875" style="2" customWidth="1"/>
    <col min="3" max="3" width="13.21875" style="2" customWidth="1"/>
    <col min="4" max="4" width="12.33203125" style="2" customWidth="1"/>
    <col min="5" max="6" width="12.44140625" style="2" bestFit="1" customWidth="1"/>
    <col min="7" max="7" width="14" style="2" customWidth="1"/>
    <col min="8" max="8" width="10.77734375" style="2" customWidth="1"/>
    <col min="9" max="9" width="14.44140625" style="2" customWidth="1"/>
    <col min="10" max="10" width="10.5546875" style="2" customWidth="1"/>
    <col min="11" max="13" width="8.88671875" style="2"/>
    <col min="14" max="14" width="11.44140625" style="2" customWidth="1"/>
    <col min="15" max="17" width="8.88671875" style="2"/>
    <col min="18" max="18" width="9.5546875" style="2" customWidth="1"/>
    <col min="19" max="16384" width="8.88671875" style="2"/>
  </cols>
  <sheetData>
    <row r="1" spans="1:19" ht="16.2" x14ac:dyDescent="0.3">
      <c r="A1" s="3" t="s">
        <v>7</v>
      </c>
      <c r="B1" s="3" t="s">
        <v>63</v>
      </c>
      <c r="C1" s="3" t="s">
        <v>64</v>
      </c>
      <c r="D1" s="3" t="s">
        <v>83</v>
      </c>
      <c r="E1" s="6" t="s">
        <v>44</v>
      </c>
      <c r="F1" s="7" t="s">
        <v>62</v>
      </c>
      <c r="G1" s="7" t="s">
        <v>81</v>
      </c>
      <c r="H1" s="7" t="s">
        <v>82</v>
      </c>
      <c r="I1" s="7" t="s">
        <v>75</v>
      </c>
      <c r="J1" s="6" t="s">
        <v>22</v>
      </c>
    </row>
    <row r="2" spans="1:19" x14ac:dyDescent="0.3">
      <c r="A2" s="30" t="s">
        <v>23</v>
      </c>
      <c r="B2" s="9">
        <v>1.18</v>
      </c>
      <c r="C2" s="9">
        <v>1.181</v>
      </c>
      <c r="D2" s="28">
        <f>AVERAGE(AVERAGE(B2:B4),AVERAGE(C2:C4))</f>
        <v>1.1808333333333332</v>
      </c>
      <c r="E2" s="25">
        <f>D2^2</f>
        <v>1.3943673611111107</v>
      </c>
      <c r="F2" s="34">
        <f>D2*2*0.0004</f>
        <v>9.4466666666666657E-4</v>
      </c>
      <c r="G2" s="29">
        <f>'d1 == d2'!O$8/(4*PI()^2)*E2</f>
        <v>8.0099630602394349E-4</v>
      </c>
      <c r="H2" s="39">
        <f>SQRT((E2*'d1 == d2'!T$5)^2+(F2*'d1 == d2'!T$4)^2)/G2</f>
        <v>2.5057470521041088E-3</v>
      </c>
      <c r="I2" s="29">
        <f>1/2*M2*(M6^2+M7^2)</f>
        <v>8.6337290625000023E-4</v>
      </c>
      <c r="J2" s="38">
        <f>ABS(I2-G2)/I2</f>
        <v>7.2247576654895423E-2</v>
      </c>
      <c r="L2" s="6" t="s">
        <v>25</v>
      </c>
      <c r="M2" s="13">
        <v>0.37004999999999999</v>
      </c>
      <c r="N2" s="7" t="s">
        <v>65</v>
      </c>
      <c r="O2" s="13">
        <v>1.0000000000000001E-5</v>
      </c>
      <c r="P2" s="6" t="s">
        <v>29</v>
      </c>
      <c r="Q2" s="1">
        <v>0.23179</v>
      </c>
      <c r="R2" s="7" t="s">
        <v>71</v>
      </c>
      <c r="S2" s="8">
        <v>1E-4</v>
      </c>
    </row>
    <row r="3" spans="1:19" x14ac:dyDescent="0.3">
      <c r="A3" s="30"/>
      <c r="B3" s="9">
        <v>1.18</v>
      </c>
      <c r="C3" s="9">
        <v>1.1819999999999999</v>
      </c>
      <c r="D3" s="28"/>
      <c r="E3" s="37"/>
      <c r="F3" s="35"/>
      <c r="G3" s="29"/>
      <c r="H3" s="40"/>
      <c r="I3" s="29"/>
      <c r="J3" s="38"/>
      <c r="L3" s="6" t="s">
        <v>26</v>
      </c>
      <c r="M3" s="16">
        <v>0.10100000000000001</v>
      </c>
      <c r="N3" s="7" t="s">
        <v>66</v>
      </c>
      <c r="O3" s="20">
        <v>2.0000000000000002E-5</v>
      </c>
      <c r="P3" s="6" t="s">
        <v>30</v>
      </c>
      <c r="Q3" s="1">
        <v>0.124</v>
      </c>
      <c r="R3" s="7" t="s">
        <v>72</v>
      </c>
      <c r="S3" s="20">
        <v>2.0000000000000002E-5</v>
      </c>
    </row>
    <row r="4" spans="1:19" x14ac:dyDescent="0.3">
      <c r="A4" s="30"/>
      <c r="B4" s="9">
        <v>1.181</v>
      </c>
      <c r="C4" s="9">
        <v>1.181</v>
      </c>
      <c r="D4" s="28"/>
      <c r="E4" s="26"/>
      <c r="F4" s="36"/>
      <c r="G4" s="29"/>
      <c r="H4" s="41"/>
      <c r="I4" s="29"/>
      <c r="J4" s="38"/>
      <c r="L4" s="6" t="s">
        <v>27</v>
      </c>
      <c r="M4" s="16">
        <v>0.109</v>
      </c>
      <c r="N4" s="7" t="s">
        <v>67</v>
      </c>
      <c r="O4" s="20">
        <v>2.0000000000000002E-5</v>
      </c>
      <c r="P4" s="6" t="s">
        <v>31</v>
      </c>
      <c r="Q4" s="1">
        <v>0.2175</v>
      </c>
      <c r="R4" s="7" t="s">
        <v>73</v>
      </c>
      <c r="S4" s="20">
        <v>2.0000000000000002E-5</v>
      </c>
    </row>
    <row r="5" spans="1:19" x14ac:dyDescent="0.3">
      <c r="A5" s="31" t="s">
        <v>24</v>
      </c>
      <c r="B5" s="9">
        <v>1.4650000000000001</v>
      </c>
      <c r="C5" s="9">
        <v>1.4650000000000001</v>
      </c>
      <c r="D5" s="28">
        <f>AVERAGE(AVERAGE(B5:B7),AVERAGE(C5:C7))</f>
        <v>1.4646666666666668</v>
      </c>
      <c r="E5" s="25">
        <f>D5^2</f>
        <v>2.1452484444444448</v>
      </c>
      <c r="F5" s="34">
        <f>D5*2*0.0004</f>
        <v>1.1717333333333335E-3</v>
      </c>
      <c r="G5" s="29">
        <f>'d1 == d2'!O$8/(4*PI()^2)*E5</f>
        <v>1.232341008136008E-3</v>
      </c>
      <c r="H5" s="39">
        <f>SQRT((E5*'d1 == d2'!T$5)^2+(F5*'d1 == d2'!T$4)^2)/G5</f>
        <v>2.473481861094042E-3</v>
      </c>
      <c r="I5" s="29">
        <f>1/2*Q2*Q5^2</f>
        <v>1.3706394609375001E-3</v>
      </c>
      <c r="J5" s="38">
        <f>ABS(I5-G5)/I5</f>
        <v>0.10090067938573553</v>
      </c>
      <c r="L5" s="6" t="s">
        <v>28</v>
      </c>
      <c r="M5" s="16">
        <v>4.4999999999999997E-3</v>
      </c>
      <c r="N5" s="7" t="s">
        <v>68</v>
      </c>
      <c r="O5" s="20">
        <v>2.0000000000000002E-5</v>
      </c>
      <c r="P5" s="6" t="s">
        <v>34</v>
      </c>
      <c r="Q5" s="1">
        <f>Q4/2</f>
        <v>0.10875</v>
      </c>
      <c r="R5" s="7" t="s">
        <v>74</v>
      </c>
      <c r="S5" s="20">
        <v>2.0000000000000002E-5</v>
      </c>
    </row>
    <row r="6" spans="1:19" x14ac:dyDescent="0.3">
      <c r="A6" s="32"/>
      <c r="B6" s="9">
        <v>1.464</v>
      </c>
      <c r="C6" s="9">
        <v>1.464</v>
      </c>
      <c r="D6" s="28"/>
      <c r="E6" s="37"/>
      <c r="F6" s="35"/>
      <c r="G6" s="29"/>
      <c r="H6" s="40"/>
      <c r="I6" s="29"/>
      <c r="J6" s="38"/>
      <c r="L6" s="6" t="s">
        <v>32</v>
      </c>
      <c r="M6" s="16">
        <f>M3/2</f>
        <v>5.0500000000000003E-2</v>
      </c>
      <c r="N6" s="7" t="s">
        <v>69</v>
      </c>
      <c r="O6" s="20">
        <v>2.0000000000000002E-5</v>
      </c>
    </row>
    <row r="7" spans="1:19" x14ac:dyDescent="0.3">
      <c r="A7" s="33"/>
      <c r="B7" s="9">
        <v>1.464</v>
      </c>
      <c r="C7" s="9">
        <v>1.466</v>
      </c>
      <c r="D7" s="28"/>
      <c r="E7" s="26"/>
      <c r="F7" s="36"/>
      <c r="G7" s="29"/>
      <c r="H7" s="41"/>
      <c r="I7" s="29"/>
      <c r="J7" s="38"/>
      <c r="L7" s="6" t="s">
        <v>33</v>
      </c>
      <c r="M7" s="16">
        <f>M6-M5</f>
        <v>4.6000000000000006E-2</v>
      </c>
      <c r="N7" s="7" t="s">
        <v>70</v>
      </c>
      <c r="O7" s="20">
        <v>2.0000000000000002E-5</v>
      </c>
    </row>
  </sheetData>
  <mergeCells count="16">
    <mergeCell ref="I5:I7"/>
    <mergeCell ref="I2:I4"/>
    <mergeCell ref="E2:E4"/>
    <mergeCell ref="E5:E7"/>
    <mergeCell ref="J5:J7"/>
    <mergeCell ref="J2:J4"/>
    <mergeCell ref="H2:H4"/>
    <mergeCell ref="H5:H7"/>
    <mergeCell ref="D2:D4"/>
    <mergeCell ref="G2:G4"/>
    <mergeCell ref="A2:A4"/>
    <mergeCell ref="G5:G7"/>
    <mergeCell ref="D5:D7"/>
    <mergeCell ref="A5:A7"/>
    <mergeCell ref="F2:F4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 == d2</vt:lpstr>
      <vt:lpstr>d1 != d2</vt:lpstr>
      <vt:lpstr>sólidos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2022-05-26T17:13:24Z</dcterms:created>
  <dcterms:modified xsi:type="dcterms:W3CDTF">2022-06-07T16:09:24Z</dcterms:modified>
</cp:coreProperties>
</file>