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\016\T2B\"/>
    </mc:Choice>
  </mc:AlternateContent>
  <xr:revisionPtr revIDLastSave="0" documentId="13_ncr:1_{CB0F06E3-D982-4F90-B027-7CDD40D0FACC}" xr6:coauthVersionLast="47" xr6:coauthVersionMax="47" xr10:uidLastSave="{00000000-0000-0000-0000-000000000000}"/>
  <bookViews>
    <workbookView xWindow="-108" yWindow="-108" windowWidth="23256" windowHeight="13176" activeTab="1" xr2:uid="{ADD7F163-C1A2-B04B-9D45-D2B9CEFFEB9A}"/>
  </bookViews>
  <sheets>
    <sheet name="Parte 1" sheetId="1" r:id="rId1"/>
    <sheet name="Parte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76" i="2" l="1"/>
  <c r="G3" i="2"/>
  <c r="H7" i="2"/>
  <c r="G7" i="2"/>
  <c r="Z41" i="2" l="1"/>
  <c r="Z42" i="2"/>
  <c r="Z43" i="2"/>
  <c r="Z44" i="2"/>
  <c r="Z40" i="2"/>
  <c r="N18" i="2"/>
  <c r="N25" i="2"/>
  <c r="N30" i="2"/>
  <c r="N8" i="2"/>
  <c r="N10" i="2"/>
  <c r="N11" i="2"/>
  <c r="N13" i="2"/>
  <c r="N14" i="2"/>
  <c r="N15" i="2"/>
  <c r="N16" i="2"/>
  <c r="N17" i="2"/>
  <c r="N19" i="2"/>
  <c r="N20" i="2"/>
  <c r="N21" i="2"/>
  <c r="N22" i="2"/>
  <c r="N23" i="2"/>
  <c r="N27" i="2"/>
  <c r="N28" i="2"/>
  <c r="N29" i="2"/>
  <c r="N31" i="2"/>
  <c r="N32" i="2"/>
  <c r="N7" i="2"/>
  <c r="N9" i="2"/>
  <c r="N24" i="2"/>
  <c r="N26" i="2"/>
  <c r="N12" i="2"/>
  <c r="G12" i="2"/>
  <c r="H18" i="2"/>
  <c r="H25" i="2"/>
  <c r="H30" i="2"/>
  <c r="H8" i="2"/>
  <c r="H10" i="2"/>
  <c r="H11" i="2"/>
  <c r="H13" i="2"/>
  <c r="H14" i="2"/>
  <c r="H15" i="2"/>
  <c r="H16" i="2"/>
  <c r="H17" i="2"/>
  <c r="H19" i="2"/>
  <c r="H20" i="2"/>
  <c r="H21" i="2"/>
  <c r="H22" i="2"/>
  <c r="H23" i="2"/>
  <c r="H27" i="2"/>
  <c r="H28" i="2"/>
  <c r="H29" i="2"/>
  <c r="H31" i="2"/>
  <c r="H32" i="2"/>
  <c r="H9" i="2"/>
  <c r="H24" i="2"/>
  <c r="H26" i="2"/>
  <c r="H12" i="2"/>
  <c r="F12" i="2"/>
  <c r="C4" i="1"/>
  <c r="M12" i="2"/>
  <c r="C5" i="1"/>
  <c r="H20" i="1"/>
  <c r="H21" i="1"/>
  <c r="H22" i="1"/>
  <c r="H23" i="1"/>
  <c r="H24" i="1"/>
  <c r="H29" i="1"/>
  <c r="H30" i="1"/>
  <c r="H31" i="1"/>
  <c r="H32" i="1"/>
  <c r="H33" i="1"/>
  <c r="H38" i="1"/>
  <c r="H39" i="1"/>
  <c r="H40" i="1"/>
  <c r="H41" i="1"/>
  <c r="H42" i="1"/>
  <c r="M18" i="2"/>
  <c r="M25" i="2"/>
  <c r="M30" i="2"/>
  <c r="M8" i="2"/>
  <c r="M10" i="2"/>
  <c r="M11" i="2"/>
  <c r="M13" i="2"/>
  <c r="M14" i="2"/>
  <c r="M15" i="2"/>
  <c r="M16" i="2"/>
  <c r="M17" i="2"/>
  <c r="M19" i="2"/>
  <c r="M20" i="2"/>
  <c r="M21" i="2"/>
  <c r="M22" i="2"/>
  <c r="M23" i="2"/>
  <c r="M27" i="2"/>
  <c r="M28" i="2"/>
  <c r="M29" i="2"/>
  <c r="M31" i="2"/>
  <c r="M32" i="2"/>
  <c r="M7" i="2"/>
  <c r="M9" i="2"/>
  <c r="M24" i="2"/>
  <c r="M26" i="2"/>
  <c r="G18" i="2"/>
  <c r="G25" i="2"/>
  <c r="G30" i="2"/>
  <c r="G8" i="2"/>
  <c r="G10" i="2"/>
  <c r="G11" i="2"/>
  <c r="G13" i="2"/>
  <c r="G14" i="2"/>
  <c r="G15" i="2"/>
  <c r="G16" i="2"/>
  <c r="G17" i="2"/>
  <c r="G19" i="2"/>
  <c r="G20" i="2"/>
  <c r="G21" i="2"/>
  <c r="G22" i="2"/>
  <c r="G23" i="2"/>
  <c r="G27" i="2"/>
  <c r="G28" i="2"/>
  <c r="G29" i="2"/>
  <c r="G31" i="2"/>
  <c r="G32" i="2"/>
  <c r="G9" i="2"/>
  <c r="G24" i="2"/>
  <c r="G26" i="2"/>
  <c r="D33" i="1"/>
  <c r="D39" i="1"/>
  <c r="D40" i="1"/>
  <c r="D41" i="1"/>
  <c r="D42" i="1"/>
  <c r="D30" i="1"/>
  <c r="D31" i="1"/>
  <c r="D32" i="1"/>
  <c r="D38" i="1"/>
  <c r="D29" i="1"/>
  <c r="D21" i="1"/>
  <c r="D22" i="1"/>
  <c r="D23" i="1"/>
  <c r="D24" i="1"/>
  <c r="D20" i="1"/>
  <c r="D12" i="1"/>
  <c r="D13" i="1"/>
  <c r="D14" i="1"/>
  <c r="D15" i="1"/>
  <c r="E14" i="1" s="1" a="1"/>
  <c r="E14" i="1" s="1"/>
  <c r="D11" i="1"/>
  <c r="E11" i="1" s="1" a="1"/>
  <c r="E11" i="1" s="1"/>
  <c r="H15" i="1"/>
  <c r="H14" i="1"/>
  <c r="H13" i="1"/>
  <c r="H12" i="1"/>
  <c r="H11" i="1"/>
  <c r="I76" i="2"/>
  <c r="F18" i="2"/>
  <c r="Q18" i="2" s="1"/>
  <c r="F25" i="2"/>
  <c r="F30" i="2"/>
  <c r="Q30" i="2" s="1"/>
  <c r="F8" i="2"/>
  <c r="Q8" i="2" s="1"/>
  <c r="F10" i="2"/>
  <c r="Q10" i="2" s="1"/>
  <c r="F11" i="2"/>
  <c r="Q11" i="2" s="1"/>
  <c r="F13" i="2"/>
  <c r="Q13" i="2" s="1"/>
  <c r="F14" i="2"/>
  <c r="F15" i="2"/>
  <c r="Q15" i="2" s="1"/>
  <c r="F16" i="2"/>
  <c r="Q16" i="2" s="1"/>
  <c r="F17" i="2"/>
  <c r="Q17" i="2" s="1"/>
  <c r="F19" i="2"/>
  <c r="Q19" i="2" s="1"/>
  <c r="F20" i="2"/>
  <c r="Q20" i="2" s="1"/>
  <c r="F21" i="2"/>
  <c r="Q21" i="2" s="1"/>
  <c r="F22" i="2"/>
  <c r="Q22" i="2" s="1"/>
  <c r="F23" i="2"/>
  <c r="F27" i="2"/>
  <c r="Q27" i="2" s="1"/>
  <c r="F28" i="2"/>
  <c r="Q28" i="2" s="1"/>
  <c r="F29" i="2"/>
  <c r="Q29" i="2" s="1"/>
  <c r="F31" i="2"/>
  <c r="Q31" i="2" s="1"/>
  <c r="F32" i="2"/>
  <c r="Q32" i="2" s="1"/>
  <c r="F7" i="2"/>
  <c r="Q7" i="2" s="1"/>
  <c r="F9" i="2"/>
  <c r="Q9" i="2" s="1"/>
  <c r="F24" i="2"/>
  <c r="F26" i="2"/>
  <c r="S35" i="2" l="1" a="1"/>
  <c r="AD39" i="2" a="1"/>
  <c r="AD40" i="2" s="1"/>
  <c r="D3" i="2" s="1"/>
  <c r="R15" i="2"/>
  <c r="R32" i="2"/>
  <c r="R11" i="2"/>
  <c r="R18" i="2"/>
  <c r="R19" i="2"/>
  <c r="R30" i="2"/>
  <c r="R9" i="2"/>
  <c r="R31" i="2"/>
  <c r="R10" i="2"/>
  <c r="R20" i="2"/>
  <c r="Q25" i="2"/>
  <c r="R25" i="2"/>
  <c r="R13" i="2"/>
  <c r="R21" i="2"/>
  <c r="Q14" i="2"/>
  <c r="R14" i="2"/>
  <c r="R7" i="2"/>
  <c r="Q23" i="2"/>
  <c r="R23" i="2"/>
  <c r="Q26" i="2"/>
  <c r="R26" i="2"/>
  <c r="Q24" i="2"/>
  <c r="R24" i="2"/>
  <c r="R27" i="2"/>
  <c r="R22" i="2"/>
  <c r="Q12" i="2"/>
  <c r="R12" i="2"/>
  <c r="R28" i="2"/>
  <c r="R16" i="2"/>
  <c r="R17" i="2"/>
  <c r="R8" i="2"/>
  <c r="R29" i="2"/>
  <c r="I35" i="2" a="1"/>
  <c r="I35" i="2" s="1"/>
  <c r="E23" i="1" a="1"/>
  <c r="E23" i="1" s="1"/>
  <c r="E40" i="1" a="1"/>
  <c r="E40" i="1" s="1"/>
  <c r="E20" i="1" a="1"/>
  <c r="E20" i="1" s="1"/>
  <c r="E29" i="1" a="1"/>
  <c r="E29" i="1" s="1"/>
  <c r="E38" i="1" a="1"/>
  <c r="E38" i="1" s="1"/>
  <c r="E31" i="1" a="1"/>
  <c r="E31" i="1" s="1"/>
  <c r="S35" i="2" l="1"/>
  <c r="T35" i="2"/>
  <c r="T38" i="2"/>
  <c r="T37" i="2"/>
  <c r="S37" i="2"/>
  <c r="T39" i="2"/>
  <c r="S38" i="2"/>
  <c r="S36" i="2"/>
  <c r="S39" i="2"/>
  <c r="T36" i="2"/>
  <c r="AD41" i="2"/>
  <c r="AE41" i="2"/>
  <c r="AD39" i="2"/>
  <c r="D2" i="2" s="1"/>
  <c r="I21" i="2" s="1"/>
  <c r="AE39" i="2"/>
  <c r="AE40" i="2"/>
  <c r="I37" i="2"/>
  <c r="J38" i="2"/>
  <c r="J37" i="2"/>
  <c r="I38" i="2"/>
  <c r="J36" i="2"/>
  <c r="J39" i="2"/>
  <c r="I39" i="2"/>
  <c r="J35" i="2"/>
  <c r="T19" i="2" s="1"/>
  <c r="U19" i="2" s="1"/>
  <c r="I36" i="2"/>
  <c r="F20" i="1" a="1"/>
  <c r="F20" i="1" s="1"/>
  <c r="M19" i="1" s="1" a="1"/>
  <c r="M19" i="1" s="1"/>
  <c r="I20" i="1" s="1" a="1"/>
  <c r="J24" i="1" s="1"/>
  <c r="F38" i="1" a="1"/>
  <c r="F38" i="1" s="1"/>
  <c r="M37" i="1" s="1" a="1"/>
  <c r="M37" i="1" s="1"/>
  <c r="I38" i="1" s="1" a="1"/>
  <c r="J40" i="1" s="1"/>
  <c r="F11" i="1" a="1"/>
  <c r="F11" i="1" s="1"/>
  <c r="M10" i="1" s="1" a="1"/>
  <c r="M10" i="1" s="1"/>
  <c r="I11" i="1" s="1" a="1"/>
  <c r="I11" i="1" s="1"/>
  <c r="F29" i="1" a="1"/>
  <c r="F29" i="1" s="1"/>
  <c r="M28" i="1" s="1" a="1"/>
  <c r="M28" i="1" s="1"/>
  <c r="Y30" i="2" l="1"/>
  <c r="Z30" i="2" s="1"/>
  <c r="Y29" i="2"/>
  <c r="Z29" i="2" s="1"/>
  <c r="Y31" i="2"/>
  <c r="Z31" i="2" s="1"/>
  <c r="Y32" i="2"/>
  <c r="Z32" i="2" s="1"/>
  <c r="Y28" i="2"/>
  <c r="Z28" i="2" s="1"/>
  <c r="I28" i="2"/>
  <c r="K28" i="2" s="1"/>
  <c r="J29" i="2"/>
  <c r="I29" i="2"/>
  <c r="J15" i="2"/>
  <c r="J26" i="2"/>
  <c r="J30" i="2"/>
  <c r="L30" i="2" s="1"/>
  <c r="J20" i="2"/>
  <c r="J9" i="2"/>
  <c r="J21" i="2"/>
  <c r="L21" i="2" s="1"/>
  <c r="I27" i="2"/>
  <c r="K27" i="2" s="1"/>
  <c r="I18" i="2"/>
  <c r="K18" i="2" s="1"/>
  <c r="J18" i="2"/>
  <c r="I13" i="2"/>
  <c r="K13" i="2" s="1"/>
  <c r="J13" i="2"/>
  <c r="I20" i="2"/>
  <c r="K20" i="2" s="1"/>
  <c r="J24" i="2"/>
  <c r="I25" i="2"/>
  <c r="K25" i="2" s="1"/>
  <c r="I7" i="2"/>
  <c r="K7" i="2" s="1"/>
  <c r="O7" i="2" s="1"/>
  <c r="I14" i="2"/>
  <c r="K14" i="2" s="1"/>
  <c r="J12" i="2"/>
  <c r="J25" i="2"/>
  <c r="I17" i="2"/>
  <c r="I26" i="2"/>
  <c r="K26" i="2" s="1"/>
  <c r="I24" i="2"/>
  <c r="K24" i="2" s="1"/>
  <c r="I10" i="2"/>
  <c r="K10" i="2" s="1"/>
  <c r="I16" i="2"/>
  <c r="K16" i="2" s="1"/>
  <c r="J22" i="2"/>
  <c r="J7" i="2"/>
  <c r="J31" i="2"/>
  <c r="J10" i="2"/>
  <c r="I23" i="2"/>
  <c r="K23" i="2" s="1"/>
  <c r="J14" i="2"/>
  <c r="D4" i="2"/>
  <c r="I11" i="2"/>
  <c r="K11" i="2" s="1"/>
  <c r="J8" i="2"/>
  <c r="J17" i="2"/>
  <c r="I30" i="2"/>
  <c r="J28" i="2"/>
  <c r="I12" i="2"/>
  <c r="K12" i="2" s="1"/>
  <c r="J32" i="2"/>
  <c r="I9" i="2"/>
  <c r="K9" i="2" s="1"/>
  <c r="J27" i="2"/>
  <c r="L27" i="2" s="1"/>
  <c r="J11" i="2"/>
  <c r="J23" i="2"/>
  <c r="I32" i="2"/>
  <c r="K32" i="2" s="1"/>
  <c r="J19" i="2"/>
  <c r="I22" i="2"/>
  <c r="K22" i="2" s="1"/>
  <c r="I31" i="2"/>
  <c r="I15" i="2"/>
  <c r="K15" i="2" s="1"/>
  <c r="J16" i="2"/>
  <c r="I19" i="2"/>
  <c r="K19" i="2" s="1"/>
  <c r="I8" i="2"/>
  <c r="K8" i="2" s="1"/>
  <c r="K30" i="2"/>
  <c r="K21" i="2"/>
  <c r="T30" i="2"/>
  <c r="U30" i="2" s="1"/>
  <c r="T11" i="2"/>
  <c r="U11" i="2" s="1"/>
  <c r="T17" i="2"/>
  <c r="U17" i="2" s="1"/>
  <c r="T20" i="2"/>
  <c r="U20" i="2" s="1"/>
  <c r="T32" i="2"/>
  <c r="U32" i="2" s="1"/>
  <c r="T29" i="2"/>
  <c r="U29" i="2" s="1"/>
  <c r="T22" i="2"/>
  <c r="U22" i="2" s="1"/>
  <c r="T12" i="2"/>
  <c r="U12" i="2" s="1"/>
  <c r="T28" i="2"/>
  <c r="U28" i="2" s="1"/>
  <c r="T26" i="2"/>
  <c r="U26" i="2" s="1"/>
  <c r="T23" i="2"/>
  <c r="U23" i="2" s="1"/>
  <c r="T31" i="2"/>
  <c r="U31" i="2" s="1"/>
  <c r="T24" i="2"/>
  <c r="U24" i="2" s="1"/>
  <c r="T10" i="2"/>
  <c r="U10" i="2" s="1"/>
  <c r="T14" i="2"/>
  <c r="U14" i="2" s="1"/>
  <c r="T15" i="2"/>
  <c r="U15" i="2" s="1"/>
  <c r="T16" i="2"/>
  <c r="U16" i="2" s="1"/>
  <c r="T25" i="2"/>
  <c r="U25" i="2" s="1"/>
  <c r="T21" i="2"/>
  <c r="U21" i="2" s="1"/>
  <c r="T7" i="2"/>
  <c r="U7" i="2" s="1"/>
  <c r="T13" i="2"/>
  <c r="U13" i="2" s="1"/>
  <c r="T9" i="2"/>
  <c r="U9" i="2" s="1"/>
  <c r="T18" i="2"/>
  <c r="U18" i="2" s="1"/>
  <c r="T8" i="2"/>
  <c r="U8" i="2" s="1"/>
  <c r="T27" i="2"/>
  <c r="U27" i="2" s="1"/>
  <c r="J23" i="1"/>
  <c r="J21" i="1"/>
  <c r="I20" i="1"/>
  <c r="J20" i="1" s="1"/>
  <c r="J22" i="1"/>
  <c r="J42" i="1"/>
  <c r="J41" i="1"/>
  <c r="I38" i="1"/>
  <c r="J38" i="1" s="1"/>
  <c r="J39" i="1"/>
  <c r="F6" i="1"/>
  <c r="F3" i="1"/>
  <c r="F4" i="1"/>
  <c r="F5" i="1"/>
  <c r="I29" i="1" a="1"/>
  <c r="I29" i="1" s="1"/>
  <c r="J29" i="1" s="1"/>
  <c r="L29" i="2" l="1"/>
  <c r="L16" i="2"/>
  <c r="K29" i="2"/>
  <c r="P29" i="2" s="1"/>
  <c r="L28" i="2"/>
  <c r="L13" i="2"/>
  <c r="L31" i="2"/>
  <c r="L23" i="2"/>
  <c r="P23" i="2" s="1"/>
  <c r="L8" i="2"/>
  <c r="P8" i="2" s="1"/>
  <c r="L19" i="2"/>
  <c r="P19" i="2" s="1"/>
  <c r="L17" i="2"/>
  <c r="L12" i="2"/>
  <c r="P12" i="2" s="1"/>
  <c r="L9" i="2"/>
  <c r="P9" i="2" s="1"/>
  <c r="L32" i="2"/>
  <c r="P32" i="2" s="1"/>
  <c r="K17" i="2"/>
  <c r="O17" i="2" s="1"/>
  <c r="L15" i="2"/>
  <c r="P15" i="2" s="1"/>
  <c r="L20" i="2"/>
  <c r="P20" i="2" s="1"/>
  <c r="L18" i="2"/>
  <c r="L24" i="2"/>
  <c r="P24" i="2" s="1"/>
  <c r="L10" i="2"/>
  <c r="P10" i="2" s="1"/>
  <c r="L14" i="2"/>
  <c r="P14" i="2" s="1"/>
  <c r="L22" i="2"/>
  <c r="P22" i="2" s="1"/>
  <c r="L11" i="2"/>
  <c r="P11" i="2" s="1"/>
  <c r="K31" i="2"/>
  <c r="O31" i="2" s="1"/>
  <c r="L25" i="2"/>
  <c r="P25" i="2" s="1"/>
  <c r="L7" i="2"/>
  <c r="P7" i="2" s="1"/>
  <c r="L26" i="2"/>
  <c r="P26" i="2" s="1"/>
  <c r="O12" i="2"/>
  <c r="O26" i="2"/>
  <c r="O18" i="2"/>
  <c r="P18" i="2"/>
  <c r="O13" i="2"/>
  <c r="P13" i="2"/>
  <c r="O27" i="2"/>
  <c r="P27" i="2"/>
  <c r="O20" i="2"/>
  <c r="O24" i="2"/>
  <c r="O15" i="2"/>
  <c r="O21" i="2"/>
  <c r="P21" i="2"/>
  <c r="O30" i="2"/>
  <c r="P30" i="2"/>
  <c r="O25" i="2"/>
  <c r="O28" i="2"/>
  <c r="P28" i="2"/>
  <c r="O16" i="2"/>
  <c r="P16" i="2"/>
  <c r="O10" i="2"/>
  <c r="O19" i="2"/>
  <c r="O32" i="2"/>
  <c r="O23" i="2"/>
  <c r="O8" i="2"/>
  <c r="O14" i="2"/>
  <c r="O22" i="2"/>
  <c r="O9" i="2"/>
  <c r="O11" i="2"/>
  <c r="J15" i="1"/>
  <c r="J12" i="1"/>
  <c r="J14" i="1"/>
  <c r="J13" i="1"/>
  <c r="J11" i="1"/>
  <c r="J31" i="1"/>
  <c r="J30" i="1"/>
  <c r="J33" i="1"/>
  <c r="J32" i="1"/>
  <c r="O29" i="2" l="1"/>
  <c r="P17" i="2"/>
  <c r="P31" i="2"/>
  <c r="S68" i="2" a="1"/>
  <c r="I68" i="2" a="1"/>
  <c r="I68" i="2" l="1"/>
  <c r="S78" i="2"/>
  <c r="I78" i="2"/>
  <c r="S68" i="2"/>
  <c r="S72" i="2"/>
  <c r="T71" i="2"/>
  <c r="T72" i="2"/>
  <c r="S71" i="2"/>
  <c r="T70" i="2"/>
  <c r="S70" i="2"/>
  <c r="T68" i="2"/>
  <c r="T69" i="2"/>
  <c r="S69" i="2"/>
  <c r="S77" i="2" l="1"/>
  <c r="S80" i="2" s="1"/>
  <c r="AA28" i="2"/>
  <c r="AB28" i="2" s="1"/>
  <c r="AA29" i="2"/>
  <c r="AB29" i="2" s="1"/>
  <c r="AA30" i="2"/>
  <c r="AB30" i="2" s="1"/>
  <c r="AA31" i="2"/>
  <c r="AB31" i="2" s="1"/>
  <c r="AA32" i="2"/>
  <c r="AB32" i="2" s="1"/>
  <c r="S79" i="2"/>
  <c r="V13" i="2"/>
  <c r="W13" i="2" s="1"/>
  <c r="V25" i="2"/>
  <c r="W25" i="2" s="1"/>
  <c r="V15" i="2"/>
  <c r="W15" i="2" s="1"/>
  <c r="V23" i="2"/>
  <c r="W23" i="2" s="1"/>
  <c r="V22" i="2"/>
  <c r="W22" i="2" s="1"/>
  <c r="V7" i="2"/>
  <c r="W7" i="2" s="1"/>
  <c r="V19" i="2"/>
  <c r="W19" i="2" s="1"/>
  <c r="V27" i="2"/>
  <c r="W27" i="2" s="1"/>
  <c r="V18" i="2"/>
  <c r="W18" i="2" s="1"/>
  <c r="V9" i="2"/>
  <c r="W9" i="2" s="1"/>
  <c r="V26" i="2"/>
  <c r="W26" i="2" s="1"/>
  <c r="V17" i="2"/>
  <c r="W17" i="2" s="1"/>
  <c r="V8" i="2"/>
  <c r="W8" i="2" s="1"/>
  <c r="I77" i="2"/>
  <c r="I80" i="2" s="1"/>
  <c r="V32" i="2"/>
  <c r="W32" i="2" s="1"/>
  <c r="V29" i="2"/>
  <c r="W29" i="2" s="1"/>
  <c r="V16" i="2"/>
  <c r="W16" i="2" s="1"/>
  <c r="V28" i="2"/>
  <c r="W28" i="2" s="1"/>
  <c r="V12" i="2"/>
  <c r="W12" i="2" s="1"/>
  <c r="V14" i="2"/>
  <c r="W14" i="2" s="1"/>
  <c r="V10" i="2"/>
  <c r="W10" i="2" s="1"/>
  <c r="V21" i="2"/>
  <c r="W21" i="2" s="1"/>
  <c r="V31" i="2"/>
  <c r="W31" i="2" s="1"/>
  <c r="V20" i="2"/>
  <c r="W20" i="2" s="1"/>
  <c r="V30" i="2"/>
  <c r="W30" i="2" s="1"/>
  <c r="V11" i="2"/>
  <c r="W11" i="2" s="1"/>
  <c r="V24" i="2"/>
  <c r="W24" i="2" s="1"/>
  <c r="I79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<sst xmlns="http://schemas.openxmlformats.org/spreadsheetml/2006/main" count="239" uniqueCount="71">
  <si>
    <t>Posição do alimentador</t>
  </si>
  <si>
    <t>R(Ω)</t>
  </si>
  <si>
    <t>m</t>
  </si>
  <si>
    <t>s(m)</t>
  </si>
  <si>
    <t>r²</t>
  </si>
  <si>
    <t>b</t>
  </si>
  <si>
    <t>s(b)</t>
  </si>
  <si>
    <t>s(y)</t>
  </si>
  <si>
    <t>Resíduos (V)</t>
  </si>
  <si>
    <t>Vs (mV)</t>
  </si>
  <si>
    <t>Vs (V)</t>
  </si>
  <si>
    <t>log(T)</t>
  </si>
  <si>
    <t>Vs ajuste (V)</t>
  </si>
  <si>
    <t>u(R(Ω))</t>
  </si>
  <si>
    <t>P(W)</t>
  </si>
  <si>
    <t>u(P(W))</t>
  </si>
  <si>
    <t>I(A)</t>
  </si>
  <si>
    <t>log (Vs)</t>
  </si>
  <si>
    <t>u(log (Vs))</t>
  </si>
  <si>
    <t>log (Vs) aj</t>
  </si>
  <si>
    <r>
      <t>T</t>
    </r>
    <r>
      <rPr>
        <b/>
        <vertAlign val="superscript"/>
        <sz val="12"/>
        <color theme="1"/>
        <rFont val="Calibri (corpo)"/>
      </rPr>
      <t>4</t>
    </r>
    <r>
      <rPr>
        <b/>
        <sz val="12"/>
        <color theme="1"/>
        <rFont val="Calibri"/>
        <family val="2"/>
        <scheme val="minor"/>
      </rPr>
      <t xml:space="preserve"> (K</t>
    </r>
    <r>
      <rPr>
        <b/>
        <vertAlign val="superscript"/>
        <sz val="12"/>
        <color theme="1"/>
        <rFont val="Calibri (corpo)"/>
      </rPr>
      <t>4</t>
    </r>
    <r>
      <rPr>
        <b/>
        <sz val="12"/>
        <color theme="1"/>
        <rFont val="Calibri (corpo)"/>
      </rPr>
      <t>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</si>
  <si>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metalizada (mV)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</si>
  <si>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metalizada (V)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</si>
  <si>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aj (V)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</si>
  <si>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baça (mV)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</si>
  <si>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baça (V)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</si>
  <si>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branca (mV)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</si>
  <si>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branca (V)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</si>
  <si>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preta (mV)</t>
    </r>
  </si>
  <si>
    <r>
      <t>V</t>
    </r>
    <r>
      <rPr>
        <b/>
        <vertAlign val="subscript"/>
        <sz val="12"/>
        <color theme="1"/>
        <rFont val="Calibri (corpo)"/>
      </rPr>
      <t>S</t>
    </r>
    <r>
      <rPr>
        <b/>
        <sz val="12"/>
        <color theme="1"/>
        <rFont val="Calibri"/>
        <family val="2"/>
        <scheme val="minor"/>
      </rPr>
      <t xml:space="preserve"> preta (V)</t>
    </r>
  </si>
  <si>
    <t>u(Vs(V))</t>
  </si>
  <si>
    <r>
      <rPr>
        <b/>
        <sz val="11"/>
        <color theme="1"/>
        <rFont val="Calibri"/>
        <family val="2"/>
      </rPr>
      <t>ε</t>
    </r>
    <r>
      <rPr>
        <b/>
        <vertAlign val="subscript"/>
        <sz val="11"/>
        <color theme="1"/>
        <rFont val="Calibri"/>
        <family val="2"/>
        <scheme val="minor"/>
      </rPr>
      <t>preta</t>
    </r>
  </si>
  <si>
    <r>
      <rPr>
        <b/>
        <sz val="11"/>
        <color theme="1"/>
        <rFont val="Calibri"/>
        <family val="2"/>
      </rPr>
      <t>ε</t>
    </r>
    <r>
      <rPr>
        <b/>
        <vertAlign val="subscript"/>
        <sz val="11"/>
        <color theme="1"/>
        <rFont val="Calibri"/>
        <family val="2"/>
        <scheme val="minor"/>
      </rPr>
      <t>branca</t>
    </r>
  </si>
  <si>
    <r>
      <rPr>
        <b/>
        <sz val="11"/>
        <color theme="1"/>
        <rFont val="Calibri"/>
        <family val="2"/>
      </rPr>
      <t>ε</t>
    </r>
    <r>
      <rPr>
        <b/>
        <vertAlign val="subscript"/>
        <sz val="11"/>
        <color theme="1"/>
        <rFont val="Calibri"/>
        <family val="2"/>
        <scheme val="minor"/>
      </rPr>
      <t>baça</t>
    </r>
  </si>
  <si>
    <r>
      <rPr>
        <b/>
        <sz val="11"/>
        <color theme="1"/>
        <rFont val="Calibri"/>
        <family val="2"/>
      </rPr>
      <t>ε</t>
    </r>
    <r>
      <rPr>
        <b/>
        <vertAlign val="subscript"/>
        <sz val="11"/>
        <color theme="1"/>
        <rFont val="Calibri"/>
        <family val="2"/>
        <scheme val="minor"/>
      </rPr>
      <t>metalizada</t>
    </r>
  </si>
  <si>
    <r>
      <t>u(R/R</t>
    </r>
    <r>
      <rPr>
        <b/>
        <vertAlign val="subscript"/>
        <sz val="11"/>
        <color theme="1"/>
        <rFont val="Calibri"/>
        <family val="2"/>
        <scheme val="minor"/>
      </rPr>
      <t>amb</t>
    </r>
    <r>
      <rPr>
        <b/>
        <sz val="11"/>
        <color theme="1"/>
        <rFont val="Calibri"/>
        <family val="2"/>
        <scheme val="minor"/>
      </rPr>
      <t>)</t>
    </r>
  </si>
  <si>
    <r>
      <t>R/R</t>
    </r>
    <r>
      <rPr>
        <b/>
        <vertAlign val="subscript"/>
        <sz val="11"/>
        <color theme="1"/>
        <rFont val="Calibri"/>
        <family val="2"/>
        <scheme val="minor"/>
      </rPr>
      <t>amb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</si>
  <si>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amb</t>
    </r>
    <r>
      <rPr>
        <b/>
        <sz val="11"/>
        <color theme="1"/>
        <rFont val="Calibri"/>
        <family val="2"/>
        <scheme val="minor"/>
      </rPr>
      <t xml:space="preserve"> (Ω)</t>
    </r>
  </si>
  <si>
    <r>
      <t>u(R</t>
    </r>
    <r>
      <rPr>
        <b/>
        <vertAlign val="subscript"/>
        <sz val="11"/>
        <color theme="1"/>
        <rFont val="Calibri"/>
        <family val="2"/>
        <scheme val="minor"/>
      </rPr>
      <t>amb</t>
    </r>
    <r>
      <rPr>
        <b/>
        <sz val="11"/>
        <color theme="1"/>
        <rFont val="Calibri"/>
        <family val="2"/>
        <scheme val="minor"/>
      </rPr>
      <t>) (Ω)</t>
    </r>
  </si>
  <si>
    <r>
      <t>u(R</t>
    </r>
    <r>
      <rPr>
        <b/>
        <vertAlign val="subscript"/>
        <sz val="11"/>
        <color theme="1"/>
        <rFont val="Calibri"/>
        <family val="2"/>
        <scheme val="minor"/>
      </rPr>
      <t>amb</t>
    </r>
    <r>
      <rPr>
        <b/>
        <sz val="11"/>
        <color theme="1"/>
        <rFont val="Calibri"/>
        <family val="2"/>
        <scheme val="minor"/>
      </rPr>
      <t>) (%)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</si>
  <si>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teórico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</si>
  <si>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obtido</t>
    </r>
  </si>
  <si>
    <r>
      <t>u(m</t>
    </r>
    <r>
      <rPr>
        <b/>
        <vertAlign val="subscript"/>
        <sz val="11"/>
        <color theme="1"/>
        <rFont val="Calibri"/>
        <family val="2"/>
        <scheme val="minor"/>
      </rPr>
      <t>obtido</t>
    </r>
    <r>
      <rPr>
        <b/>
        <sz val="11"/>
        <color theme="1"/>
        <rFont val="Calibri"/>
        <family val="2"/>
        <scheme val="minor"/>
      </rPr>
      <t>)</t>
    </r>
  </si>
  <si>
    <r>
      <t>u(m</t>
    </r>
    <r>
      <rPr>
        <b/>
        <vertAlign val="subscript"/>
        <sz val="11"/>
        <color theme="1"/>
        <rFont val="Calibri"/>
        <family val="2"/>
        <scheme val="minor"/>
      </rPr>
      <t>obtido</t>
    </r>
    <r>
      <rPr>
        <b/>
        <sz val="11"/>
        <color theme="1"/>
        <rFont val="Calibri"/>
        <family val="2"/>
        <scheme val="minor"/>
      </rPr>
      <t>) (%)</t>
    </r>
  </si>
  <si>
    <t>erro (%)</t>
  </si>
  <si>
    <r>
      <t>V</t>
    </r>
    <r>
      <rPr>
        <b/>
        <sz val="11"/>
        <color theme="1"/>
        <rFont val="Calibri"/>
        <family val="2"/>
      </rPr>
      <t xml:space="preserve"> (V)</t>
    </r>
  </si>
  <si>
    <t>HIGH</t>
  </si>
  <si>
    <t>R(KΩ)</t>
  </si>
  <si>
    <t>Resíduos log (Vs)</t>
  </si>
  <si>
    <t>u(R(kΩ))</t>
  </si>
  <si>
    <r>
      <t>T (°C</t>
    </r>
    <r>
      <rPr>
        <b/>
        <sz val="12"/>
        <color theme="1"/>
        <rFont val="Calibri (corpo)"/>
      </rPr>
      <t>)</t>
    </r>
  </si>
  <si>
    <t>u(I) (A)</t>
  </si>
  <si>
    <t>u(V) (V)</t>
  </si>
  <si>
    <t>resíduos Vs (V)</t>
  </si>
  <si>
    <t>T(K)</t>
  </si>
  <si>
    <t xml:space="preserve">R amb </t>
  </si>
  <si>
    <t>400-700</t>
  </si>
  <si>
    <t>2 mV + 0,001</t>
  </si>
  <si>
    <t>R. Amb</t>
  </si>
  <si>
    <t>V</t>
  </si>
  <si>
    <t>I</t>
  </si>
  <si>
    <t>mV</t>
  </si>
  <si>
    <t>Reg. Lin da R amb</t>
  </si>
  <si>
    <t>Regressão Linear Vs(P)</t>
  </si>
  <si>
    <t>Regressão Linear log(Vs)(log(T))</t>
  </si>
  <si>
    <t>u (Vs) (V)</t>
  </si>
  <si>
    <t>u(log(T))</t>
  </si>
  <si>
    <t>u (T) (K)</t>
  </si>
  <si>
    <t>Com todos os pontos</t>
  </si>
  <si>
    <t>//</t>
  </si>
  <si>
    <t>Com os últimos 5 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</si>
</sst>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"/>
    <numFmt numFmtId="165" formatCode="0.00000"/>
    <numFmt numFmtId="166" formatCode="0.0"/>
    <numFmt numFmtId="167" formatCode="0.000000"/>
    <numFmt numFmtId="168" formatCode="0.0000"/>
    <numFmt numFmtId="169" formatCode="0.000E+00"/>
    <numFmt numFmtId="170" formatCode="0.0E+00"/>
    <numFmt numFmtId="171" formatCode="0E+00"/>
    <numFmt numFmtId="172" formatCode="0.0000000"/>
  </numFmts>
  <fonts count="10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2"/>
      <color theme="1"/>
      <name val="Calibri (corpo)"/>
    </font>
    <font>
      <b/>
      <sz val="12"/>
      <color theme="1"/>
      <name val="Calibri (corpo)"/>
    </font>
    <font>
      <b/>
      <vertAlign val="subscript"/>
      <sz val="12"/>
      <color theme="1"/>
      <name val="Calibri (corpo)"/>
    </font>
    <font>
      <b/>
      <sz val="11"/>
      <color theme="1"/>
      <name val="Calibri"/>
      <family val="2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2" fontId="0" fillId="0" borderId="0" xfId="0" applyNumberFormat="1" applyAlignment="1">
      <alignment horizontal="center" vertical="center"/>
    </xf>
    <xf numFmtId="2" fontId="0" fillId="0" borderId="1" xfId="0" quotePrefix="1" applyNumberFormat="1" applyBorder="1" applyAlignment="1">
      <alignment horizontal="center" vertic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11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71" fontId="0" fillId="0" borderId="0" xfId="0" applyNumberFormat="1" applyAlignment="1">
      <alignment horizontal="center" vertical="center"/>
    </xf>
    <xf numFmtId="171" fontId="0" fillId="0" borderId="0" xfId="0" applyNumberFormat="1"/>
    <xf numFmtId="16" fontId="0" fillId="0" borderId="0" xfId="0" applyNumberFormat="1"/>
    <xf numFmtId="2" fontId="0" fillId="0" borderId="0" xfId="0" applyNumberFormat="1"/>
    <xf numFmtId="166" fontId="0" fillId="0" borderId="0" xfId="0" applyNumberFormat="1"/>
    <xf numFmtId="11" fontId="0" fillId="0" borderId="1" xfId="0" applyNumberFormat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/>
    </xf>
    <xf numFmtId="11" fontId="2" fillId="2" borderId="1" xfId="0" applyNumberFormat="1" applyFont="1" applyFill="1" applyBorder="1" applyAlignment="1">
      <alignment horizontal="center" vertical="center"/>
    </xf>
    <xf numFmtId="171" fontId="2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3907671536573"/>
          <c:y val="5.0603529496569141E-2"/>
          <c:w val="0.8108431525031502"/>
          <c:h val="0.78157425764113497"/>
        </c:manualLayout>
      </c:layout>
      <c:scatterChart>
        <c:scatterStyle val="lineMarker"/>
        <c:varyColors val="0"/>
        <c:ser>
          <c:idx val="0"/>
          <c:order val="0"/>
          <c:tx>
            <c:v>F. Preta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'Parte 1'!$F$11:$F$15</c:f>
              <c:numCache>
                <c:formatCode>0.00E+00</c:formatCode>
                <c:ptCount val="5"/>
                <c:pt idx="0">
                  <c:v>12885303204.527393</c:v>
                </c:pt>
                <c:pt idx="1">
                  <c:v>29136073791.591</c:v>
                </c:pt>
                <c:pt idx="2">
                  <c:v>29136073791.591</c:v>
                </c:pt>
                <c:pt idx="3">
                  <c:v>49401775789.335495</c:v>
                </c:pt>
                <c:pt idx="4">
                  <c:v>21831543736.237297</c:v>
                </c:pt>
              </c:numCache>
            </c:numRef>
          </c:xVal>
          <c:yVal>
            <c:numRef>
              <c:f>'Parte 1'!$H$11:$H$15</c:f>
              <c:numCache>
                <c:formatCode>0.00E+00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1.175E-2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3E-5843-8AAE-7954534DC3CD}"/>
            </c:ext>
          </c:extLst>
        </c:ser>
        <c:ser>
          <c:idx val="4"/>
          <c:order val="1"/>
          <c:tx>
            <c:v>F. Preta aj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'Parte 1'!$F$11:$F$15</c:f>
              <c:numCache>
                <c:formatCode>0.00E+00</c:formatCode>
                <c:ptCount val="5"/>
                <c:pt idx="0">
                  <c:v>12885303204.527393</c:v>
                </c:pt>
                <c:pt idx="1">
                  <c:v>29136073791.591</c:v>
                </c:pt>
                <c:pt idx="2">
                  <c:v>29136073791.591</c:v>
                </c:pt>
                <c:pt idx="3">
                  <c:v>49401775789.335495</c:v>
                </c:pt>
                <c:pt idx="4">
                  <c:v>21831543736.237297</c:v>
                </c:pt>
              </c:numCache>
            </c:numRef>
          </c:xVal>
          <c:yVal>
            <c:numRef>
              <c:f>'Parte 1'!$I$11:$I$15</c:f>
              <c:numCache>
                <c:formatCode>0.00E+00</c:formatCode>
                <c:ptCount val="5"/>
                <c:pt idx="0">
                  <c:v>4.0274133529912236E-3</c:v>
                </c:pt>
                <c:pt idx="1">
                  <c:v>2.2792237610330347E-3</c:v>
                </c:pt>
                <c:pt idx="2">
                  <c:v>2.2792237610330347E-3</c:v>
                </c:pt>
                <c:pt idx="3">
                  <c:v>9.9124724105775254E-5</c:v>
                </c:pt>
                <c:pt idx="4">
                  <c:v>3.0650144008369348E-3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B3E-5843-8AAE-7954534DC3CD}"/>
            </c:ext>
          </c:extLst>
        </c:ser>
        <c:ser>
          <c:idx val="1"/>
          <c:order val="2"/>
          <c:tx>
            <c:v>F. branca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'Parte 1'!$F$20:$F$24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29136073791.591</c:v>
                </c:pt>
                <c:pt idx="3">
                  <c:v>49401775789.335495</c:v>
                </c:pt>
                <c:pt idx="4">
                  <c:v>21850313923.634293</c:v>
                </c:pt>
              </c:numCache>
            </c:numRef>
          </c:xVal>
          <c:yVal>
            <c:numRef>
              <c:f>'Parte 1'!$H$20:$H$24</c:f>
              <c:numCache>
                <c:formatCode>0.00E+00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1.1476000000000002E-2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3E-5843-8AAE-7954534DC3CD}"/>
            </c:ext>
          </c:extLst>
        </c:ser>
        <c:ser>
          <c:idx val="5"/>
          <c:order val="3"/>
          <c:tx>
            <c:v>F. Branca aj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1'!$F$20:$F$24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29136073791.591</c:v>
                </c:pt>
                <c:pt idx="3">
                  <c:v>49401775789.335495</c:v>
                </c:pt>
                <c:pt idx="4">
                  <c:v>21850313923.634293</c:v>
                </c:pt>
              </c:numCache>
            </c:numRef>
          </c:xVal>
          <c:yVal>
            <c:numRef>
              <c:f>'Parte 1'!$I$20:$I$24</c:f>
              <c:numCache>
                <c:formatCode>0.00E+00</c:formatCode>
                <c:ptCount val="5"/>
                <c:pt idx="0">
                  <c:v>2.9796986346098163E-3</c:v>
                </c:pt>
                <c:pt idx="1">
                  <c:v>2.9796986346098163E-3</c:v>
                </c:pt>
                <c:pt idx="2">
                  <c:v>2.9796986346098163E-3</c:v>
                </c:pt>
                <c:pt idx="3">
                  <c:v>-2.3638711626047908E-3</c:v>
                </c:pt>
                <c:pt idx="4">
                  <c:v>4.9007752587753514E-3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B3E-5843-8AAE-7954534DC3CD}"/>
            </c:ext>
          </c:extLst>
        </c:ser>
        <c:ser>
          <c:idx val="2"/>
          <c:order val="4"/>
          <c:tx>
            <c:v>F. Baça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xVal>
            <c:numRef>
              <c:f>'Parte 1'!$F$29:$F$33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49401775789.335495</c:v>
                </c:pt>
                <c:pt idx="3">
                  <c:v>49401775789.335495</c:v>
                </c:pt>
                <c:pt idx="4">
                  <c:v>21907058096.008751</c:v>
                </c:pt>
              </c:numCache>
            </c:numRef>
          </c:xVal>
          <c:yVal>
            <c:numRef>
              <c:f>'Parte 1'!$H$29:$H$33</c:f>
              <c:numCache>
                <c:formatCode>0.00E+00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5.1370000000000001E-3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B3E-5843-8AAE-7954534DC3CD}"/>
            </c:ext>
          </c:extLst>
        </c:ser>
        <c:ser>
          <c:idx val="6"/>
          <c:order val="5"/>
          <c:tx>
            <c:v>F. Baça aj</c:v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'Parte 1'!$F$29:$F$33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49401775789.335495</c:v>
                </c:pt>
                <c:pt idx="3">
                  <c:v>49401775789.335495</c:v>
                </c:pt>
                <c:pt idx="4">
                  <c:v>21907058096.008751</c:v>
                </c:pt>
              </c:numCache>
            </c:numRef>
          </c:xVal>
          <c:yVal>
            <c:numRef>
              <c:f>'Parte 1'!$I$29:$I$33</c:f>
              <c:numCache>
                <c:formatCode>0.00E+00</c:formatCode>
                <c:ptCount val="5"/>
                <c:pt idx="0">
                  <c:v>1.7564481320568011E-3</c:v>
                </c:pt>
                <c:pt idx="1">
                  <c:v>1.7564481320568011E-3</c:v>
                </c:pt>
                <c:pt idx="2">
                  <c:v>-4.6181201992106981E-4</c:v>
                </c:pt>
                <c:pt idx="3">
                  <c:v>-4.6181201992106981E-4</c:v>
                </c:pt>
                <c:pt idx="4">
                  <c:v>2.5477277757285292E-3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B3E-5843-8AAE-7954534DC3CD}"/>
            </c:ext>
          </c:extLst>
        </c:ser>
        <c:ser>
          <c:idx val="3"/>
          <c:order val="6"/>
          <c:tx>
            <c:v>F. Metalizada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'Parte 1'!$F$38:$F$42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49401775789.335495</c:v>
                </c:pt>
                <c:pt idx="3">
                  <c:v>49401775789.335495</c:v>
                </c:pt>
                <c:pt idx="4">
                  <c:v>21983749917.971371</c:v>
                </c:pt>
              </c:numCache>
            </c:numRef>
          </c:xVal>
          <c:yVal>
            <c:numRef>
              <c:f>'Parte 1'!$H$38:$H$42</c:f>
              <c:numCache>
                <c:formatCode>0.00E+00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1.753E-3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B3E-5843-8AAE-7954534DC3CD}"/>
            </c:ext>
          </c:extLst>
        </c:ser>
        <c:ser>
          <c:idx val="7"/>
          <c:order val="7"/>
          <c:tx>
            <c:v>F. Metalizada aj</c:v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'Parte 1'!$F$38:$F$42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49401775789.335495</c:v>
                </c:pt>
                <c:pt idx="3">
                  <c:v>49401775789.335495</c:v>
                </c:pt>
                <c:pt idx="4">
                  <c:v>21983749917.971371</c:v>
                </c:pt>
              </c:numCache>
            </c:numRef>
          </c:xVal>
          <c:yVal>
            <c:numRef>
              <c:f>'Parte 1'!$I$38:$I$42</c:f>
              <c:numCache>
                <c:formatCode>0.00E+00</c:formatCode>
                <c:ptCount val="5"/>
                <c:pt idx="0">
                  <c:v>5.9967117793747831E-4</c:v>
                </c:pt>
                <c:pt idx="1">
                  <c:v>5.9967117793747831E-4</c:v>
                </c:pt>
                <c:pt idx="2">
                  <c:v>-1.5643148425078233E-4</c:v>
                </c:pt>
                <c:pt idx="3">
                  <c:v>-1.5643148425078233E-4</c:v>
                </c:pt>
                <c:pt idx="4">
                  <c:v>8.6652061262660653E-4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EB3E-5843-8AAE-7954534D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586783"/>
        <c:axId val="406588415"/>
      </c:scatterChart>
      <c:valAx>
        <c:axId val="406586783"/>
        <c:scaling>
          <c:orientation val="minMax"/>
          <c:min val="13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</a:t>
                </a:r>
                <a:r>
                  <a:rPr lang="pt-PT" baseline="30000"/>
                  <a:t>4</a:t>
                </a:r>
                <a:r>
                  <a:rPr lang="pt-PT"/>
                  <a:t> (K</a:t>
                </a:r>
                <a:r>
                  <a:rPr lang="pt-PT" baseline="30000"/>
                  <a:t>4</a:t>
                </a:r>
                <a:r>
                  <a:rPr lang="pt-PT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88415"/>
        <c:crossesAt val="-90"/>
        <c:crossBetween val="midCat"/>
        <c:majorUnit val="1000000000"/>
      </c:valAx>
      <c:valAx>
        <c:axId val="406588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</a:t>
                </a:r>
                <a:r>
                  <a:rPr lang="pt-PT" baseline="-25000"/>
                  <a:t>S </a:t>
                </a:r>
                <a:r>
                  <a:rPr lang="pt-PT"/>
                  <a:t>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586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900523926361346"/>
          <c:y val="6.1093373602272322E-2"/>
          <c:w val="0.16709326880128506"/>
          <c:h val="0.4795363703025338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35494264643704"/>
          <c:y val="5.6121565591512178E-2"/>
          <c:w val="0.75895954666921273"/>
          <c:h val="0.80266118245567919"/>
        </c:manualLayout>
      </c:layout>
      <c:scatterChart>
        <c:scatterStyle val="lineMarker"/>
        <c:varyColors val="0"/>
        <c:ser>
          <c:idx val="0"/>
          <c:order val="0"/>
          <c:tx>
            <c:v>Res. Preta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1'!$F$11:$F$15</c:f>
              <c:numCache>
                <c:formatCode>0.00E+00</c:formatCode>
                <c:ptCount val="5"/>
                <c:pt idx="0">
                  <c:v>12885303204.527393</c:v>
                </c:pt>
                <c:pt idx="1">
                  <c:v>29136073791.591</c:v>
                </c:pt>
                <c:pt idx="2">
                  <c:v>29136073791.591</c:v>
                </c:pt>
                <c:pt idx="3">
                  <c:v>49401775789.335495</c:v>
                </c:pt>
                <c:pt idx="4">
                  <c:v>21831543736.237297</c:v>
                </c:pt>
              </c:numCache>
            </c:numRef>
          </c:xVal>
          <c:yVal>
            <c:numRef>
              <c:f>'Parte 1'!$J$11:$J$15</c:f>
              <c:numCache>
                <c:formatCode>0E+00</c:formatCode>
                <c:ptCount val="5"/>
                <c:pt idx="0">
                  <c:v>4.0274133529912236E-3</c:v>
                </c:pt>
                <c:pt idx="1">
                  <c:v>2.2792237610330347E-3</c:v>
                </c:pt>
                <c:pt idx="2">
                  <c:v>2.2792237610330347E-3</c:v>
                </c:pt>
                <c:pt idx="3">
                  <c:v>9.9124724105775254E-5</c:v>
                </c:pt>
                <c:pt idx="4">
                  <c:v>-8.6849855991630656E-3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ED-D040-BDC8-C0F2184329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227695"/>
        <c:axId val="1386412111"/>
      </c:scatterChart>
      <c:valAx>
        <c:axId val="1258227695"/>
        <c:scaling>
          <c:orientation val="minMax"/>
          <c:max val="18000000000"/>
          <c:min val="13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0" i="0" baseline="0">
                    <a:effectLst/>
                  </a:rPr>
                  <a:t>T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 (K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)</a:t>
                </a:r>
                <a:endParaRPr lang="pt-PT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412111"/>
        <c:crossesAt val="-90"/>
        <c:crossBetween val="midCat"/>
        <c:majorUnit val="1000000000"/>
      </c:valAx>
      <c:valAx>
        <c:axId val="138641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</a:t>
                </a:r>
                <a:r>
                  <a:rPr lang="pt-PT" baseline="0"/>
                  <a:t> (V)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227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37679816770753"/>
          <c:y val="7.9537535751394259E-2"/>
          <c:w val="0.13874258343352078"/>
          <c:h val="7.3563549901715888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81055711995773"/>
          <c:y val="4.9893266980407337E-2"/>
          <c:w val="0.76818818915578646"/>
          <c:h val="0.79874815878962013"/>
        </c:manualLayout>
      </c:layout>
      <c:scatterChart>
        <c:scatterStyle val="lineMarker"/>
        <c:varyColors val="0"/>
        <c:ser>
          <c:idx val="0"/>
          <c:order val="0"/>
          <c:tx>
            <c:v>Res. Branca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'Parte 1'!$F$20:$F$24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29136073791.591</c:v>
                </c:pt>
                <c:pt idx="3">
                  <c:v>49401775789.335495</c:v>
                </c:pt>
                <c:pt idx="4">
                  <c:v>21850313923.634293</c:v>
                </c:pt>
              </c:numCache>
            </c:numRef>
          </c:xVal>
          <c:yVal>
            <c:numRef>
              <c:f>'Parte 1'!$J$20:$J$24</c:f>
              <c:numCache>
                <c:formatCode>0E+00</c:formatCode>
                <c:ptCount val="5"/>
                <c:pt idx="0">
                  <c:v>2.9796986346098163E-3</c:v>
                </c:pt>
                <c:pt idx="1">
                  <c:v>2.9796986346098163E-3</c:v>
                </c:pt>
                <c:pt idx="2">
                  <c:v>2.9796986346098163E-3</c:v>
                </c:pt>
                <c:pt idx="3">
                  <c:v>-2.3638711626047908E-3</c:v>
                </c:pt>
                <c:pt idx="4">
                  <c:v>-6.5752247412246504E-3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66-F146-884C-0C375368C2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153167"/>
        <c:axId val="1516991663"/>
      </c:scatterChart>
      <c:valAx>
        <c:axId val="1513153167"/>
        <c:scaling>
          <c:orientation val="minMax"/>
          <c:min val="13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0" i="0" baseline="0">
                    <a:effectLst/>
                  </a:rPr>
                  <a:t>T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 (K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)</a:t>
                </a:r>
                <a:endParaRPr lang="pt-PT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991663"/>
        <c:crossesAt val="-90"/>
        <c:crossBetween val="midCat"/>
        <c:majorUnit val="1000000000"/>
      </c:valAx>
      <c:valAx>
        <c:axId val="151699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53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85368329871548"/>
          <c:y val="0.76033683276199793"/>
          <c:w val="0.15130193316729443"/>
          <c:h val="7.4958602595765061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81055711995773"/>
          <c:y val="4.9893266980407337E-2"/>
          <c:w val="0.76818818915578646"/>
          <c:h val="0.79874815878962013"/>
        </c:manualLayout>
      </c:layout>
      <c:scatterChart>
        <c:scatterStyle val="lineMarker"/>
        <c:varyColors val="0"/>
        <c:ser>
          <c:idx val="1"/>
          <c:order val="0"/>
          <c:tx>
            <c:v>Res. Baça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xVal>
            <c:numRef>
              <c:f>'Parte 1'!$F$29:$F$33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49401775789.335495</c:v>
                </c:pt>
                <c:pt idx="3">
                  <c:v>49401775789.335495</c:v>
                </c:pt>
                <c:pt idx="4">
                  <c:v>21907058096.008751</c:v>
                </c:pt>
              </c:numCache>
            </c:numRef>
          </c:xVal>
          <c:yVal>
            <c:numRef>
              <c:f>'Parte 1'!$J$29:$J$33</c:f>
              <c:numCache>
                <c:formatCode>0E+00</c:formatCode>
                <c:ptCount val="5"/>
                <c:pt idx="0">
                  <c:v>1.7564481320568011E-3</c:v>
                </c:pt>
                <c:pt idx="1">
                  <c:v>1.7564481320568011E-3</c:v>
                </c:pt>
                <c:pt idx="2">
                  <c:v>-4.6181201992106981E-4</c:v>
                </c:pt>
                <c:pt idx="3">
                  <c:v>-4.6181201992106981E-4</c:v>
                </c:pt>
                <c:pt idx="4">
                  <c:v>-2.5892722242714709E-3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FBA-7F4D-B360-5CB748982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153167"/>
        <c:axId val="1516991663"/>
      </c:scatterChart>
      <c:valAx>
        <c:axId val="1513153167"/>
        <c:scaling>
          <c:orientation val="minMax"/>
          <c:max val="18000000000"/>
          <c:min val="13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0" i="0" baseline="0">
                    <a:effectLst/>
                  </a:rPr>
                  <a:t>T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 (K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)</a:t>
                </a:r>
                <a:endParaRPr lang="pt-PT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991663"/>
        <c:crossesAt val="-90"/>
        <c:crossBetween val="midCat"/>
        <c:majorUnit val="1000000000"/>
      </c:valAx>
      <c:valAx>
        <c:axId val="151699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5316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2887432331747681"/>
          <c:y val="0.7429592848396861"/>
          <c:w val="0.16578675610438653"/>
          <c:h val="7.7922569147678714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481055711995773"/>
          <c:y val="4.9893266980407337E-2"/>
          <c:w val="0.76818818915578646"/>
          <c:h val="0.79874815878962013"/>
        </c:manualLayout>
      </c:layout>
      <c:scatterChart>
        <c:scatterStyle val="lineMarker"/>
        <c:varyColors val="0"/>
        <c:ser>
          <c:idx val="2"/>
          <c:order val="0"/>
          <c:tx>
            <c:v>Res. Metalizada</c:v>
          </c:tx>
          <c:spPr>
            <a:ln w="19050">
              <a:noFill/>
            </a:ln>
          </c:spPr>
          <c:marker>
            <c:symbol val="circle"/>
            <c:size val="3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'Parte 1'!$F$38:$F$42</c:f>
              <c:numCache>
                <c:formatCode>0.00E+00</c:formatCode>
                <c:ptCount val="5"/>
                <c:pt idx="0">
                  <c:v>29136073791.591</c:v>
                </c:pt>
                <c:pt idx="1">
                  <c:v>29136073791.591</c:v>
                </c:pt>
                <c:pt idx="2">
                  <c:v>49401775789.335495</c:v>
                </c:pt>
                <c:pt idx="3">
                  <c:v>49401775789.335495</c:v>
                </c:pt>
                <c:pt idx="4">
                  <c:v>21983749917.971371</c:v>
                </c:pt>
              </c:numCache>
            </c:numRef>
          </c:xVal>
          <c:yVal>
            <c:numRef>
              <c:f>'Parte 1'!$J$38:$J$42</c:f>
              <c:numCache>
                <c:formatCode>0E+00</c:formatCode>
                <c:ptCount val="5"/>
                <c:pt idx="0">
                  <c:v>5.9967117793747831E-4</c:v>
                </c:pt>
                <c:pt idx="1">
                  <c:v>5.9967117793747831E-4</c:v>
                </c:pt>
                <c:pt idx="2">
                  <c:v>-1.5643148425078233E-4</c:v>
                </c:pt>
                <c:pt idx="3">
                  <c:v>-1.5643148425078233E-4</c:v>
                </c:pt>
                <c:pt idx="4">
                  <c:v>-8.8647938737339347E-4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C1B-5C4B-B86E-8274C59B2A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153167"/>
        <c:axId val="1516991663"/>
      </c:scatterChart>
      <c:valAx>
        <c:axId val="1513153167"/>
        <c:scaling>
          <c:orientation val="minMax"/>
          <c:max val="18000000000"/>
          <c:min val="13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50" b="0" i="0" baseline="0">
                    <a:effectLst/>
                  </a:rPr>
                  <a:t>T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 (K</a:t>
                </a:r>
                <a:r>
                  <a:rPr lang="pt-PT" sz="1050" b="0" i="0" baseline="30000">
                    <a:effectLst/>
                  </a:rPr>
                  <a:t>4</a:t>
                </a:r>
                <a:r>
                  <a:rPr lang="pt-PT" sz="1050" b="0" i="0" baseline="0">
                    <a:effectLst/>
                  </a:rPr>
                  <a:t>)</a:t>
                </a:r>
                <a:endParaRPr lang="pt-PT" sz="105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991663"/>
        <c:crossesAt val="-90"/>
        <c:crossBetween val="midCat"/>
        <c:majorUnit val="1000000000"/>
      </c:valAx>
      <c:valAx>
        <c:axId val="151699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Resíduos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153167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9103796724239919"/>
          <c:y val="9.3367444639341865E-2"/>
          <c:w val="0.20930702277954055"/>
          <c:h val="7.7922569147678714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V</a:t>
            </a:r>
            <a:r>
              <a:rPr lang="pt-PT" sz="1800" b="0" i="0" baseline="-25000">
                <a:effectLst/>
              </a:rPr>
              <a:t>S</a:t>
            </a:r>
            <a:r>
              <a:rPr lang="pt-PT" sz="1800" b="0" i="0" baseline="0">
                <a:effectLst/>
              </a:rPr>
              <a:t>(P) - Regressão Linear 1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46853427801949"/>
          <c:y val="0.1559400517843974"/>
          <c:w val="0.77627513584282959"/>
          <c:h val="0.65963053198384647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'Parte 2'!$N$7:$N$32</c:f>
                <c:numCache>
                  <c:formatCode>General</c:formatCode>
                  <c:ptCount val="26"/>
                  <c:pt idx="0">
                    <c:v>1.3140000000000002E-2</c:v>
                  </c:pt>
                  <c:pt idx="1">
                    <c:v>1.507E-2</c:v>
                  </c:pt>
                  <c:pt idx="2">
                    <c:v>1.8010000000000002E-2</c:v>
                  </c:pt>
                  <c:pt idx="3">
                    <c:v>2.0480000000000002E-2</c:v>
                  </c:pt>
                  <c:pt idx="4">
                    <c:v>2.5219999999999996E-2</c:v>
                  </c:pt>
                  <c:pt idx="5">
                    <c:v>3.1040000000000002E-2</c:v>
                  </c:pt>
                  <c:pt idx="6">
                    <c:v>3.5499999999999997E-2</c:v>
                  </c:pt>
                  <c:pt idx="7">
                    <c:v>4.1200000000000001E-2</c:v>
                  </c:pt>
                  <c:pt idx="8">
                    <c:v>4.6299999999999994E-2</c:v>
                  </c:pt>
                  <c:pt idx="9">
                    <c:v>5.0500000000000003E-2</c:v>
                  </c:pt>
                  <c:pt idx="10">
                    <c:v>5.5599999999999997E-2</c:v>
                  </c:pt>
                  <c:pt idx="11">
                    <c:v>6.0899999999999996E-2</c:v>
                  </c:pt>
                  <c:pt idx="12">
                    <c:v>6.6449999999999995E-2</c:v>
                  </c:pt>
                  <c:pt idx="13">
                    <c:v>7.0349999999999996E-2</c:v>
                  </c:pt>
                  <c:pt idx="14">
                    <c:v>7.51E-2</c:v>
                  </c:pt>
                  <c:pt idx="15">
                    <c:v>0.08</c:v>
                  </c:pt>
                  <c:pt idx="16">
                    <c:v>8.48E-2</c:v>
                  </c:pt>
                  <c:pt idx="17">
                    <c:v>8.7800000000000003E-2</c:v>
                  </c:pt>
                  <c:pt idx="18">
                    <c:v>9.0399999999999994E-2</c:v>
                  </c:pt>
                  <c:pt idx="19">
                    <c:v>9.2899999999999996E-2</c:v>
                  </c:pt>
                  <c:pt idx="20">
                    <c:v>9.4550000000000009E-2</c:v>
                  </c:pt>
                  <c:pt idx="21">
                    <c:v>0.1003</c:v>
                  </c:pt>
                  <c:pt idx="22">
                    <c:v>0.10529999999999999</c:v>
                  </c:pt>
                  <c:pt idx="23">
                    <c:v>0.11</c:v>
                  </c:pt>
                  <c:pt idx="24">
                    <c:v>0.11410000000000001</c:v>
                  </c:pt>
                  <c:pt idx="25">
                    <c:v>0.11960000000000001</c:v>
                  </c:pt>
                </c:numCache>
              </c:numRef>
            </c:plus>
            <c:minus>
              <c:numRef>
                <c:f>'Parte 2'!$N$7:$N$32</c:f>
                <c:numCache>
                  <c:formatCode>General</c:formatCode>
                  <c:ptCount val="26"/>
                  <c:pt idx="0">
                    <c:v>1.3140000000000002E-2</c:v>
                  </c:pt>
                  <c:pt idx="1">
                    <c:v>1.507E-2</c:v>
                  </c:pt>
                  <c:pt idx="2">
                    <c:v>1.8010000000000002E-2</c:v>
                  </c:pt>
                  <c:pt idx="3">
                    <c:v>2.0480000000000002E-2</c:v>
                  </c:pt>
                  <c:pt idx="4">
                    <c:v>2.5219999999999996E-2</c:v>
                  </c:pt>
                  <c:pt idx="5">
                    <c:v>3.1040000000000002E-2</c:v>
                  </c:pt>
                  <c:pt idx="6">
                    <c:v>3.5499999999999997E-2</c:v>
                  </c:pt>
                  <c:pt idx="7">
                    <c:v>4.1200000000000001E-2</c:v>
                  </c:pt>
                  <c:pt idx="8">
                    <c:v>4.6299999999999994E-2</c:v>
                  </c:pt>
                  <c:pt idx="9">
                    <c:v>5.0500000000000003E-2</c:v>
                  </c:pt>
                  <c:pt idx="10">
                    <c:v>5.5599999999999997E-2</c:v>
                  </c:pt>
                  <c:pt idx="11">
                    <c:v>6.0899999999999996E-2</c:v>
                  </c:pt>
                  <c:pt idx="12">
                    <c:v>6.6449999999999995E-2</c:v>
                  </c:pt>
                  <c:pt idx="13">
                    <c:v>7.0349999999999996E-2</c:v>
                  </c:pt>
                  <c:pt idx="14">
                    <c:v>7.51E-2</c:v>
                  </c:pt>
                  <c:pt idx="15">
                    <c:v>0.08</c:v>
                  </c:pt>
                  <c:pt idx="16">
                    <c:v>8.48E-2</c:v>
                  </c:pt>
                  <c:pt idx="17">
                    <c:v>8.7800000000000003E-2</c:v>
                  </c:pt>
                  <c:pt idx="18">
                    <c:v>9.0399999999999994E-2</c:v>
                  </c:pt>
                  <c:pt idx="19">
                    <c:v>9.2899999999999996E-2</c:v>
                  </c:pt>
                  <c:pt idx="20">
                    <c:v>9.4550000000000009E-2</c:v>
                  </c:pt>
                  <c:pt idx="21">
                    <c:v>0.1003</c:v>
                  </c:pt>
                  <c:pt idx="22">
                    <c:v>0.10529999999999999</c:v>
                  </c:pt>
                  <c:pt idx="23">
                    <c:v>0.11</c:v>
                  </c:pt>
                  <c:pt idx="24">
                    <c:v>0.11410000000000001</c:v>
                  </c:pt>
                  <c:pt idx="25">
                    <c:v>0.11960000000000001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'Parte 2'!$G$3</c:f>
                <c:numCache>
                  <c:formatCode>General</c:formatCode>
                  <c:ptCount val="1"/>
                  <c:pt idx="0">
                    <c:v>9.9999999999999995E-7</c:v>
                  </c:pt>
                </c:numCache>
              </c:numRef>
            </c:plus>
            <c:minus>
              <c:numRef>
                <c:f>'Parte 2'!$G$3</c:f>
                <c:numCache>
                  <c:formatCode>General</c:formatCode>
                  <c:ptCount val="1"/>
                  <c:pt idx="0">
                    <c:v>9.9999999999999995E-7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'Parte 2'!$M$7:$M$32</c:f>
              <c:numCache>
                <c:formatCode>0.000</c:formatCode>
                <c:ptCount val="26"/>
                <c:pt idx="0" formatCode="0.00">
                  <c:v>0.83439000000000008</c:v>
                </c:pt>
                <c:pt idx="1">
                  <c:v>1.00969</c:v>
                </c:pt>
                <c:pt idx="2" formatCode="0.00">
                  <c:v>1.2967199999999999</c:v>
                </c:pt>
                <c:pt idx="3">
                  <c:v>1.5462400000000001</c:v>
                </c:pt>
                <c:pt idx="4">
                  <c:v>2.0932599999999999</c:v>
                </c:pt>
                <c:pt idx="5">
                  <c:v>2.7936000000000001</c:v>
                </c:pt>
                <c:pt idx="6">
                  <c:v>3.4079999999999999</c:v>
                </c:pt>
                <c:pt idx="7">
                  <c:v>4.2848000000000006</c:v>
                </c:pt>
                <c:pt idx="8">
                  <c:v>5.0467000000000004</c:v>
                </c:pt>
                <c:pt idx="9">
                  <c:v>5.7317499999999999</c:v>
                </c:pt>
                <c:pt idx="10">
                  <c:v>6.6163999999999996</c:v>
                </c:pt>
                <c:pt idx="11">
                  <c:v>7.5515999999999996</c:v>
                </c:pt>
                <c:pt idx="12">
                  <c:v>8.6385000000000005</c:v>
                </c:pt>
                <c:pt idx="13">
                  <c:v>9.3917249999999992</c:v>
                </c:pt>
                <c:pt idx="14">
                  <c:v>10.32625</c:v>
                </c:pt>
                <c:pt idx="15">
                  <c:v>11.36</c:v>
                </c:pt>
                <c:pt idx="16">
                  <c:v>12.380800000000001</c:v>
                </c:pt>
                <c:pt idx="17" formatCode="0.00">
                  <c:v>13.082199999999998</c:v>
                </c:pt>
                <c:pt idx="18">
                  <c:v>13.695599999999997</c:v>
                </c:pt>
                <c:pt idx="19" formatCode="0.00">
                  <c:v>14.213699999999999</c:v>
                </c:pt>
                <c:pt idx="20">
                  <c:v>14.560700000000001</c:v>
                </c:pt>
                <c:pt idx="21">
                  <c:v>15.947699999999999</c:v>
                </c:pt>
                <c:pt idx="22">
                  <c:v>17.163899999999998</c:v>
                </c:pt>
                <c:pt idx="23">
                  <c:v>18.369999999999997</c:v>
                </c:pt>
                <c:pt idx="24">
                  <c:v>19.396999999999998</c:v>
                </c:pt>
                <c:pt idx="25" formatCode="0.00">
                  <c:v>20.810400000000001</c:v>
                </c:pt>
              </c:numCache>
            </c:numRef>
          </c:xVal>
          <c:yVal>
            <c:numRef>
              <c:f>'Parte 2'!$F$7:$F$32</c:f>
              <c:numCache>
                <c:formatCode>0.000000</c:formatCode>
                <c:ptCount val="26"/>
                <c:pt idx="0">
                  <c:v>1.4999999999999999E-4</c:v>
                </c:pt>
                <c:pt idx="1">
                  <c:v>1.9000000000000001E-4</c:v>
                </c:pt>
                <c:pt idx="2">
                  <c:v>1.6000000000000001E-4</c:v>
                </c:pt>
                <c:pt idx="3">
                  <c:v>2.5300000000000002E-4</c:v>
                </c:pt>
                <c:pt idx="4">
                  <c:v>4.2999999999999999E-4</c:v>
                </c:pt>
                <c:pt idx="5">
                  <c:v>8.4800000000000001E-4</c:v>
                </c:pt>
                <c:pt idx="6">
                  <c:v>9.6400000000000001E-4</c:v>
                </c:pt>
                <c:pt idx="7">
                  <c:v>1.2099999999999999E-3</c:v>
                </c:pt>
                <c:pt idx="8">
                  <c:v>1.7060000000000001E-3</c:v>
                </c:pt>
                <c:pt idx="9">
                  <c:v>2.1219999999999998E-3</c:v>
                </c:pt>
                <c:pt idx="10">
                  <c:v>2.6099999999999999E-3</c:v>
                </c:pt>
                <c:pt idx="11">
                  <c:v>3.1070000000000004E-3</c:v>
                </c:pt>
                <c:pt idx="12">
                  <c:v>3.7060000000000001E-3</c:v>
                </c:pt>
                <c:pt idx="13">
                  <c:v>4.2529999999999998E-3</c:v>
                </c:pt>
                <c:pt idx="14">
                  <c:v>4.7949999999999998E-3</c:v>
                </c:pt>
                <c:pt idx="15">
                  <c:v>5.398E-3</c:v>
                </c:pt>
                <c:pt idx="16">
                  <c:v>5.9850000000000007E-3</c:v>
                </c:pt>
                <c:pt idx="17">
                  <c:v>6.2300000000000003E-3</c:v>
                </c:pt>
                <c:pt idx="18">
                  <c:v>6.5000000000000006E-3</c:v>
                </c:pt>
                <c:pt idx="19">
                  <c:v>6.7800000000000004E-3</c:v>
                </c:pt>
                <c:pt idx="20">
                  <c:v>7.2270000000000008E-3</c:v>
                </c:pt>
                <c:pt idx="21">
                  <c:v>8.0500000000000016E-3</c:v>
                </c:pt>
                <c:pt idx="22">
                  <c:v>8.7690000000000008E-3</c:v>
                </c:pt>
                <c:pt idx="23">
                  <c:v>9.3699999999999999E-3</c:v>
                </c:pt>
                <c:pt idx="24">
                  <c:v>1.0060000000000001E-2</c:v>
                </c:pt>
                <c:pt idx="25">
                  <c:v>1.0840000000000001E-2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B2-2541-866F-361AC77D759E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2'!$M$7:$M$32</c:f>
              <c:numCache>
                <c:formatCode>0.000</c:formatCode>
                <c:ptCount val="26"/>
                <c:pt idx="0" formatCode="0.00">
                  <c:v>0.83439000000000008</c:v>
                </c:pt>
                <c:pt idx="1">
                  <c:v>1.00969</c:v>
                </c:pt>
                <c:pt idx="2" formatCode="0.00">
                  <c:v>1.2967199999999999</c:v>
                </c:pt>
                <c:pt idx="3">
                  <c:v>1.5462400000000001</c:v>
                </c:pt>
                <c:pt idx="4">
                  <c:v>2.0932599999999999</c:v>
                </c:pt>
                <c:pt idx="5">
                  <c:v>2.7936000000000001</c:v>
                </c:pt>
                <c:pt idx="6">
                  <c:v>3.4079999999999999</c:v>
                </c:pt>
                <c:pt idx="7">
                  <c:v>4.2848000000000006</c:v>
                </c:pt>
                <c:pt idx="8">
                  <c:v>5.0467000000000004</c:v>
                </c:pt>
                <c:pt idx="9">
                  <c:v>5.7317499999999999</c:v>
                </c:pt>
                <c:pt idx="10">
                  <c:v>6.6163999999999996</c:v>
                </c:pt>
                <c:pt idx="11">
                  <c:v>7.5515999999999996</c:v>
                </c:pt>
                <c:pt idx="12">
                  <c:v>8.6385000000000005</c:v>
                </c:pt>
                <c:pt idx="13">
                  <c:v>9.3917249999999992</c:v>
                </c:pt>
                <c:pt idx="14">
                  <c:v>10.32625</c:v>
                </c:pt>
                <c:pt idx="15">
                  <c:v>11.36</c:v>
                </c:pt>
                <c:pt idx="16">
                  <c:v>12.380800000000001</c:v>
                </c:pt>
                <c:pt idx="17" formatCode="0.00">
                  <c:v>13.082199999999998</c:v>
                </c:pt>
                <c:pt idx="18">
                  <c:v>13.695599999999997</c:v>
                </c:pt>
                <c:pt idx="19" formatCode="0.00">
                  <c:v>14.213699999999999</c:v>
                </c:pt>
                <c:pt idx="20">
                  <c:v>14.560700000000001</c:v>
                </c:pt>
                <c:pt idx="21">
                  <c:v>15.947699999999999</c:v>
                </c:pt>
                <c:pt idx="22">
                  <c:v>17.163899999999998</c:v>
                </c:pt>
                <c:pt idx="23">
                  <c:v>18.369999999999997</c:v>
                </c:pt>
                <c:pt idx="24">
                  <c:v>19.396999999999998</c:v>
                </c:pt>
                <c:pt idx="25" formatCode="0.00">
                  <c:v>20.810400000000001</c:v>
                </c:pt>
              </c:numCache>
            </c:numRef>
          </c:xVal>
          <c:yVal>
            <c:numRef>
              <c:f>'Parte 2'!$T$7:$T$32</c:f>
              <c:numCache>
                <c:formatCode>0.0000000</c:formatCode>
                <c:ptCount val="26"/>
                <c:pt idx="0">
                  <c:v>-3.222071200129871E-4</c:v>
                </c:pt>
                <c:pt idx="1">
                  <c:v>-2.2645488982807804E-4</c:v>
                </c:pt>
                <c:pt idx="2">
                  <c:v>-6.9673585606889066E-5</c:v>
                </c:pt>
                <c:pt idx="3">
                  <c:v>6.6619035475475605E-5</c:v>
                </c:pt>
                <c:pt idx="4">
                  <c:v>3.6541187606731217E-4</c:v>
                </c:pt>
                <c:pt idx="5">
                  <c:v>7.4795104827324039E-4</c:v>
                </c:pt>
                <c:pt idx="6">
                  <c:v>1.0835481402618778E-3</c:v>
                </c:pt>
                <c:pt idx="7">
                  <c:v>1.5624731569539962E-3</c:v>
                </c:pt>
                <c:pt idx="8">
                  <c:v>1.9786375846658167E-3</c:v>
                </c:pt>
                <c:pt idx="9">
                  <c:v>2.3528250649177958E-3</c:v>
                </c:pt>
                <c:pt idx="10">
                  <c:v>2.8360379025280627E-3</c:v>
                </c:pt>
                <c:pt idx="11">
                  <c:v>3.3468621219743091E-3</c:v>
                </c:pt>
                <c:pt idx="12">
                  <c:v>3.9405477978897551E-3</c:v>
                </c:pt>
                <c:pt idx="13">
                  <c:v>4.3519737738226018E-3</c:v>
                </c:pt>
                <c:pt idx="14">
                  <c:v>4.8624292952918098E-3</c:v>
                </c:pt>
                <c:pt idx="15">
                  <c:v>5.4270834193856478E-3</c:v>
                </c:pt>
                <c:pt idx="16">
                  <c:v>5.9846640045126027E-3</c:v>
                </c:pt>
                <c:pt idx="17">
                  <c:v>6.3677821690972863E-3</c:v>
                </c:pt>
                <c:pt idx="18">
                  <c:v>6.7028330418606808E-3</c:v>
                </c:pt>
                <c:pt idx="19">
                  <c:v>6.9858292224585228E-3</c:v>
                </c:pt>
                <c:pt idx="20">
                  <c:v>7.17536729361747E-3</c:v>
                </c:pt>
                <c:pt idx="21">
                  <c:v>7.9329733590280151E-3</c:v>
                </c:pt>
                <c:pt idx="22">
                  <c:v>8.5972851807672411E-3</c:v>
                </c:pt>
                <c:pt idx="23">
                  <c:v>9.2560801883315239E-3</c:v>
                </c:pt>
                <c:pt idx="24">
                  <c:v>9.8170473326549788E-3</c:v>
                </c:pt>
                <c:pt idx="25">
                  <c:v>1.0589073585611914E-2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01-A543-A994-29C7789B1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492991"/>
        <c:axId val="1458353375"/>
      </c:scatterChart>
      <c:valAx>
        <c:axId val="1463492991"/>
        <c:scaling>
          <c:orientation val="minMax"/>
          <c:max val="2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P</a:t>
                </a:r>
                <a:r>
                  <a:rPr lang="pt-PT" sz="1400" baseline="0"/>
                  <a:t> (W)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353375"/>
        <c:crossesAt val="-90"/>
        <c:crossBetween val="midCat"/>
        <c:majorUnit val="2"/>
      </c:valAx>
      <c:valAx>
        <c:axId val="145835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S</a:t>
                </a:r>
                <a:r>
                  <a:rPr lang="pt-PT" sz="1400"/>
                  <a:t>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492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638250318680051"/>
          <c:y val="0.56709038507098153"/>
          <c:w val="0.21996974287716933"/>
          <c:h val="0.2343088363954505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log(Vs)[log(T)] - Regressão Linear 1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49603349738649"/>
          <c:y val="0.15359566940782762"/>
          <c:w val="0.81387019134853389"/>
          <c:h val="0.6966436507774558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'Parte 2'!$P$7:$P$32</c:f>
                <c:numCache>
                  <c:formatCode>General</c:formatCode>
                  <c:ptCount val="26"/>
                  <c:pt idx="0">
                    <c:v>3.8189201734085414E-3</c:v>
                  </c:pt>
                  <c:pt idx="1">
                    <c:v>3.0235230979647515E-3</c:v>
                  </c:pt>
                  <c:pt idx="2">
                    <c:v>2.0679023575996946E-3</c:v>
                  </c:pt>
                  <c:pt idx="3">
                    <c:v>1.4837321404807735E-3</c:v>
                  </c:pt>
                  <c:pt idx="4">
                    <c:v>4.8029560660192456E-4</c:v>
                  </c:pt>
                  <c:pt idx="5">
                    <c:v>2.9579834580167945E-4</c:v>
                  </c:pt>
                  <c:pt idx="6">
                    <c:v>8.3262501515616878E-4</c:v>
                  </c:pt>
                  <c:pt idx="7">
                    <c:v>1.4242243576950597E-3</c:v>
                  </c:pt>
                  <c:pt idx="8">
                    <c:v>1.7584482127860502E-3</c:v>
                  </c:pt>
                  <c:pt idx="9">
                    <c:v>2.021900503778385E-3</c:v>
                  </c:pt>
                  <c:pt idx="10">
                    <c:v>2.3090640823971932E-3</c:v>
                  </c:pt>
                  <c:pt idx="11">
                    <c:v>2.5481523485219554E-3</c:v>
                  </c:pt>
                  <c:pt idx="12">
                    <c:v>2.7971699731912576E-3</c:v>
                  </c:pt>
                  <c:pt idx="13">
                    <c:v>2.9346570718789774E-3</c:v>
                  </c:pt>
                  <c:pt idx="14">
                    <c:v>3.0830014266036046E-3</c:v>
                  </c:pt>
                  <c:pt idx="15">
                    <c:v>3.2338224684008367E-3</c:v>
                  </c:pt>
                  <c:pt idx="16">
                    <c:v>3.3609958540935167E-3</c:v>
                  </c:pt>
                  <c:pt idx="17">
                    <c:v>3.4465606031260265E-3</c:v>
                  </c:pt>
                  <c:pt idx="18">
                    <c:v>3.5152004760873523E-3</c:v>
                  </c:pt>
                  <c:pt idx="19">
                    <c:v>3.5611509268677522E-3</c:v>
                  </c:pt>
                  <c:pt idx="20">
                    <c:v>3.59101428916523E-3</c:v>
                  </c:pt>
                  <c:pt idx="21">
                    <c:v>3.7176475362246508E-3</c:v>
                  </c:pt>
                  <c:pt idx="22">
                    <c:v>3.8141850240212098E-3</c:v>
                  </c:pt>
                  <c:pt idx="23">
                    <c:v>3.903049177525758E-3</c:v>
                  </c:pt>
                  <c:pt idx="24">
                    <c:v>3.9694504523869294E-3</c:v>
                  </c:pt>
                  <c:pt idx="25">
                    <c:v>4.0536098873072499E-3</c:v>
                  </c:pt>
                </c:numCache>
              </c:numRef>
            </c:plus>
            <c:minus>
              <c:numRef>
                <c:f>'Parte 2'!$P$7:$P$32</c:f>
                <c:numCache>
                  <c:formatCode>General</c:formatCode>
                  <c:ptCount val="26"/>
                  <c:pt idx="0">
                    <c:v>3.8189201734085414E-3</c:v>
                  </c:pt>
                  <c:pt idx="1">
                    <c:v>3.0235230979647515E-3</c:v>
                  </c:pt>
                  <c:pt idx="2">
                    <c:v>2.0679023575996946E-3</c:v>
                  </c:pt>
                  <c:pt idx="3">
                    <c:v>1.4837321404807735E-3</c:v>
                  </c:pt>
                  <c:pt idx="4">
                    <c:v>4.8029560660192456E-4</c:v>
                  </c:pt>
                  <c:pt idx="5">
                    <c:v>2.9579834580167945E-4</c:v>
                  </c:pt>
                  <c:pt idx="6">
                    <c:v>8.3262501515616878E-4</c:v>
                  </c:pt>
                  <c:pt idx="7">
                    <c:v>1.4242243576950597E-3</c:v>
                  </c:pt>
                  <c:pt idx="8">
                    <c:v>1.7584482127860502E-3</c:v>
                  </c:pt>
                  <c:pt idx="9">
                    <c:v>2.021900503778385E-3</c:v>
                  </c:pt>
                  <c:pt idx="10">
                    <c:v>2.3090640823971932E-3</c:v>
                  </c:pt>
                  <c:pt idx="11">
                    <c:v>2.5481523485219554E-3</c:v>
                  </c:pt>
                  <c:pt idx="12">
                    <c:v>2.7971699731912576E-3</c:v>
                  </c:pt>
                  <c:pt idx="13">
                    <c:v>2.9346570718789774E-3</c:v>
                  </c:pt>
                  <c:pt idx="14">
                    <c:v>3.0830014266036046E-3</c:v>
                  </c:pt>
                  <c:pt idx="15">
                    <c:v>3.2338224684008367E-3</c:v>
                  </c:pt>
                  <c:pt idx="16">
                    <c:v>3.3609958540935167E-3</c:v>
                  </c:pt>
                  <c:pt idx="17">
                    <c:v>3.4465606031260265E-3</c:v>
                  </c:pt>
                  <c:pt idx="18">
                    <c:v>3.5152004760873523E-3</c:v>
                  </c:pt>
                  <c:pt idx="19">
                    <c:v>3.5611509268677522E-3</c:v>
                  </c:pt>
                  <c:pt idx="20">
                    <c:v>3.59101428916523E-3</c:v>
                  </c:pt>
                  <c:pt idx="21">
                    <c:v>3.7176475362246508E-3</c:v>
                  </c:pt>
                  <c:pt idx="22">
                    <c:v>3.8141850240212098E-3</c:v>
                  </c:pt>
                  <c:pt idx="23">
                    <c:v>3.903049177525758E-3</c:v>
                  </c:pt>
                  <c:pt idx="24">
                    <c:v>3.9694504523869294E-3</c:v>
                  </c:pt>
                  <c:pt idx="25">
                    <c:v>4.0536098873072499E-3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'Parte 2'!$R$7:$R$32</c:f>
                <c:numCache>
                  <c:formatCode>General</c:formatCode>
                  <c:ptCount val="26"/>
                  <c:pt idx="0">
                    <c:v>2.8952965460216787E-3</c:v>
                  </c:pt>
                  <c:pt idx="1">
                    <c:v>2.2857604310697463E-3</c:v>
                  </c:pt>
                  <c:pt idx="2">
                    <c:v>2.7143405118953234E-3</c:v>
                  </c:pt>
                  <c:pt idx="3">
                    <c:v>1.7165789798547501E-3</c:v>
                  </c:pt>
                  <c:pt idx="4">
                    <c:v>1.0099871672168647E-3</c:v>
                  </c:pt>
                  <c:pt idx="5">
                    <c:v>5.1213971922553275E-4</c:v>
                  </c:pt>
                  <c:pt idx="6">
                    <c:v>4.5051294803241882E-4</c:v>
                  </c:pt>
                  <c:pt idx="7">
                    <c:v>3.5892105942417505E-4</c:v>
                  </c:pt>
                  <c:pt idx="8">
                    <c:v>2.5456886395266808E-4</c:v>
                  </c:pt>
                  <c:pt idx="9">
                    <c:v>2.0466280956797916E-4</c:v>
                  </c:pt>
                  <c:pt idx="10">
                    <c:v>1.663963532196367E-4</c:v>
                  </c:pt>
                  <c:pt idx="11">
                    <c:v>1.3977936334188984E-4</c:v>
                  </c:pt>
                  <c:pt idx="12">
                    <c:v>1.1718685426423415E-4</c:v>
                  </c:pt>
                  <c:pt idx="13">
                    <c:v>1.0211485584369899E-4</c:v>
                  </c:pt>
                  <c:pt idx="14">
                    <c:v>9.057236327492216E-5</c:v>
                  </c:pt>
                  <c:pt idx="15">
                    <c:v>8.0454702093970309E-5</c:v>
                  </c:pt>
                  <c:pt idx="16">
                    <c:v>7.2563823208563358E-5</c:v>
                  </c:pt>
                  <c:pt idx="17">
                    <c:v>6.9710189711597392E-5</c:v>
                  </c:pt>
                  <c:pt idx="18">
                    <c:v>6.6814535677423345E-5</c:v>
                  </c:pt>
                  <c:pt idx="19">
                    <c:v>6.4055233319063677E-5</c:v>
                  </c:pt>
                  <c:pt idx="20">
                    <c:v>6.0093328061886225E-5</c:v>
                  </c:pt>
                  <c:pt idx="21">
                    <c:v>5.3949625081149278E-5</c:v>
                  </c:pt>
                  <c:pt idx="22">
                    <c:v>4.952611265859867E-5</c:v>
                  </c:pt>
                  <c:pt idx="23">
                    <c:v>4.6349464450720579E-5</c:v>
                  </c:pt>
                  <c:pt idx="24">
                    <c:v>4.3170425636506131E-5</c:v>
                  </c:pt>
                  <c:pt idx="25">
                    <c:v>4.0064066596240934E-5</c:v>
                  </c:pt>
                </c:numCache>
              </c:numRef>
            </c:plus>
            <c:minus>
              <c:numRef>
                <c:f>'Parte 2'!$R$7:$R$32</c:f>
                <c:numCache>
                  <c:formatCode>General</c:formatCode>
                  <c:ptCount val="26"/>
                  <c:pt idx="0">
                    <c:v>2.8952965460216787E-3</c:v>
                  </c:pt>
                  <c:pt idx="1">
                    <c:v>2.2857604310697463E-3</c:v>
                  </c:pt>
                  <c:pt idx="2">
                    <c:v>2.7143405118953234E-3</c:v>
                  </c:pt>
                  <c:pt idx="3">
                    <c:v>1.7165789798547501E-3</c:v>
                  </c:pt>
                  <c:pt idx="4">
                    <c:v>1.0099871672168647E-3</c:v>
                  </c:pt>
                  <c:pt idx="5">
                    <c:v>5.1213971922553275E-4</c:v>
                  </c:pt>
                  <c:pt idx="6">
                    <c:v>4.5051294803241882E-4</c:v>
                  </c:pt>
                  <c:pt idx="7">
                    <c:v>3.5892105942417505E-4</c:v>
                  </c:pt>
                  <c:pt idx="8">
                    <c:v>2.5456886395266808E-4</c:v>
                  </c:pt>
                  <c:pt idx="9">
                    <c:v>2.0466280956797916E-4</c:v>
                  </c:pt>
                  <c:pt idx="10">
                    <c:v>1.663963532196367E-4</c:v>
                  </c:pt>
                  <c:pt idx="11">
                    <c:v>1.3977936334188984E-4</c:v>
                  </c:pt>
                  <c:pt idx="12">
                    <c:v>1.1718685426423415E-4</c:v>
                  </c:pt>
                  <c:pt idx="13">
                    <c:v>1.0211485584369899E-4</c:v>
                  </c:pt>
                  <c:pt idx="14">
                    <c:v>9.057236327492216E-5</c:v>
                  </c:pt>
                  <c:pt idx="15">
                    <c:v>8.0454702093970309E-5</c:v>
                  </c:pt>
                  <c:pt idx="16">
                    <c:v>7.2563823208563358E-5</c:v>
                  </c:pt>
                  <c:pt idx="17">
                    <c:v>6.9710189711597392E-5</c:v>
                  </c:pt>
                  <c:pt idx="18">
                    <c:v>6.6814535677423345E-5</c:v>
                  </c:pt>
                  <c:pt idx="19">
                    <c:v>6.4055233319063677E-5</c:v>
                  </c:pt>
                  <c:pt idx="20">
                    <c:v>6.0093328061886225E-5</c:v>
                  </c:pt>
                  <c:pt idx="21">
                    <c:v>5.3949625081149278E-5</c:v>
                  </c:pt>
                  <c:pt idx="22">
                    <c:v>4.952611265859867E-5</c:v>
                  </c:pt>
                  <c:pt idx="23">
                    <c:v>4.6349464450720579E-5</c:v>
                  </c:pt>
                  <c:pt idx="24">
                    <c:v>4.3170425636506131E-5</c:v>
                  </c:pt>
                  <c:pt idx="25">
                    <c:v>4.0064066596240934E-5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'Parte 2'!$O$7:$O$32</c:f>
              <c:numCache>
                <c:formatCode>0.0000000</c:formatCode>
                <c:ptCount val="26"/>
                <c:pt idx="0">
                  <c:v>2.8869672014837899</c:v>
                </c:pt>
                <c:pt idx="1">
                  <c:v>2.9165355227023659</c:v>
                </c:pt>
                <c:pt idx="2">
                  <c:v>2.9546330676191301</c:v>
                </c:pt>
                <c:pt idx="3">
                  <c:v>2.9839817895097061</c:v>
                </c:pt>
                <c:pt idx="4">
                  <c:v>3.0254265591679785</c:v>
                </c:pt>
                <c:pt idx="5">
                  <c:v>3.0720914117869915</c:v>
                </c:pt>
                <c:pt idx="6">
                  <c:v>3.0979184845479169</c:v>
                </c:pt>
                <c:pt idx="7">
                  <c:v>3.1235059718687253</c:v>
                </c:pt>
                <c:pt idx="8">
                  <c:v>3.1494813494031955</c:v>
                </c:pt>
                <c:pt idx="9">
                  <c:v>3.1667768691899538</c:v>
                </c:pt>
                <c:pt idx="10">
                  <c:v>3.1850227880865321</c:v>
                </c:pt>
                <c:pt idx="11">
                  <c:v>3.2036500552649096</c:v>
                </c:pt>
                <c:pt idx="12">
                  <c:v>3.2185709044223096</c:v>
                </c:pt>
                <c:pt idx="13">
                  <c:v>3.2299432602134575</c:v>
                </c:pt>
                <c:pt idx="14">
                  <c:v>3.2433071870648513</c:v>
                </c:pt>
                <c:pt idx="15">
                  <c:v>3.254868776589817</c:v>
                </c:pt>
                <c:pt idx="16">
                  <c:v>3.2662308802918294</c:v>
                </c:pt>
                <c:pt idx="17">
                  <c:v>3.2716036719958663</c:v>
                </c:pt>
                <c:pt idx="18">
                  <c:v>3.2762733190046553</c:v>
                </c:pt>
                <c:pt idx="19">
                  <c:v>3.2827578127435286</c:v>
                </c:pt>
                <c:pt idx="20">
                  <c:v>3.2868824027179118</c:v>
                </c:pt>
                <c:pt idx="21">
                  <c:v>3.2969480436789005</c:v>
                </c:pt>
                <c:pt idx="22">
                  <c:v>3.3057837917491555</c:v>
                </c:pt>
                <c:pt idx="23">
                  <c:v>3.3129868291207454</c:v>
                </c:pt>
                <c:pt idx="24">
                  <c:v>3.3199482892845902</c:v>
                </c:pt>
                <c:pt idx="25">
                  <c:v>3.3287630747749728</c:v>
                </c:pt>
              </c:numCache>
            </c:numRef>
          </c:xVal>
          <c:yVal>
            <c:numRef>
              <c:f>'Parte 2'!$Q$7:$Q$32</c:f>
              <c:numCache>
                <c:formatCode>0.0000</c:formatCode>
                <c:ptCount val="26"/>
                <c:pt idx="0" formatCode="0.00000">
                  <c:v>-3.8239087409443187</c:v>
                </c:pt>
                <c:pt idx="1">
                  <c:v>-3.7212463990471711</c:v>
                </c:pt>
                <c:pt idx="2" formatCode="0.00000">
                  <c:v>-3.795880017344075</c:v>
                </c:pt>
                <c:pt idx="3">
                  <c:v>-3.596879478824182</c:v>
                </c:pt>
                <c:pt idx="4">
                  <c:v>-3.3665315444204134</c:v>
                </c:pt>
                <c:pt idx="5" formatCode="0.000">
                  <c:v>-3.0716041477432863</c:v>
                </c:pt>
                <c:pt idx="6">
                  <c:v>-3.0159229660971691</c:v>
                </c:pt>
                <c:pt idx="7">
                  <c:v>-2.9172146296835502</c:v>
                </c:pt>
                <c:pt idx="8">
                  <c:v>-2.7680209731684959</c:v>
                </c:pt>
                <c:pt idx="9">
                  <c:v>-2.6732546204346783</c:v>
                </c:pt>
                <c:pt idx="10" formatCode="0.00000">
                  <c:v>-2.5833594926617192</c:v>
                </c:pt>
                <c:pt idx="11" formatCode="0.000">
                  <c:v>-2.5076587467450255</c:v>
                </c:pt>
                <c:pt idx="12" formatCode="0.00000">
                  <c:v>-2.4310945850171213</c:v>
                </c:pt>
                <c:pt idx="13" formatCode="0.00000">
                  <c:v>-2.3713046172859769</c:v>
                </c:pt>
                <c:pt idx="14" formatCode="0.00000">
                  <c:v>-2.3192113884933176</c:v>
                </c:pt>
                <c:pt idx="15" formatCode="0.00000">
                  <c:v>-2.267767119779502</c:v>
                </c:pt>
                <c:pt idx="16" formatCode="0.00000">
                  <c:v>-2.2229358452575703</c:v>
                </c:pt>
                <c:pt idx="17" formatCode="0.00000">
                  <c:v>-2.2055119533408303</c:v>
                </c:pt>
                <c:pt idx="18" formatCode="0.000">
                  <c:v>-2.1870866433571443</c:v>
                </c:pt>
                <c:pt idx="19" formatCode="0.00000">
                  <c:v>-2.1687703061329366</c:v>
                </c:pt>
                <c:pt idx="20" formatCode="0.00000">
                  <c:v>-2.141041945281994</c:v>
                </c:pt>
                <c:pt idx="21" formatCode="0.00000">
                  <c:v>-2.0942041196321313</c:v>
                </c:pt>
                <c:pt idx="22" formatCode="0.00000">
                  <c:v>-2.057049929922901</c:v>
                </c:pt>
                <c:pt idx="23" formatCode="0.000">
                  <c:v>-2.0282604091122218</c:v>
                </c:pt>
                <c:pt idx="24" formatCode="0.00000">
                  <c:v>-1.9974020192800914</c:v>
                </c:pt>
                <c:pt idx="25" formatCode="0.00000">
                  <c:v>-1.9649707177976319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E7-A346-879C-F8313EECAB6F}"/>
            </c:ext>
          </c:extLst>
        </c:ser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2'!$O$7:$O$32</c:f>
              <c:numCache>
                <c:formatCode>0.0000000</c:formatCode>
                <c:ptCount val="26"/>
                <c:pt idx="0">
                  <c:v>2.8869672014837899</c:v>
                </c:pt>
                <c:pt idx="1">
                  <c:v>2.9165355227023659</c:v>
                </c:pt>
                <c:pt idx="2">
                  <c:v>2.9546330676191301</c:v>
                </c:pt>
                <c:pt idx="3">
                  <c:v>2.9839817895097061</c:v>
                </c:pt>
                <c:pt idx="4">
                  <c:v>3.0254265591679785</c:v>
                </c:pt>
                <c:pt idx="5">
                  <c:v>3.0720914117869915</c:v>
                </c:pt>
                <c:pt idx="6">
                  <c:v>3.0979184845479169</c:v>
                </c:pt>
                <c:pt idx="7">
                  <c:v>3.1235059718687253</c:v>
                </c:pt>
                <c:pt idx="8">
                  <c:v>3.1494813494031955</c:v>
                </c:pt>
                <c:pt idx="9">
                  <c:v>3.1667768691899538</c:v>
                </c:pt>
                <c:pt idx="10">
                  <c:v>3.1850227880865321</c:v>
                </c:pt>
                <c:pt idx="11">
                  <c:v>3.2036500552649096</c:v>
                </c:pt>
                <c:pt idx="12">
                  <c:v>3.2185709044223096</c:v>
                </c:pt>
                <c:pt idx="13">
                  <c:v>3.2299432602134575</c:v>
                </c:pt>
                <c:pt idx="14">
                  <c:v>3.2433071870648513</c:v>
                </c:pt>
                <c:pt idx="15">
                  <c:v>3.254868776589817</c:v>
                </c:pt>
                <c:pt idx="16">
                  <c:v>3.2662308802918294</c:v>
                </c:pt>
                <c:pt idx="17">
                  <c:v>3.2716036719958663</c:v>
                </c:pt>
                <c:pt idx="18">
                  <c:v>3.2762733190046553</c:v>
                </c:pt>
                <c:pt idx="19">
                  <c:v>3.2827578127435286</c:v>
                </c:pt>
                <c:pt idx="20">
                  <c:v>3.2868824027179118</c:v>
                </c:pt>
                <c:pt idx="21">
                  <c:v>3.2969480436789005</c:v>
                </c:pt>
                <c:pt idx="22">
                  <c:v>3.3057837917491555</c:v>
                </c:pt>
                <c:pt idx="23">
                  <c:v>3.3129868291207454</c:v>
                </c:pt>
                <c:pt idx="24">
                  <c:v>3.3199482892845902</c:v>
                </c:pt>
                <c:pt idx="25">
                  <c:v>3.3287630747749728</c:v>
                </c:pt>
              </c:numCache>
            </c:numRef>
          </c:xVal>
          <c:yVal>
            <c:numRef>
              <c:f>'Parte 2'!$V$7:$V$32</c:f>
              <c:numCache>
                <c:formatCode>0.00</c:formatCode>
                <c:ptCount val="26"/>
                <c:pt idx="0" formatCode="0.000">
                  <c:v>-3.8741309864787485</c:v>
                </c:pt>
                <c:pt idx="1">
                  <c:v>-3.7458722112189289</c:v>
                </c:pt>
                <c:pt idx="2" formatCode="0.000">
                  <c:v>-3.5806161449272658</c:v>
                </c:pt>
                <c:pt idx="3">
                  <c:v>-3.4533099276652077</c:v>
                </c:pt>
                <c:pt idx="4">
                  <c:v>-3.2735345742387878</c:v>
                </c:pt>
                <c:pt idx="5" formatCode="0.0">
                  <c:v>-3.0711160195852862</c:v>
                </c:pt>
                <c:pt idx="6">
                  <c:v>-2.9590856917091983</c:v>
                </c:pt>
                <c:pt idx="7">
                  <c:v>-2.8480946157707621</c:v>
                </c:pt>
                <c:pt idx="8" formatCode="0.000">
                  <c:v>-2.7354209849327145</c:v>
                </c:pt>
                <c:pt idx="9" formatCode="0.000">
                  <c:v>-2.6603980518100201</c:v>
                </c:pt>
                <c:pt idx="10" formatCode="0.000">
                  <c:v>-2.5812525638445099</c:v>
                </c:pt>
                <c:pt idx="11" formatCode="0.0">
                  <c:v>-2.5004528979765936</c:v>
                </c:pt>
                <c:pt idx="12" formatCode="0.000">
                  <c:v>-2.4357305951911936</c:v>
                </c:pt>
                <c:pt idx="13" formatCode="0.000">
                  <c:v>-2.3864006242804603</c:v>
                </c:pt>
                <c:pt idx="14" formatCode="0.000">
                  <c:v>-2.3284317975097082</c:v>
                </c:pt>
                <c:pt idx="15" formatCode="0.000">
                  <c:v>-2.2782809857146411</c:v>
                </c:pt>
                <c:pt idx="16" formatCode="0.000">
                  <c:v>-2.2289954853839813</c:v>
                </c:pt>
                <c:pt idx="17" formatCode="0.000">
                  <c:v>-2.2056898780553862</c:v>
                </c:pt>
                <c:pt idx="18" formatCode="0.0">
                  <c:v>-2.185434307851871</c:v>
                </c:pt>
                <c:pt idx="19" formatCode="0.000">
                  <c:v>-2.1573064605189174</c:v>
                </c:pt>
                <c:pt idx="20" formatCode="0.000">
                  <c:v>-2.1394151891595214</c:v>
                </c:pt>
                <c:pt idx="21" formatCode="0.000">
                  <c:v>-2.0957533670250115</c:v>
                </c:pt>
                <c:pt idx="22" formatCode="0.000">
                  <c:v>-2.0574264624429794</c:v>
                </c:pt>
                <c:pt idx="23" formatCode="0.0">
                  <c:v>-2.0261817818741541</c:v>
                </c:pt>
                <c:pt idx="24" formatCode="0.000">
                  <c:v>-1.9959849929514935</c:v>
                </c:pt>
                <c:pt idx="25" formatCode="0.000">
                  <c:v>-1.957749017942394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v>Aj. lin.</c:v>
                </c15:tx>
              </c15:filteredSeriesTitle>
            </c:ext>
            <c:ext xmlns:c16="http://schemas.microsoft.com/office/drawing/2014/chart" uri="{C3380CC4-5D6E-409C-BE32-E72D297353CC}">
              <c16:uniqueId val="{00000002-36AF-5C46-AE94-EB2464737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091423"/>
        <c:axId val="1467241439"/>
      </c:scatterChart>
      <c:valAx>
        <c:axId val="146509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log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241439"/>
        <c:crossesAt val="-90"/>
        <c:crossBetween val="midCat"/>
      </c:valAx>
      <c:valAx>
        <c:axId val="1467241439"/>
        <c:scaling>
          <c:orientation val="minMax"/>
          <c:max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log(Vs)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09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644739017636373"/>
          <c:y val="0.65771414422545615"/>
          <c:w val="0.17617130512761547"/>
          <c:h val="0.15585698536485654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 b="0" i="0" baseline="0">
                <a:effectLst/>
              </a:rPr>
              <a:t>Resíduos  log(Vs)[log(T)] - Regressão Linear 1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1875747719894757"/>
          <c:y val="2.47092961041417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08025245219219"/>
          <c:y val="0.14532529301917635"/>
          <c:w val="0.77915682432721134"/>
          <c:h val="0.66650544013093205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2'!$O$7:$O$32</c:f>
              <c:numCache>
                <c:formatCode>0.0000000</c:formatCode>
                <c:ptCount val="26"/>
                <c:pt idx="0">
                  <c:v>2.8869672014837899</c:v>
                </c:pt>
                <c:pt idx="1">
                  <c:v>2.9165355227023659</c:v>
                </c:pt>
                <c:pt idx="2">
                  <c:v>2.9546330676191301</c:v>
                </c:pt>
                <c:pt idx="3">
                  <c:v>2.9839817895097061</c:v>
                </c:pt>
                <c:pt idx="4">
                  <c:v>3.0254265591679785</c:v>
                </c:pt>
                <c:pt idx="5">
                  <c:v>3.0720914117869915</c:v>
                </c:pt>
                <c:pt idx="6">
                  <c:v>3.0979184845479169</c:v>
                </c:pt>
                <c:pt idx="7">
                  <c:v>3.1235059718687253</c:v>
                </c:pt>
                <c:pt idx="8">
                  <c:v>3.1494813494031955</c:v>
                </c:pt>
                <c:pt idx="9">
                  <c:v>3.1667768691899538</c:v>
                </c:pt>
                <c:pt idx="10">
                  <c:v>3.1850227880865321</c:v>
                </c:pt>
                <c:pt idx="11">
                  <c:v>3.2036500552649096</c:v>
                </c:pt>
                <c:pt idx="12">
                  <c:v>3.2185709044223096</c:v>
                </c:pt>
                <c:pt idx="13">
                  <c:v>3.2299432602134575</c:v>
                </c:pt>
                <c:pt idx="14">
                  <c:v>3.2433071870648513</c:v>
                </c:pt>
                <c:pt idx="15">
                  <c:v>3.254868776589817</c:v>
                </c:pt>
                <c:pt idx="16">
                  <c:v>3.2662308802918294</c:v>
                </c:pt>
                <c:pt idx="17">
                  <c:v>3.2716036719958663</c:v>
                </c:pt>
                <c:pt idx="18">
                  <c:v>3.2762733190046553</c:v>
                </c:pt>
                <c:pt idx="19">
                  <c:v>3.2827578127435286</c:v>
                </c:pt>
                <c:pt idx="20">
                  <c:v>3.2868824027179118</c:v>
                </c:pt>
                <c:pt idx="21">
                  <c:v>3.2969480436789005</c:v>
                </c:pt>
                <c:pt idx="22">
                  <c:v>3.3057837917491555</c:v>
                </c:pt>
                <c:pt idx="23">
                  <c:v>3.3129868291207454</c:v>
                </c:pt>
                <c:pt idx="24">
                  <c:v>3.3199482892845902</c:v>
                </c:pt>
                <c:pt idx="25">
                  <c:v>3.3287630747749728</c:v>
                </c:pt>
              </c:numCache>
            </c:numRef>
          </c:xVal>
          <c:yVal>
            <c:numRef>
              <c:f>'Parte 2'!$W$7:$W$32</c:f>
              <c:numCache>
                <c:formatCode>0.00</c:formatCode>
                <c:ptCount val="26"/>
                <c:pt idx="0" formatCode="0.000">
                  <c:v>-5.0222245534429888E-2</c:v>
                </c:pt>
                <c:pt idx="1">
                  <c:v>-2.4625812171757744E-2</c:v>
                </c:pt>
                <c:pt idx="2" formatCode="0.000">
                  <c:v>0.21526387241680922</c:v>
                </c:pt>
                <c:pt idx="3">
                  <c:v>0.1435695511589743</c:v>
                </c:pt>
                <c:pt idx="4">
                  <c:v>9.299697018162556E-2</c:v>
                </c:pt>
                <c:pt idx="5" formatCode="0.0">
                  <c:v>4.8812815800003406E-4</c:v>
                </c:pt>
                <c:pt idx="6">
                  <c:v>5.6837274387970815E-2</c:v>
                </c:pt>
                <c:pt idx="7">
                  <c:v>6.9120013912788103E-2</c:v>
                </c:pt>
                <c:pt idx="8" formatCode="0.000">
                  <c:v>3.2599988235781474E-2</c:v>
                </c:pt>
                <c:pt idx="9" formatCode="0.000">
                  <c:v>1.2856568624658227E-2</c:v>
                </c:pt>
                <c:pt idx="10" formatCode="0.000">
                  <c:v>2.1069288172093081E-3</c:v>
                </c:pt>
                <c:pt idx="11" formatCode="0.0">
                  <c:v>7.2058487684318884E-3</c:v>
                </c:pt>
                <c:pt idx="12" formatCode="0.000">
                  <c:v>-4.6360101740723358E-3</c:v>
                </c:pt>
                <c:pt idx="13" formatCode="0.000">
                  <c:v>-1.5096006994483435E-2</c:v>
                </c:pt>
                <c:pt idx="14" formatCode="0.000">
                  <c:v>-9.2204090163905406E-3</c:v>
                </c:pt>
                <c:pt idx="15" formatCode="0.000">
                  <c:v>-1.0513865935139144E-2</c:v>
                </c:pt>
                <c:pt idx="16" formatCode="0.000">
                  <c:v>-6.0596401264110256E-3</c:v>
                </c:pt>
                <c:pt idx="17" formatCode="0.000">
                  <c:v>-1.7792471455591041E-4</c:v>
                </c:pt>
                <c:pt idx="18" formatCode="0.0">
                  <c:v>1.652335505273328E-3</c:v>
                </c:pt>
                <c:pt idx="19" formatCode="0.000">
                  <c:v>1.1463845614019252E-2</c:v>
                </c:pt>
                <c:pt idx="20" formatCode="0.000">
                  <c:v>1.6267561224725391E-3</c:v>
                </c:pt>
                <c:pt idx="21" formatCode="0.000">
                  <c:v>-1.5492473928802042E-3</c:v>
                </c:pt>
                <c:pt idx="22" formatCode="0.000">
                  <c:v>-3.7653252007840976E-4</c:v>
                </c:pt>
                <c:pt idx="23" formatCode="0.0">
                  <c:v>2.0786272380677318E-3</c:v>
                </c:pt>
                <c:pt idx="24" formatCode="0.000">
                  <c:v>1.4170263285979701E-3</c:v>
                </c:pt>
                <c:pt idx="25" formatCode="0.000">
                  <c:v>7.2216998552379064E-3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FD-8D45-A805-8F8A5EC57B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465599"/>
        <c:axId val="1151367759"/>
      </c:scatterChart>
      <c:valAx>
        <c:axId val="115146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log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367759"/>
        <c:crossesAt val="-90"/>
        <c:crossBetween val="midCat"/>
      </c:valAx>
      <c:valAx>
        <c:axId val="11513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465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048263572752263"/>
          <c:y val="0.70368618263185367"/>
          <c:w val="0.1306953338657145"/>
          <c:h val="7.8876238538662435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Resíduos de V</a:t>
            </a:r>
            <a:r>
              <a:rPr lang="pt-PT" sz="1800" b="0" i="0" baseline="-25000">
                <a:effectLst/>
              </a:rPr>
              <a:t>S</a:t>
            </a:r>
            <a:r>
              <a:rPr lang="pt-PT" sz="1800" b="0" i="0" baseline="0">
                <a:effectLst/>
              </a:rPr>
              <a:t>(P) - Regressão Linear 1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78592958040934"/>
          <c:y val="0.1535271161889406"/>
          <c:w val="0.73951846419511647"/>
          <c:h val="0.71121118387498528"/>
        </c:manualLayout>
      </c:layout>
      <c:scatterChart>
        <c:scatterStyle val="lineMarker"/>
        <c:varyColors val="0"/>
        <c:ser>
          <c:idx val="0"/>
          <c:order val="0"/>
          <c:tx>
            <c:v>Res. Vs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2'!$M$7:$M$32</c:f>
              <c:numCache>
                <c:formatCode>0.000</c:formatCode>
                <c:ptCount val="26"/>
                <c:pt idx="0" formatCode="0.00">
                  <c:v>0.83439000000000008</c:v>
                </c:pt>
                <c:pt idx="1">
                  <c:v>1.00969</c:v>
                </c:pt>
                <c:pt idx="2" formatCode="0.00">
                  <c:v>1.2967199999999999</c:v>
                </c:pt>
                <c:pt idx="3">
                  <c:v>1.5462400000000001</c:v>
                </c:pt>
                <c:pt idx="4">
                  <c:v>2.0932599999999999</c:v>
                </c:pt>
                <c:pt idx="5">
                  <c:v>2.7936000000000001</c:v>
                </c:pt>
                <c:pt idx="6">
                  <c:v>3.4079999999999999</c:v>
                </c:pt>
                <c:pt idx="7">
                  <c:v>4.2848000000000006</c:v>
                </c:pt>
                <c:pt idx="8">
                  <c:v>5.0467000000000004</c:v>
                </c:pt>
                <c:pt idx="9">
                  <c:v>5.7317499999999999</c:v>
                </c:pt>
                <c:pt idx="10">
                  <c:v>6.6163999999999996</c:v>
                </c:pt>
                <c:pt idx="11">
                  <c:v>7.5515999999999996</c:v>
                </c:pt>
                <c:pt idx="12">
                  <c:v>8.6385000000000005</c:v>
                </c:pt>
                <c:pt idx="13">
                  <c:v>9.3917249999999992</c:v>
                </c:pt>
                <c:pt idx="14">
                  <c:v>10.32625</c:v>
                </c:pt>
                <c:pt idx="15">
                  <c:v>11.36</c:v>
                </c:pt>
                <c:pt idx="16">
                  <c:v>12.380800000000001</c:v>
                </c:pt>
                <c:pt idx="17" formatCode="0.00">
                  <c:v>13.082199999999998</c:v>
                </c:pt>
                <c:pt idx="18">
                  <c:v>13.695599999999997</c:v>
                </c:pt>
                <c:pt idx="19" formatCode="0.00">
                  <c:v>14.213699999999999</c:v>
                </c:pt>
                <c:pt idx="20">
                  <c:v>14.560700000000001</c:v>
                </c:pt>
                <c:pt idx="21">
                  <c:v>15.947699999999999</c:v>
                </c:pt>
                <c:pt idx="22">
                  <c:v>17.163899999999998</c:v>
                </c:pt>
                <c:pt idx="23">
                  <c:v>18.369999999999997</c:v>
                </c:pt>
                <c:pt idx="24">
                  <c:v>19.396999999999998</c:v>
                </c:pt>
                <c:pt idx="25" formatCode="0.00">
                  <c:v>20.810400000000001</c:v>
                </c:pt>
              </c:numCache>
            </c:numRef>
          </c:xVal>
          <c:yVal>
            <c:numRef>
              <c:f>'Parte 2'!$U$7:$U$32</c:f>
              <c:numCache>
                <c:formatCode>0.0000000</c:formatCode>
                <c:ptCount val="26"/>
                <c:pt idx="0">
                  <c:v>-4.7220712001298706E-4</c:v>
                </c:pt>
                <c:pt idx="1">
                  <c:v>-4.1645488982807805E-4</c:v>
                </c:pt>
                <c:pt idx="2">
                  <c:v>-2.2967358560688908E-4</c:v>
                </c:pt>
                <c:pt idx="3">
                  <c:v>-1.8638096452452442E-4</c:v>
                </c:pt>
                <c:pt idx="4">
                  <c:v>-6.4588123932687814E-5</c:v>
                </c:pt>
                <c:pt idx="5">
                  <c:v>-1.0004895172675962E-4</c:v>
                </c:pt>
                <c:pt idx="6">
                  <c:v>1.1954814026187777E-4</c:v>
                </c:pt>
                <c:pt idx="7">
                  <c:v>3.5247315695399631E-4</c:v>
                </c:pt>
                <c:pt idx="8">
                  <c:v>2.7263758466581668E-4</c:v>
                </c:pt>
                <c:pt idx="9">
                  <c:v>2.3082506491779601E-4</c:v>
                </c:pt>
                <c:pt idx="10">
                  <c:v>2.2603790252806281E-4</c:v>
                </c:pt>
                <c:pt idx="11">
                  <c:v>2.3986212197430867E-4</c:v>
                </c:pt>
                <c:pt idx="12">
                  <c:v>2.3454779788975502E-4</c:v>
                </c:pt>
                <c:pt idx="13">
                  <c:v>9.8973773822601946E-5</c:v>
                </c:pt>
                <c:pt idx="14">
                  <c:v>6.7429295291810028E-5</c:v>
                </c:pt>
                <c:pt idx="15">
                  <c:v>2.9083419385647798E-5</c:v>
                </c:pt>
                <c:pt idx="16">
                  <c:v>-3.3599548739798868E-7</c:v>
                </c:pt>
                <c:pt idx="17">
                  <c:v>1.3778216909728601E-4</c:v>
                </c:pt>
                <c:pt idx="18">
                  <c:v>2.0283304186068021E-4</c:v>
                </c:pt>
                <c:pt idx="19" formatCode="0.00000">
                  <c:v>2.0582922245852234E-4</c:v>
                </c:pt>
                <c:pt idx="20">
                  <c:v>-5.1632706382530834E-5</c:v>
                </c:pt>
                <c:pt idx="21">
                  <c:v>-1.1702664097198653E-4</c:v>
                </c:pt>
                <c:pt idx="22">
                  <c:v>-1.7171481923275965E-4</c:v>
                </c:pt>
                <c:pt idx="23">
                  <c:v>-1.1391981166847601E-4</c:v>
                </c:pt>
                <c:pt idx="24">
                  <c:v>-2.429526673450224E-4</c:v>
                </c:pt>
                <c:pt idx="25">
                  <c:v>-2.5092641438808662E-4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18-D64A-8313-B7CC0F40E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3125935"/>
        <c:axId val="1243127567"/>
      </c:scatterChart>
      <c:valAx>
        <c:axId val="1243125935"/>
        <c:scaling>
          <c:orientation val="minMax"/>
          <c:max val="21.5"/>
          <c:min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P(W)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127567"/>
        <c:crossesAt val="-90"/>
        <c:crossBetween val="midCat"/>
        <c:majorUnit val="2"/>
      </c:valAx>
      <c:valAx>
        <c:axId val="124312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125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110963347717522"/>
          <c:y val="0.19117605077600894"/>
          <c:w val="0.10889068058680232"/>
          <c:h val="7.7369078657528109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V</a:t>
            </a:r>
            <a:r>
              <a:rPr lang="pt-PT" sz="1800" b="0" i="0" baseline="-25000">
                <a:effectLst/>
              </a:rPr>
              <a:t>S</a:t>
            </a:r>
            <a:r>
              <a:rPr lang="pt-PT" sz="1800" b="0" i="0" baseline="0">
                <a:effectLst/>
              </a:rPr>
              <a:t>(P) - Regressão Linear 2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46853427801949"/>
          <c:y val="0.14632932772985238"/>
          <c:w val="0.77627513584282959"/>
          <c:h val="0.67404661806566391"/>
        </c:manualLayout>
      </c:layout>
      <c:scatterChart>
        <c:scatterStyle val="lineMarker"/>
        <c:varyColors val="0"/>
        <c:ser>
          <c:idx val="0"/>
          <c:order val="0"/>
          <c:tx>
            <c:v>Dados Exp.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317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'Parte 2'!$N$7:$N$32</c:f>
                <c:numCache>
                  <c:formatCode>General</c:formatCode>
                  <c:ptCount val="26"/>
                  <c:pt idx="0">
                    <c:v>1.3140000000000002E-2</c:v>
                  </c:pt>
                  <c:pt idx="1">
                    <c:v>1.507E-2</c:v>
                  </c:pt>
                  <c:pt idx="2">
                    <c:v>1.8010000000000002E-2</c:v>
                  </c:pt>
                  <c:pt idx="3">
                    <c:v>2.0480000000000002E-2</c:v>
                  </c:pt>
                  <c:pt idx="4">
                    <c:v>2.5219999999999996E-2</c:v>
                  </c:pt>
                  <c:pt idx="5">
                    <c:v>3.1040000000000002E-2</c:v>
                  </c:pt>
                  <c:pt idx="6">
                    <c:v>3.5499999999999997E-2</c:v>
                  </c:pt>
                  <c:pt idx="7">
                    <c:v>4.1200000000000001E-2</c:v>
                  </c:pt>
                  <c:pt idx="8">
                    <c:v>4.6299999999999994E-2</c:v>
                  </c:pt>
                  <c:pt idx="9">
                    <c:v>5.0500000000000003E-2</c:v>
                  </c:pt>
                  <c:pt idx="10">
                    <c:v>5.5599999999999997E-2</c:v>
                  </c:pt>
                  <c:pt idx="11">
                    <c:v>6.0899999999999996E-2</c:v>
                  </c:pt>
                  <c:pt idx="12">
                    <c:v>6.6449999999999995E-2</c:v>
                  </c:pt>
                  <c:pt idx="13">
                    <c:v>7.0349999999999996E-2</c:v>
                  </c:pt>
                  <c:pt idx="14">
                    <c:v>7.51E-2</c:v>
                  </c:pt>
                  <c:pt idx="15">
                    <c:v>0.08</c:v>
                  </c:pt>
                  <c:pt idx="16">
                    <c:v>8.48E-2</c:v>
                  </c:pt>
                  <c:pt idx="17">
                    <c:v>8.7800000000000003E-2</c:v>
                  </c:pt>
                  <c:pt idx="18">
                    <c:v>9.0399999999999994E-2</c:v>
                  </c:pt>
                  <c:pt idx="19">
                    <c:v>9.2899999999999996E-2</c:v>
                  </c:pt>
                  <c:pt idx="20">
                    <c:v>9.4550000000000009E-2</c:v>
                  </c:pt>
                  <c:pt idx="21">
                    <c:v>0.1003</c:v>
                  </c:pt>
                  <c:pt idx="22">
                    <c:v>0.10529999999999999</c:v>
                  </c:pt>
                  <c:pt idx="23">
                    <c:v>0.11</c:v>
                  </c:pt>
                  <c:pt idx="24">
                    <c:v>0.11410000000000001</c:v>
                  </c:pt>
                  <c:pt idx="25">
                    <c:v>0.11960000000000001</c:v>
                  </c:pt>
                </c:numCache>
              </c:numRef>
            </c:plus>
            <c:minus>
              <c:numRef>
                <c:f>'Parte 2'!$N$7:$N$32</c:f>
                <c:numCache>
                  <c:formatCode>General</c:formatCode>
                  <c:ptCount val="26"/>
                  <c:pt idx="0">
                    <c:v>1.3140000000000002E-2</c:v>
                  </c:pt>
                  <c:pt idx="1">
                    <c:v>1.507E-2</c:v>
                  </c:pt>
                  <c:pt idx="2">
                    <c:v>1.8010000000000002E-2</c:v>
                  </c:pt>
                  <c:pt idx="3">
                    <c:v>2.0480000000000002E-2</c:v>
                  </c:pt>
                  <c:pt idx="4">
                    <c:v>2.5219999999999996E-2</c:v>
                  </c:pt>
                  <c:pt idx="5">
                    <c:v>3.1040000000000002E-2</c:v>
                  </c:pt>
                  <c:pt idx="6">
                    <c:v>3.5499999999999997E-2</c:v>
                  </c:pt>
                  <c:pt idx="7">
                    <c:v>4.1200000000000001E-2</c:v>
                  </c:pt>
                  <c:pt idx="8">
                    <c:v>4.6299999999999994E-2</c:v>
                  </c:pt>
                  <c:pt idx="9">
                    <c:v>5.0500000000000003E-2</c:v>
                  </c:pt>
                  <c:pt idx="10">
                    <c:v>5.5599999999999997E-2</c:v>
                  </c:pt>
                  <c:pt idx="11">
                    <c:v>6.0899999999999996E-2</c:v>
                  </c:pt>
                  <c:pt idx="12">
                    <c:v>6.6449999999999995E-2</c:v>
                  </c:pt>
                  <c:pt idx="13">
                    <c:v>7.0349999999999996E-2</c:v>
                  </c:pt>
                  <c:pt idx="14">
                    <c:v>7.51E-2</c:v>
                  </c:pt>
                  <c:pt idx="15">
                    <c:v>0.08</c:v>
                  </c:pt>
                  <c:pt idx="16">
                    <c:v>8.48E-2</c:v>
                  </c:pt>
                  <c:pt idx="17">
                    <c:v>8.7800000000000003E-2</c:v>
                  </c:pt>
                  <c:pt idx="18">
                    <c:v>9.0399999999999994E-2</c:v>
                  </c:pt>
                  <c:pt idx="19">
                    <c:v>9.2899999999999996E-2</c:v>
                  </c:pt>
                  <c:pt idx="20">
                    <c:v>9.4550000000000009E-2</c:v>
                  </c:pt>
                  <c:pt idx="21">
                    <c:v>0.1003</c:v>
                  </c:pt>
                  <c:pt idx="22">
                    <c:v>0.10529999999999999</c:v>
                  </c:pt>
                  <c:pt idx="23">
                    <c:v>0.11</c:v>
                  </c:pt>
                  <c:pt idx="24">
                    <c:v>0.11410000000000001</c:v>
                  </c:pt>
                  <c:pt idx="25">
                    <c:v>0.11960000000000001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'Parte 2'!$G$3</c:f>
                <c:numCache>
                  <c:formatCode>General</c:formatCode>
                  <c:ptCount val="1"/>
                  <c:pt idx="0">
                    <c:v>9.9999999999999995E-7</c:v>
                  </c:pt>
                </c:numCache>
              </c:numRef>
            </c:plus>
            <c:minus>
              <c:numRef>
                <c:f>'Parte 2'!$G$3</c:f>
                <c:numCache>
                  <c:formatCode>General</c:formatCode>
                  <c:ptCount val="1"/>
                  <c:pt idx="0">
                    <c:v>9.9999999999999995E-7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'Parte 2'!$M$28:$M$32</c:f>
              <c:numCache>
                <c:formatCode>0.000</c:formatCode>
                <c:ptCount val="5"/>
                <c:pt idx="0">
                  <c:v>15.947699999999999</c:v>
                </c:pt>
                <c:pt idx="1">
                  <c:v>17.163899999999998</c:v>
                </c:pt>
                <c:pt idx="2">
                  <c:v>18.369999999999997</c:v>
                </c:pt>
                <c:pt idx="3">
                  <c:v>19.396999999999998</c:v>
                </c:pt>
                <c:pt idx="4" formatCode="0.00">
                  <c:v>20.810400000000001</c:v>
                </c:pt>
              </c:numCache>
            </c:numRef>
          </c:xVal>
          <c:yVal>
            <c:numRef>
              <c:f>'Parte 2'!$F$28:$F$32</c:f>
              <c:numCache>
                <c:formatCode>0.000000</c:formatCode>
                <c:ptCount val="5"/>
                <c:pt idx="0">
                  <c:v>8.0500000000000016E-3</c:v>
                </c:pt>
                <c:pt idx="1">
                  <c:v>8.7690000000000008E-3</c:v>
                </c:pt>
                <c:pt idx="2">
                  <c:v>9.3699999999999999E-3</c:v>
                </c:pt>
                <c:pt idx="3">
                  <c:v>1.0060000000000001E-2</c:v>
                </c:pt>
                <c:pt idx="4">
                  <c:v>1.0840000000000001E-2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87-4683-8DD3-013A145FD586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2'!$M$28:$M$32</c:f>
              <c:numCache>
                <c:formatCode>0.000</c:formatCode>
                <c:ptCount val="5"/>
                <c:pt idx="0">
                  <c:v>15.947699999999999</c:v>
                </c:pt>
                <c:pt idx="1">
                  <c:v>17.163899999999998</c:v>
                </c:pt>
                <c:pt idx="2">
                  <c:v>18.369999999999997</c:v>
                </c:pt>
                <c:pt idx="3">
                  <c:v>19.396999999999998</c:v>
                </c:pt>
                <c:pt idx="4" formatCode="0.00">
                  <c:v>20.810400000000001</c:v>
                </c:pt>
              </c:numCache>
            </c:numRef>
          </c:xVal>
          <c:yVal>
            <c:numRef>
              <c:f>'Parte 2'!$Y$28:$Y$32</c:f>
              <c:numCache>
                <c:formatCode>0.0000000</c:formatCode>
                <c:ptCount val="5"/>
                <c:pt idx="0">
                  <c:v>8.0455257490017612E-3</c:v>
                </c:pt>
                <c:pt idx="1">
                  <c:v>8.7438061322761256E-3</c:v>
                </c:pt>
                <c:pt idx="2">
                  <c:v>9.4362876075821701E-3</c:v>
                </c:pt>
                <c:pt idx="3">
                  <c:v>1.0025938942578694E-2</c:v>
                </c:pt>
                <c:pt idx="4">
                  <c:v>1.0837441568561253E-2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87-4683-8DD3-013A145FD5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492991"/>
        <c:axId val="1458353375"/>
      </c:scatterChart>
      <c:valAx>
        <c:axId val="1463492991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P</a:t>
                </a:r>
                <a:r>
                  <a:rPr lang="pt-PT" sz="1400" baseline="0"/>
                  <a:t> (W)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353375"/>
        <c:crossesAt val="-90"/>
        <c:crossBetween val="midCat"/>
      </c:valAx>
      <c:valAx>
        <c:axId val="1458353375"/>
        <c:scaling>
          <c:orientation val="minMax"/>
          <c:min val="7.000000000000001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</a:t>
                </a:r>
                <a:r>
                  <a:rPr lang="pt-PT" sz="1400" baseline="-25000"/>
                  <a:t>S</a:t>
                </a:r>
                <a:r>
                  <a:rPr lang="pt-PT" sz="1400"/>
                  <a:t>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492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638250318680051"/>
          <c:y val="0.56709038507098153"/>
          <c:w val="0.21996974287716933"/>
          <c:h val="0.23430883639545058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log(Vs)[log(T)] - Regressão Linear 2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49603349738649"/>
          <c:y val="0.13077312660953422"/>
          <c:w val="0.81387019134853389"/>
          <c:h val="0.71946604725897789"/>
        </c:manualLayout>
      </c:layout>
      <c:scatterChart>
        <c:scatterStyle val="lineMarker"/>
        <c:varyColors val="0"/>
        <c:ser>
          <c:idx val="0"/>
          <c:order val="0"/>
          <c:tx>
            <c:v>log(Vs)(log(T))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'Parte 2'!$P$7:$P$32</c:f>
                <c:numCache>
                  <c:formatCode>General</c:formatCode>
                  <c:ptCount val="26"/>
                  <c:pt idx="0">
                    <c:v>3.8189201734085414E-3</c:v>
                  </c:pt>
                  <c:pt idx="1">
                    <c:v>3.0235230979647515E-3</c:v>
                  </c:pt>
                  <c:pt idx="2">
                    <c:v>2.0679023575996946E-3</c:v>
                  </c:pt>
                  <c:pt idx="3">
                    <c:v>1.4837321404807735E-3</c:v>
                  </c:pt>
                  <c:pt idx="4">
                    <c:v>4.8029560660192456E-4</c:v>
                  </c:pt>
                  <c:pt idx="5">
                    <c:v>2.9579834580167945E-4</c:v>
                  </c:pt>
                  <c:pt idx="6">
                    <c:v>8.3262501515616878E-4</c:v>
                  </c:pt>
                  <c:pt idx="7">
                    <c:v>1.4242243576950597E-3</c:v>
                  </c:pt>
                  <c:pt idx="8">
                    <c:v>1.7584482127860502E-3</c:v>
                  </c:pt>
                  <c:pt idx="9">
                    <c:v>2.021900503778385E-3</c:v>
                  </c:pt>
                  <c:pt idx="10">
                    <c:v>2.3090640823971932E-3</c:v>
                  </c:pt>
                  <c:pt idx="11">
                    <c:v>2.5481523485219554E-3</c:v>
                  </c:pt>
                  <c:pt idx="12">
                    <c:v>2.7971699731912576E-3</c:v>
                  </c:pt>
                  <c:pt idx="13">
                    <c:v>2.9346570718789774E-3</c:v>
                  </c:pt>
                  <c:pt idx="14">
                    <c:v>3.0830014266036046E-3</c:v>
                  </c:pt>
                  <c:pt idx="15">
                    <c:v>3.2338224684008367E-3</c:v>
                  </c:pt>
                  <c:pt idx="16">
                    <c:v>3.3609958540935167E-3</c:v>
                  </c:pt>
                  <c:pt idx="17">
                    <c:v>3.4465606031260265E-3</c:v>
                  </c:pt>
                  <c:pt idx="18">
                    <c:v>3.5152004760873523E-3</c:v>
                  </c:pt>
                  <c:pt idx="19">
                    <c:v>3.5611509268677522E-3</c:v>
                  </c:pt>
                  <c:pt idx="20">
                    <c:v>3.59101428916523E-3</c:v>
                  </c:pt>
                  <c:pt idx="21">
                    <c:v>3.7176475362246508E-3</c:v>
                  </c:pt>
                  <c:pt idx="22">
                    <c:v>3.8141850240212098E-3</c:v>
                  </c:pt>
                  <c:pt idx="23">
                    <c:v>3.903049177525758E-3</c:v>
                  </c:pt>
                  <c:pt idx="24">
                    <c:v>3.9694504523869294E-3</c:v>
                  </c:pt>
                  <c:pt idx="25">
                    <c:v>4.0536098873072499E-3</c:v>
                  </c:pt>
                </c:numCache>
              </c:numRef>
            </c:plus>
            <c:minus>
              <c:numRef>
                <c:f>'Parte 2'!$P$7:$P$32</c:f>
                <c:numCache>
                  <c:formatCode>General</c:formatCode>
                  <c:ptCount val="26"/>
                  <c:pt idx="0">
                    <c:v>3.8189201734085414E-3</c:v>
                  </c:pt>
                  <c:pt idx="1">
                    <c:v>3.0235230979647515E-3</c:v>
                  </c:pt>
                  <c:pt idx="2">
                    <c:v>2.0679023575996946E-3</c:v>
                  </c:pt>
                  <c:pt idx="3">
                    <c:v>1.4837321404807735E-3</c:v>
                  </c:pt>
                  <c:pt idx="4">
                    <c:v>4.8029560660192456E-4</c:v>
                  </c:pt>
                  <c:pt idx="5">
                    <c:v>2.9579834580167945E-4</c:v>
                  </c:pt>
                  <c:pt idx="6">
                    <c:v>8.3262501515616878E-4</c:v>
                  </c:pt>
                  <c:pt idx="7">
                    <c:v>1.4242243576950597E-3</c:v>
                  </c:pt>
                  <c:pt idx="8">
                    <c:v>1.7584482127860502E-3</c:v>
                  </c:pt>
                  <c:pt idx="9">
                    <c:v>2.021900503778385E-3</c:v>
                  </c:pt>
                  <c:pt idx="10">
                    <c:v>2.3090640823971932E-3</c:v>
                  </c:pt>
                  <c:pt idx="11">
                    <c:v>2.5481523485219554E-3</c:v>
                  </c:pt>
                  <c:pt idx="12">
                    <c:v>2.7971699731912576E-3</c:v>
                  </c:pt>
                  <c:pt idx="13">
                    <c:v>2.9346570718789774E-3</c:v>
                  </c:pt>
                  <c:pt idx="14">
                    <c:v>3.0830014266036046E-3</c:v>
                  </c:pt>
                  <c:pt idx="15">
                    <c:v>3.2338224684008367E-3</c:v>
                  </c:pt>
                  <c:pt idx="16">
                    <c:v>3.3609958540935167E-3</c:v>
                  </c:pt>
                  <c:pt idx="17">
                    <c:v>3.4465606031260265E-3</c:v>
                  </c:pt>
                  <c:pt idx="18">
                    <c:v>3.5152004760873523E-3</c:v>
                  </c:pt>
                  <c:pt idx="19">
                    <c:v>3.5611509268677522E-3</c:v>
                  </c:pt>
                  <c:pt idx="20">
                    <c:v>3.59101428916523E-3</c:v>
                  </c:pt>
                  <c:pt idx="21">
                    <c:v>3.7176475362246508E-3</c:v>
                  </c:pt>
                  <c:pt idx="22">
                    <c:v>3.8141850240212098E-3</c:v>
                  </c:pt>
                  <c:pt idx="23">
                    <c:v>3.903049177525758E-3</c:v>
                  </c:pt>
                  <c:pt idx="24">
                    <c:v>3.9694504523869294E-3</c:v>
                  </c:pt>
                  <c:pt idx="25">
                    <c:v>4.0536098873072499E-3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'Parte 2'!$R$7:$R$32</c:f>
                <c:numCache>
                  <c:formatCode>General</c:formatCode>
                  <c:ptCount val="26"/>
                  <c:pt idx="0">
                    <c:v>2.8952965460216787E-3</c:v>
                  </c:pt>
                  <c:pt idx="1">
                    <c:v>2.2857604310697463E-3</c:v>
                  </c:pt>
                  <c:pt idx="2">
                    <c:v>2.7143405118953234E-3</c:v>
                  </c:pt>
                  <c:pt idx="3">
                    <c:v>1.7165789798547501E-3</c:v>
                  </c:pt>
                  <c:pt idx="4">
                    <c:v>1.0099871672168647E-3</c:v>
                  </c:pt>
                  <c:pt idx="5">
                    <c:v>5.1213971922553275E-4</c:v>
                  </c:pt>
                  <c:pt idx="6">
                    <c:v>4.5051294803241882E-4</c:v>
                  </c:pt>
                  <c:pt idx="7">
                    <c:v>3.5892105942417505E-4</c:v>
                  </c:pt>
                  <c:pt idx="8">
                    <c:v>2.5456886395266808E-4</c:v>
                  </c:pt>
                  <c:pt idx="9">
                    <c:v>2.0466280956797916E-4</c:v>
                  </c:pt>
                  <c:pt idx="10">
                    <c:v>1.663963532196367E-4</c:v>
                  </c:pt>
                  <c:pt idx="11">
                    <c:v>1.3977936334188984E-4</c:v>
                  </c:pt>
                  <c:pt idx="12">
                    <c:v>1.1718685426423415E-4</c:v>
                  </c:pt>
                  <c:pt idx="13">
                    <c:v>1.0211485584369899E-4</c:v>
                  </c:pt>
                  <c:pt idx="14">
                    <c:v>9.057236327492216E-5</c:v>
                  </c:pt>
                  <c:pt idx="15">
                    <c:v>8.0454702093970309E-5</c:v>
                  </c:pt>
                  <c:pt idx="16">
                    <c:v>7.2563823208563358E-5</c:v>
                  </c:pt>
                  <c:pt idx="17">
                    <c:v>6.9710189711597392E-5</c:v>
                  </c:pt>
                  <c:pt idx="18">
                    <c:v>6.6814535677423345E-5</c:v>
                  </c:pt>
                  <c:pt idx="19">
                    <c:v>6.4055233319063677E-5</c:v>
                  </c:pt>
                  <c:pt idx="20">
                    <c:v>6.0093328061886225E-5</c:v>
                  </c:pt>
                  <c:pt idx="21">
                    <c:v>5.3949625081149278E-5</c:v>
                  </c:pt>
                  <c:pt idx="22">
                    <c:v>4.952611265859867E-5</c:v>
                  </c:pt>
                  <c:pt idx="23">
                    <c:v>4.6349464450720579E-5</c:v>
                  </c:pt>
                  <c:pt idx="24">
                    <c:v>4.3170425636506131E-5</c:v>
                  </c:pt>
                  <c:pt idx="25">
                    <c:v>4.0064066596240934E-5</c:v>
                  </c:pt>
                </c:numCache>
              </c:numRef>
            </c:plus>
            <c:minus>
              <c:numRef>
                <c:f>'Parte 2'!$R$7:$R$32</c:f>
                <c:numCache>
                  <c:formatCode>General</c:formatCode>
                  <c:ptCount val="26"/>
                  <c:pt idx="0">
                    <c:v>2.8952965460216787E-3</c:v>
                  </c:pt>
                  <c:pt idx="1">
                    <c:v>2.2857604310697463E-3</c:v>
                  </c:pt>
                  <c:pt idx="2">
                    <c:v>2.7143405118953234E-3</c:v>
                  </c:pt>
                  <c:pt idx="3">
                    <c:v>1.7165789798547501E-3</c:v>
                  </c:pt>
                  <c:pt idx="4">
                    <c:v>1.0099871672168647E-3</c:v>
                  </c:pt>
                  <c:pt idx="5">
                    <c:v>5.1213971922553275E-4</c:v>
                  </c:pt>
                  <c:pt idx="6">
                    <c:v>4.5051294803241882E-4</c:v>
                  </c:pt>
                  <c:pt idx="7">
                    <c:v>3.5892105942417505E-4</c:v>
                  </c:pt>
                  <c:pt idx="8">
                    <c:v>2.5456886395266808E-4</c:v>
                  </c:pt>
                  <c:pt idx="9">
                    <c:v>2.0466280956797916E-4</c:v>
                  </c:pt>
                  <c:pt idx="10">
                    <c:v>1.663963532196367E-4</c:v>
                  </c:pt>
                  <c:pt idx="11">
                    <c:v>1.3977936334188984E-4</c:v>
                  </c:pt>
                  <c:pt idx="12">
                    <c:v>1.1718685426423415E-4</c:v>
                  </c:pt>
                  <c:pt idx="13">
                    <c:v>1.0211485584369899E-4</c:v>
                  </c:pt>
                  <c:pt idx="14">
                    <c:v>9.057236327492216E-5</c:v>
                  </c:pt>
                  <c:pt idx="15">
                    <c:v>8.0454702093970309E-5</c:v>
                  </c:pt>
                  <c:pt idx="16">
                    <c:v>7.2563823208563358E-5</c:v>
                  </c:pt>
                  <c:pt idx="17">
                    <c:v>6.9710189711597392E-5</c:v>
                  </c:pt>
                  <c:pt idx="18">
                    <c:v>6.6814535677423345E-5</c:v>
                  </c:pt>
                  <c:pt idx="19">
                    <c:v>6.4055233319063677E-5</c:v>
                  </c:pt>
                  <c:pt idx="20">
                    <c:v>6.0093328061886225E-5</c:v>
                  </c:pt>
                  <c:pt idx="21">
                    <c:v>5.3949625081149278E-5</c:v>
                  </c:pt>
                  <c:pt idx="22">
                    <c:v>4.952611265859867E-5</c:v>
                  </c:pt>
                  <c:pt idx="23">
                    <c:v>4.6349464450720579E-5</c:v>
                  </c:pt>
                  <c:pt idx="24">
                    <c:v>4.3170425636506131E-5</c:v>
                  </c:pt>
                  <c:pt idx="25">
                    <c:v>4.0064066596240934E-5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'Parte 2'!$O$28:$O$32</c:f>
              <c:numCache>
                <c:formatCode>0.0000000</c:formatCode>
                <c:ptCount val="5"/>
                <c:pt idx="0">
                  <c:v>3.2969480436789005</c:v>
                </c:pt>
                <c:pt idx="1">
                  <c:v>3.3057837917491555</c:v>
                </c:pt>
                <c:pt idx="2">
                  <c:v>3.3129868291207454</c:v>
                </c:pt>
                <c:pt idx="3">
                  <c:v>3.3199482892845902</c:v>
                </c:pt>
                <c:pt idx="4">
                  <c:v>3.3287630747749728</c:v>
                </c:pt>
              </c:numCache>
            </c:numRef>
          </c:xVal>
          <c:yVal>
            <c:numRef>
              <c:f>'Parte 2'!$Q$28:$Q$32</c:f>
              <c:numCache>
                <c:formatCode>0.00000</c:formatCode>
                <c:ptCount val="5"/>
                <c:pt idx="0">
                  <c:v>-2.0942041196321313</c:v>
                </c:pt>
                <c:pt idx="1">
                  <c:v>-2.057049929922901</c:v>
                </c:pt>
                <c:pt idx="2" formatCode="0.000">
                  <c:v>-2.0282604091122218</c:v>
                </c:pt>
                <c:pt idx="3">
                  <c:v>-1.9974020192800914</c:v>
                </c:pt>
                <c:pt idx="4">
                  <c:v>-1.9649707177976319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82-45AF-8E0D-99E30EFCD86C}"/>
            </c:ext>
          </c:extLst>
        </c:ser>
        <c:ser>
          <c:idx val="1"/>
          <c:order val="1"/>
          <c:tx>
            <c:v>Aj. lin.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'Parte 2'!$O$28:$O$32</c:f>
              <c:numCache>
                <c:formatCode>0.0000000</c:formatCode>
                <c:ptCount val="5"/>
                <c:pt idx="0">
                  <c:v>3.2969480436789005</c:v>
                </c:pt>
                <c:pt idx="1">
                  <c:v>3.3057837917491555</c:v>
                </c:pt>
                <c:pt idx="2">
                  <c:v>3.3129868291207454</c:v>
                </c:pt>
                <c:pt idx="3">
                  <c:v>3.3199482892845902</c:v>
                </c:pt>
                <c:pt idx="4">
                  <c:v>3.3287630747749728</c:v>
                </c:pt>
              </c:numCache>
            </c:numRef>
          </c:xVal>
          <c:yVal>
            <c:numRef>
              <c:f>'Parte 2'!$AA$28:$AA$32</c:f>
              <c:numCache>
                <c:formatCode>0.000</c:formatCode>
                <c:ptCount val="5"/>
                <c:pt idx="0">
                  <c:v>-2.0935104852190456</c:v>
                </c:pt>
                <c:pt idx="1">
                  <c:v>-2.0574017791888242</c:v>
                </c:pt>
                <c:pt idx="2">
                  <c:v>-2.0279654081076917</c:v>
                </c:pt>
                <c:pt idx="3">
                  <c:v>-1.9995162811522071</c:v>
                </c:pt>
                <c:pt idx="4">
                  <c:v>-1.9634932420772042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82-45AF-8E0D-99E30EFCD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091423"/>
        <c:axId val="1467241439"/>
      </c:scatterChart>
      <c:valAx>
        <c:axId val="1465091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log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241439"/>
        <c:crossesAt val="-90"/>
        <c:crossBetween val="midCat"/>
      </c:valAx>
      <c:valAx>
        <c:axId val="146724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log(Vs)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09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644739017636373"/>
          <c:y val="0.65771414422545615"/>
          <c:w val="0.17617130512761547"/>
          <c:h val="0.15585698536485654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Resíduos  log(Vs)[log(T)] - Regressão Linear 2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08025245219219"/>
          <c:y val="0.14532529301917635"/>
          <c:w val="0.77915682432721134"/>
          <c:h val="0.66650544013093205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2'!$O$28:$O$32</c:f>
              <c:numCache>
                <c:formatCode>0.0000000</c:formatCode>
                <c:ptCount val="5"/>
                <c:pt idx="0">
                  <c:v>3.2969480436789005</c:v>
                </c:pt>
                <c:pt idx="1">
                  <c:v>3.3057837917491555</c:v>
                </c:pt>
                <c:pt idx="2">
                  <c:v>3.3129868291207454</c:v>
                </c:pt>
                <c:pt idx="3">
                  <c:v>3.3199482892845902</c:v>
                </c:pt>
                <c:pt idx="4">
                  <c:v>3.3287630747749728</c:v>
                </c:pt>
              </c:numCache>
            </c:numRef>
          </c:xVal>
          <c:yVal>
            <c:numRef>
              <c:f>'Parte 2'!$AB$28:$AB$32</c:f>
              <c:numCache>
                <c:formatCode>0.00E+00</c:formatCode>
                <c:ptCount val="5"/>
                <c:pt idx="0">
                  <c:v>6.9363441308567531E-4</c:v>
                </c:pt>
                <c:pt idx="1">
                  <c:v>-3.5184926592313204E-4</c:v>
                </c:pt>
                <c:pt idx="2">
                  <c:v>2.9500100453017097E-4</c:v>
                </c:pt>
                <c:pt idx="3">
                  <c:v>-2.1142618721157191E-3</c:v>
                </c:pt>
                <c:pt idx="4">
                  <c:v>1.4774757204276678E-3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6C-47DF-A058-0C03C531B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465599"/>
        <c:axId val="1151367759"/>
      </c:scatterChart>
      <c:valAx>
        <c:axId val="115146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log 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367759"/>
        <c:crossesAt val="-90"/>
        <c:crossBetween val="midCat"/>
      </c:valAx>
      <c:valAx>
        <c:axId val="11513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1465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048263572752263"/>
          <c:y val="0.70368618263185367"/>
          <c:w val="0.1306953338657145"/>
          <c:h val="7.8876238538662435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 b="0" i="0" baseline="0">
                <a:effectLst/>
              </a:rPr>
              <a:t>Resíduos de V</a:t>
            </a:r>
            <a:r>
              <a:rPr lang="pt-PT" sz="1800" b="0" i="0" baseline="-25000">
                <a:effectLst/>
              </a:rPr>
              <a:t>S</a:t>
            </a:r>
            <a:r>
              <a:rPr lang="pt-PT" sz="1800" b="0" i="0" baseline="0">
                <a:effectLst/>
              </a:rPr>
              <a:t>(P) - Regressão Linear 2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878592958040934"/>
          <c:y val="0.1535271161889406"/>
          <c:w val="0.75851549776653415"/>
          <c:h val="0.71121118387498528"/>
        </c:manualLayout>
      </c:layout>
      <c:scatterChart>
        <c:scatterStyle val="lineMarker"/>
        <c:varyColors val="0"/>
        <c:ser>
          <c:idx val="0"/>
          <c:order val="0"/>
          <c:tx>
            <c:v>Res. Vs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'Parte 2'!$M$28:$M$32</c:f>
              <c:numCache>
                <c:formatCode>0.000</c:formatCode>
                <c:ptCount val="5"/>
                <c:pt idx="0">
                  <c:v>15.947699999999999</c:v>
                </c:pt>
                <c:pt idx="1">
                  <c:v>17.163899999999998</c:v>
                </c:pt>
                <c:pt idx="2">
                  <c:v>18.369999999999997</c:v>
                </c:pt>
                <c:pt idx="3">
                  <c:v>19.396999999999998</c:v>
                </c:pt>
                <c:pt idx="4" formatCode="0.00">
                  <c:v>20.810400000000001</c:v>
                </c:pt>
              </c:numCache>
            </c:numRef>
          </c:xVal>
          <c:yVal>
            <c:numRef>
              <c:f>'Parte 2'!$Z$28:$Z$32</c:f>
              <c:numCache>
                <c:formatCode>0.0000000</c:formatCode>
                <c:ptCount val="5"/>
                <c:pt idx="0">
                  <c:v>-4.4742509982403922E-6</c:v>
                </c:pt>
                <c:pt idx="1">
                  <c:v>-2.5193867723875135E-5</c:v>
                </c:pt>
                <c:pt idx="2">
                  <c:v>6.6287607582170283E-5</c:v>
                </c:pt>
                <c:pt idx="3">
                  <c:v>-3.4061057421307453E-5</c:v>
                </c:pt>
                <c:pt idx="4">
                  <c:v>-2.5584314387473023E-6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F7-4956-AB2A-F47092FA6C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3125935"/>
        <c:axId val="1243127567"/>
      </c:scatterChart>
      <c:valAx>
        <c:axId val="1243125935"/>
        <c:scaling>
          <c:orientation val="minMax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P(W)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127567"/>
        <c:crossesAt val="-90"/>
        <c:crossBetween val="midCat"/>
      </c:valAx>
      <c:valAx>
        <c:axId val="124312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125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859954489275832"/>
          <c:y val="0.22836073319564779"/>
          <c:w val="0.10889068058680232"/>
          <c:h val="7.7369078657528109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609600</xdr:colOff>
      <xdr:row>0</xdr:row>
      <xdr:rowOff>175260</xdr:rowOff>
    </xdr:from>
    <xdr:to>
      <xdr:col>21</xdr:col>
      <xdr:colOff>447702</xdr:colOff>
      <xdr:row>14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E6D123C-7130-5243-B720-F6901521DF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122045</xdr:colOff>
      <xdr:row>1</xdr:row>
      <xdr:rowOff>29690</xdr:rowOff>
    </xdr:from>
    <xdr:to>
      <xdr:col>27</xdr:col>
      <xdr:colOff>772860</xdr:colOff>
      <xdr:row>14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3477578-F28C-184E-BFC1-6AD5C48B0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50072</xdr:colOff>
      <xdr:row>13</xdr:row>
      <xdr:rowOff>199215</xdr:rowOff>
    </xdr:from>
    <xdr:to>
      <xdr:col>27</xdr:col>
      <xdr:colOff>766607</xdr:colOff>
      <xdr:row>26</xdr:row>
      <xdr:rowOff>130735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0FE508F-BF24-9F4A-9EE2-A9F9C4EB6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104081</xdr:colOff>
      <xdr:row>28</xdr:row>
      <xdr:rowOff>24545</xdr:rowOff>
    </xdr:from>
    <xdr:to>
      <xdr:col>27</xdr:col>
      <xdr:colOff>787506</xdr:colOff>
      <xdr:row>40</xdr:row>
      <xdr:rowOff>189164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AC8B22F-AE69-074C-A210-33E9C135C4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45008</xdr:colOff>
      <xdr:row>41</xdr:row>
      <xdr:rowOff>86569</xdr:rowOff>
    </xdr:from>
    <xdr:to>
      <xdr:col>28</xdr:col>
      <xdr:colOff>20062</xdr:colOff>
      <xdr:row>54</xdr:row>
      <xdr:rowOff>56029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37F3502-04C5-7C49-96C6-7530E5A101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1342</xdr:colOff>
      <xdr:row>33</xdr:row>
      <xdr:rowOff>1497</xdr:rowOff>
    </xdr:from>
    <xdr:to>
      <xdr:col>6</xdr:col>
      <xdr:colOff>457200</xdr:colOff>
      <xdr:row>48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8DF73E8-5FE4-8A46-845A-F317AC11A8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810669</xdr:colOff>
      <xdr:row>64</xdr:row>
      <xdr:rowOff>681</xdr:rowOff>
    </xdr:from>
    <xdr:to>
      <xdr:col>6</xdr:col>
      <xdr:colOff>476003</xdr:colOff>
      <xdr:row>80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6371406-EA5B-A042-9AAD-BE96E0F8E5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819283</xdr:colOff>
      <xdr:row>81</xdr:row>
      <xdr:rowOff>186251</xdr:rowOff>
    </xdr:from>
    <xdr:to>
      <xdr:col>6</xdr:col>
      <xdr:colOff>511629</xdr:colOff>
      <xdr:row>97</xdr:row>
      <xdr:rowOff>10886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72645E8-E8FE-E74F-BDEE-03422F33E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110</xdr:colOff>
      <xdr:row>49</xdr:row>
      <xdr:rowOff>10887</xdr:rowOff>
    </xdr:from>
    <xdr:to>
      <xdr:col>6</xdr:col>
      <xdr:colOff>460614</xdr:colOff>
      <xdr:row>63</xdr:row>
      <xdr:rowOff>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B5E0E1D-162F-9D4A-87B4-73E3ECE2D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424543</xdr:colOff>
      <xdr:row>33</xdr:row>
      <xdr:rowOff>2367</xdr:rowOff>
    </xdr:from>
    <xdr:to>
      <xdr:col>16</xdr:col>
      <xdr:colOff>795874</xdr:colOff>
      <xdr:row>48</xdr:row>
      <xdr:rowOff>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B72BEDC2-54C8-49D8-94EE-41451C7314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454411</xdr:colOff>
      <xdr:row>63</xdr:row>
      <xdr:rowOff>194647</xdr:rowOff>
    </xdr:from>
    <xdr:to>
      <xdr:col>16</xdr:col>
      <xdr:colOff>925285</xdr:colOff>
      <xdr:row>81</xdr:row>
      <xdr:rowOff>10886</xdr:rowOff>
    </xdr:to>
    <xdr:graphicFrame macro="">
      <xdr:nvGraphicFramePr>
        <xdr:cNvPr id="10" name="Gráfico 3">
          <a:extLst>
            <a:ext uri="{FF2B5EF4-FFF2-40B4-BE49-F238E27FC236}">
              <a16:creationId xmlns:a16="http://schemas.microsoft.com/office/drawing/2014/main" id="{BF36BA21-BA88-4E8E-9401-9E7C70368B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489447</xdr:colOff>
      <xdr:row>81</xdr:row>
      <xdr:rowOff>192188</xdr:rowOff>
    </xdr:from>
    <xdr:to>
      <xdr:col>16</xdr:col>
      <xdr:colOff>968829</xdr:colOff>
      <xdr:row>96</xdr:row>
      <xdr:rowOff>180109</xdr:rowOff>
    </xdr:to>
    <xdr:graphicFrame macro="">
      <xdr:nvGraphicFramePr>
        <xdr:cNvPr id="11" name="Gráfico 4">
          <a:extLst>
            <a:ext uri="{FF2B5EF4-FFF2-40B4-BE49-F238E27FC236}">
              <a16:creationId xmlns:a16="http://schemas.microsoft.com/office/drawing/2014/main" id="{59F09C8C-30F1-461F-9D4E-322C745B5F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435539</xdr:colOff>
      <xdr:row>48</xdr:row>
      <xdr:rowOff>190994</xdr:rowOff>
    </xdr:from>
    <xdr:to>
      <xdr:col>16</xdr:col>
      <xdr:colOff>896043</xdr:colOff>
      <xdr:row>63</xdr:row>
      <xdr:rowOff>13855</xdr:rowOff>
    </xdr:to>
    <xdr:graphicFrame macro="">
      <xdr:nvGraphicFramePr>
        <xdr:cNvPr id="12" name="Gráfico 5">
          <a:extLst>
            <a:ext uri="{FF2B5EF4-FFF2-40B4-BE49-F238E27FC236}">
              <a16:creationId xmlns:a16="http://schemas.microsoft.com/office/drawing/2014/main" id="{F70C5E00-C6DA-41D7-ADEC-75EF7BE1A4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EC0E9-8704-9340-ADAF-61A97903F87A}">
  <dimension ref="A1:V43"/>
  <sheetViews>
    <sheetView topLeftCell="A9" zoomScale="67" workbookViewId="0">
      <selection activeCell="C13" sqref="C13"/>
    </sheetView>
  </sheetViews>
  <sheetFormatPr defaultColWidth="10.796875" defaultRowHeight="15.6"/>
  <cols>
    <col min="1" max="1" width="4.19921875" customWidth="1"/>
    <col min="2" max="2" width="21.5" customWidth="1"/>
    <col min="5" max="5" width="15.69921875" bestFit="1" customWidth="1"/>
    <col min="6" max="6" width="15.69921875" customWidth="1"/>
    <col min="7" max="7" width="17" customWidth="1"/>
    <col min="8" max="10" width="16.5" customWidth="1"/>
    <col min="13" max="13" width="13.19921875" bestFit="1" customWidth="1"/>
    <col min="14" max="14" width="14.09765625" bestFit="1" customWidth="1"/>
  </cols>
  <sheetData>
    <row r="1" spans="1:22">
      <c r="B1" s="1"/>
      <c r="C1" s="1"/>
      <c r="D1" s="1"/>
      <c r="E1" s="1"/>
      <c r="F1" s="1"/>
      <c r="G1" s="1"/>
      <c r="H1" s="1"/>
      <c r="I1" s="1"/>
      <c r="J1" s="1" t="s">
        <v>57</v>
      </c>
      <c r="K1" s="1"/>
      <c r="L1" s="1"/>
      <c r="M1" s="1"/>
      <c r="N1" s="1"/>
      <c r="O1" s="1"/>
      <c r="P1" s="1"/>
    </row>
    <row r="2" spans="1:22">
      <c r="B2" s="1"/>
      <c r="C2" s="1"/>
      <c r="D2" s="1"/>
      <c r="E2" s="1"/>
      <c r="F2" s="1"/>
      <c r="G2" s="1"/>
      <c r="H2" s="1"/>
      <c r="I2" s="1"/>
      <c r="J2" s="1">
        <v>1205</v>
      </c>
      <c r="K2" s="1"/>
      <c r="L2" s="1"/>
      <c r="M2" s="1"/>
      <c r="N2" s="1"/>
      <c r="O2" s="1"/>
      <c r="P2" s="1"/>
    </row>
    <row r="3" spans="1:22">
      <c r="B3" s="32" t="s">
        <v>49</v>
      </c>
      <c r="C3" s="2"/>
      <c r="D3" s="1"/>
      <c r="E3" s="33" t="s">
        <v>31</v>
      </c>
      <c r="F3" s="31">
        <f>M10/$M$10</f>
        <v>1</v>
      </c>
      <c r="H3" s="1"/>
      <c r="I3" s="38" t="s">
        <v>55</v>
      </c>
      <c r="J3" s="1">
        <v>920</v>
      </c>
      <c r="K3" s="1" t="s">
        <v>56</v>
      </c>
      <c r="L3" s="1"/>
      <c r="M3" s="1"/>
      <c r="N3" s="1"/>
      <c r="O3" s="1"/>
      <c r="P3" s="1"/>
    </row>
    <row r="4" spans="1:22">
      <c r="B4" s="32" t="s">
        <v>13</v>
      </c>
      <c r="C4" s="15">
        <f>1*10</f>
        <v>10</v>
      </c>
      <c r="D4" s="1"/>
      <c r="E4" s="33" t="s">
        <v>32</v>
      </c>
      <c r="F4" s="18">
        <f>M19/$M$10</f>
        <v>2.4510674545988063</v>
      </c>
      <c r="H4" s="1"/>
      <c r="I4" s="1"/>
      <c r="J4" s="1">
        <v>809</v>
      </c>
      <c r="K4" s="16"/>
      <c r="L4" s="1"/>
      <c r="M4" s="1"/>
      <c r="N4" s="1"/>
      <c r="O4" s="1"/>
      <c r="P4" s="1"/>
    </row>
    <row r="5" spans="1:22">
      <c r="A5" s="1"/>
      <c r="B5" s="32" t="s">
        <v>30</v>
      </c>
      <c r="C5" s="2">
        <f>0.01*10^-3</f>
        <v>1.0000000000000001E-5</v>
      </c>
      <c r="D5" s="1"/>
      <c r="E5" s="33" t="s">
        <v>33</v>
      </c>
      <c r="F5" s="18">
        <f>M28/$M$10</f>
        <v>1.0175043034303604</v>
      </c>
      <c r="H5" s="1"/>
      <c r="I5" s="1"/>
      <c r="J5" s="1">
        <v>628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/>
      <c r="D6" s="1"/>
      <c r="E6" s="33" t="s">
        <v>34</v>
      </c>
      <c r="F6" s="18">
        <f>M37/$M$10</f>
        <v>0.34682032760032294</v>
      </c>
      <c r="H6" s="1"/>
      <c r="I6" s="1"/>
      <c r="J6" s="1">
        <v>831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/>
      <c r="B7" s="1"/>
      <c r="C7" s="1"/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8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P9" s="1"/>
      <c r="Q9" s="1"/>
      <c r="R9" s="1"/>
      <c r="S9" s="1"/>
      <c r="T9" s="1"/>
      <c r="U9" s="1"/>
      <c r="V9" s="1"/>
    </row>
    <row r="10" spans="1:22" ht="18">
      <c r="A10" s="1"/>
      <c r="B10" s="34" t="s">
        <v>0</v>
      </c>
      <c r="C10" s="34" t="s">
        <v>47</v>
      </c>
      <c r="D10" s="34" t="s">
        <v>1</v>
      </c>
      <c r="E10" s="35" t="s">
        <v>50</v>
      </c>
      <c r="F10" s="32" t="s">
        <v>20</v>
      </c>
      <c r="G10" s="32" t="s">
        <v>28</v>
      </c>
      <c r="H10" s="32" t="s">
        <v>29</v>
      </c>
      <c r="I10" s="32" t="s">
        <v>23</v>
      </c>
      <c r="J10" s="32" t="s">
        <v>8</v>
      </c>
      <c r="K10" s="1"/>
      <c r="L10" s="32" t="s">
        <v>2</v>
      </c>
      <c r="M10" s="3" cm="1">
        <f t="array" ref="M10:N14">LINEST(H11:H15,_xlfn.ANCHORARRAY(F11),1,1)</f>
        <v>-1.0757579664251933E-13</v>
      </c>
      <c r="N10" s="14">
        <v>5.4135601101986649E-3</v>
      </c>
      <c r="O10" s="32" t="s">
        <v>5</v>
      </c>
      <c r="P10" s="1"/>
      <c r="Q10" s="1"/>
      <c r="R10" s="1"/>
      <c r="S10" s="1"/>
      <c r="T10" s="1"/>
      <c r="U10" s="1"/>
      <c r="V10" s="1"/>
    </row>
    <row r="11" spans="1:22">
      <c r="A11" s="1"/>
      <c r="B11" s="2">
        <v>5</v>
      </c>
      <c r="C11" s="6">
        <v>19.600000000000001</v>
      </c>
      <c r="D11" s="13">
        <f>C11*10^3</f>
        <v>19600</v>
      </c>
      <c r="E11" s="20" cm="1">
        <f t="array" ref="E11:E13">-6.981*10^(-21)*(D11:D13)^5+7.106*10^(-16)*(D11:D13)^4-3.031*10^(-11)*(D11:D13)^3+7.094*10^(-7)*(D11:D13)^2-1.047*10^(-2)*(D11:D13)+1.4*10^2</f>
        <v>63.76757069548546</v>
      </c>
      <c r="F11" s="5" cm="1">
        <f t="array" ref="F11:F15">(E11:E15+273.15)^4</f>
        <v>12885303204.527393</v>
      </c>
      <c r="G11" s="2"/>
      <c r="H11" s="3">
        <f>G11*10^-3</f>
        <v>0</v>
      </c>
      <c r="I11" s="3" cm="1">
        <f t="array" ref="I11:I15">$M$10*_xlfn.ANCHORARRAY(F11)+$N$10</f>
        <v>4.0274133529912236E-3</v>
      </c>
      <c r="J11" s="15">
        <f>I11-H11</f>
        <v>4.0274133529912236E-3</v>
      </c>
      <c r="K11" s="1"/>
      <c r="L11" s="32" t="s">
        <v>3</v>
      </c>
      <c r="M11" s="15">
        <v>2.164617177186372E-13</v>
      </c>
      <c r="N11" s="15">
        <v>6.693537012859096E-3</v>
      </c>
      <c r="O11" s="32" t="s">
        <v>6</v>
      </c>
      <c r="P11" s="1"/>
      <c r="Q11" s="1"/>
      <c r="R11" s="1"/>
      <c r="S11" s="1"/>
      <c r="T11" s="1"/>
      <c r="U11" s="1"/>
      <c r="V11" s="1"/>
    </row>
    <row r="12" spans="1:22">
      <c r="A12" s="1"/>
      <c r="B12" s="2">
        <v>6</v>
      </c>
      <c r="C12" s="6"/>
      <c r="D12" s="13">
        <f t="shared" ref="D12:D15" si="0">C12*10^3</f>
        <v>0</v>
      </c>
      <c r="E12" s="6">
        <v>140</v>
      </c>
      <c r="F12" s="5">
        <v>29136073791.591</v>
      </c>
      <c r="G12" s="2"/>
      <c r="H12" s="3">
        <f t="shared" ref="H12:H15" si="1">G12*10^-3</f>
        <v>0</v>
      </c>
      <c r="I12" s="3">
        <v>2.2792237610330347E-3</v>
      </c>
      <c r="J12" s="15">
        <f>I12-H12</f>
        <v>2.2792237610330347E-3</v>
      </c>
      <c r="K12" s="1"/>
      <c r="L12" s="32" t="s">
        <v>4</v>
      </c>
      <c r="M12" s="8">
        <v>7.6065361791162966E-2</v>
      </c>
      <c r="N12" s="15">
        <v>5.8323403190076294E-3</v>
      </c>
      <c r="O12" s="32" t="s">
        <v>7</v>
      </c>
      <c r="P12" s="1"/>
      <c r="Q12" s="1"/>
      <c r="R12" s="1"/>
      <c r="S12" s="1"/>
      <c r="T12" s="1"/>
      <c r="U12" s="1"/>
      <c r="V12" s="1"/>
    </row>
    <row r="13" spans="1:22">
      <c r="A13" s="1"/>
      <c r="B13" s="2">
        <v>7</v>
      </c>
      <c r="C13" s="19"/>
      <c r="D13" s="13">
        <f t="shared" si="0"/>
        <v>0</v>
      </c>
      <c r="E13" s="6">
        <v>140</v>
      </c>
      <c r="F13" s="5">
        <v>29136073791.591</v>
      </c>
      <c r="G13" s="1"/>
      <c r="H13" s="3">
        <f t="shared" si="1"/>
        <v>0</v>
      </c>
      <c r="I13" s="3">
        <v>2.2792237610330347E-3</v>
      </c>
      <c r="J13" s="15">
        <f>I13-H13</f>
        <v>2.2792237610330347E-3</v>
      </c>
      <c r="K13" s="1"/>
      <c r="L13" s="1"/>
      <c r="M13" s="4">
        <v>0.24698293140722119</v>
      </c>
      <c r="N13" s="4">
        <v>3</v>
      </c>
      <c r="O13" s="1"/>
      <c r="P13" s="1"/>
      <c r="Q13" s="1"/>
      <c r="R13" s="1"/>
      <c r="S13" s="1"/>
      <c r="T13" s="1"/>
      <c r="U13" s="1"/>
      <c r="V13" s="1"/>
    </row>
    <row r="14" spans="1:22">
      <c r="A14" s="1"/>
      <c r="B14" s="2">
        <v>8</v>
      </c>
      <c r="C14" s="6"/>
      <c r="D14" s="13">
        <f t="shared" si="0"/>
        <v>0</v>
      </c>
      <c r="E14" s="6" cm="1">
        <f t="array" ref="E14:E15">-3.341*10^(-18)*(D14:D15)^5+1.183*10^(-13)*(D14:D15)^4-1.659*10^(-9)*(D14:D15)^3+1.192*10^(-5)*(D14:D15)^2-4.978*10^(-2)*(D14:D15)+1.983*10^2</f>
        <v>198.3</v>
      </c>
      <c r="F14" s="5">
        <v>49401775789.335495</v>
      </c>
      <c r="G14" s="2"/>
      <c r="H14" s="3">
        <f t="shared" si="1"/>
        <v>0</v>
      </c>
      <c r="I14" s="3">
        <v>9.9124724105775254E-5</v>
      </c>
      <c r="J14" s="15">
        <f>I14-H14</f>
        <v>9.9124724105775254E-5</v>
      </c>
      <c r="K14" s="1"/>
      <c r="L14" s="1"/>
      <c r="M14" s="4">
        <v>8.4014192098339499E-6</v>
      </c>
      <c r="N14" s="4">
        <v>1.0204858079016605E-4</v>
      </c>
      <c r="O14" s="1"/>
      <c r="P14" s="1"/>
      <c r="Q14" s="1"/>
      <c r="R14" s="1"/>
      <c r="S14" s="1"/>
      <c r="T14" s="1"/>
      <c r="U14" s="1"/>
      <c r="V14" s="1"/>
    </row>
    <row r="15" spans="1:22">
      <c r="A15" s="1"/>
      <c r="B15" s="2" t="s">
        <v>46</v>
      </c>
      <c r="C15" s="6">
        <v>3.92</v>
      </c>
      <c r="D15" s="13">
        <f t="shared" si="0"/>
        <v>3920</v>
      </c>
      <c r="E15" s="6">
        <v>111.23914209268862</v>
      </c>
      <c r="F15" s="5">
        <v>21831543736.237297</v>
      </c>
      <c r="G15" s="2">
        <v>11.75</v>
      </c>
      <c r="H15" s="3">
        <f t="shared" si="1"/>
        <v>1.175E-2</v>
      </c>
      <c r="I15" s="3">
        <v>3.0650144008369348E-3</v>
      </c>
      <c r="J15" s="15">
        <f>I15-H15</f>
        <v>-8.6849855991630656E-3</v>
      </c>
      <c r="K15" s="1"/>
      <c r="L15" s="16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/>
      <c r="B16" s="1"/>
      <c r="C16" s="1"/>
      <c r="D16" s="1"/>
      <c r="E16" s="19"/>
      <c r="F16" s="16"/>
      <c r="G16" s="1"/>
      <c r="H16" s="16"/>
      <c r="I16" s="16"/>
      <c r="J16" s="2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19"/>
      <c r="F17" s="16"/>
      <c r="G17" s="1"/>
      <c r="H17" s="16"/>
      <c r="I17" s="16"/>
      <c r="J17" s="2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9"/>
      <c r="F18" s="16"/>
      <c r="G18" s="1"/>
      <c r="H18" s="16"/>
      <c r="I18" s="16"/>
      <c r="J18" s="2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8">
      <c r="A19" s="1"/>
      <c r="B19" s="34" t="s">
        <v>0</v>
      </c>
      <c r="C19" s="34" t="s">
        <v>47</v>
      </c>
      <c r="D19" s="34" t="s">
        <v>1</v>
      </c>
      <c r="E19" s="35" t="s">
        <v>50</v>
      </c>
      <c r="F19" s="36" t="s">
        <v>20</v>
      </c>
      <c r="G19" s="32" t="s">
        <v>26</v>
      </c>
      <c r="H19" s="36" t="s">
        <v>27</v>
      </c>
      <c r="I19" s="36" t="s">
        <v>23</v>
      </c>
      <c r="J19" s="37" t="s">
        <v>8</v>
      </c>
      <c r="K19" s="1"/>
      <c r="L19" s="32" t="s">
        <v>2</v>
      </c>
      <c r="M19" s="3" cm="1">
        <f t="array" ref="M19:N23">LINEST(H20:H24,_xlfn.ANCHORARRAY(F20),1,1)</f>
        <v>-2.6367553405301867E-13</v>
      </c>
      <c r="N19" s="14">
        <v>1.0662168451815734E-2</v>
      </c>
      <c r="O19" s="32" t="s">
        <v>5</v>
      </c>
      <c r="P19" s="1"/>
      <c r="Q19" s="1"/>
      <c r="R19" s="1"/>
      <c r="S19" s="1"/>
      <c r="T19" s="1"/>
      <c r="U19" s="1"/>
      <c r="V19" s="1"/>
    </row>
    <row r="20" spans="1:22">
      <c r="A20" s="1"/>
      <c r="B20" s="2">
        <v>5</v>
      </c>
      <c r="C20" s="6"/>
      <c r="D20" s="13">
        <f>C20*10^3</f>
        <v>0</v>
      </c>
      <c r="E20" s="20" cm="1">
        <f t="array" ref="E20:E22">-6.981*10^(-21)*(D20:D22)^5+7.106*10^(-16)*(D20:D22)^4-3.031*10^(-11)*(D20:D22)^3+7.094*10^(-7)*(D20:D22)^2-1.047*10^(-2)*(D20:D22)+1.4*10^2</f>
        <v>140</v>
      </c>
      <c r="F20" s="5" cm="1">
        <f t="array" ref="F20:F24">(E20:E24+273.15)^4</f>
        <v>29136073791.591</v>
      </c>
      <c r="G20" s="2"/>
      <c r="H20" s="3">
        <f>G20*10^-3</f>
        <v>0</v>
      </c>
      <c r="I20" s="3" cm="1">
        <f t="array" ref="I20:I24">$M$19*_xlfn.ANCHORARRAY(F20)+$N$19</f>
        <v>2.9796986346098163E-3</v>
      </c>
      <c r="J20" s="15">
        <f>I20-H20</f>
        <v>2.9796986346098163E-3</v>
      </c>
      <c r="K20" s="1"/>
      <c r="L20" s="32" t="s">
        <v>3</v>
      </c>
      <c r="M20" s="15">
        <v>2.4183140379006093E-13</v>
      </c>
      <c r="N20" s="15">
        <v>7.9948628609096059E-3</v>
      </c>
      <c r="O20" s="32" t="s">
        <v>6</v>
      </c>
      <c r="P20" s="1"/>
      <c r="Q20" s="1"/>
      <c r="R20" s="1"/>
      <c r="S20" s="1"/>
      <c r="T20" s="1"/>
      <c r="U20" s="1"/>
      <c r="V20" s="1"/>
    </row>
    <row r="21" spans="1:22">
      <c r="A21" s="1"/>
      <c r="B21" s="2">
        <v>6</v>
      </c>
      <c r="C21" s="6"/>
      <c r="D21" s="13">
        <f t="shared" ref="D21:D24" si="2">C21*10^3</f>
        <v>0</v>
      </c>
      <c r="E21" s="6">
        <v>140</v>
      </c>
      <c r="F21" s="3">
        <v>29136073791.591</v>
      </c>
      <c r="G21" s="2"/>
      <c r="H21" s="3">
        <f t="shared" ref="H21:H23" si="3">G21*10^-3</f>
        <v>0</v>
      </c>
      <c r="I21" s="3">
        <v>2.9796986346098163E-3</v>
      </c>
      <c r="J21" s="15">
        <f>I21-H21</f>
        <v>2.9796986346098163E-3</v>
      </c>
      <c r="K21" s="1"/>
      <c r="L21" s="32" t="s">
        <v>4</v>
      </c>
      <c r="M21" s="8">
        <v>0.28380699489972011</v>
      </c>
      <c r="N21" s="15">
        <v>5.0152194744362581E-3</v>
      </c>
      <c r="O21" s="32" t="s">
        <v>7</v>
      </c>
      <c r="P21" s="1"/>
      <c r="Q21" s="1"/>
      <c r="R21" s="1"/>
      <c r="S21" s="1"/>
      <c r="T21" s="1"/>
      <c r="U21" s="1"/>
      <c r="V21" s="1"/>
    </row>
    <row r="22" spans="1:22">
      <c r="A22" s="1"/>
      <c r="B22" s="2">
        <v>7</v>
      </c>
      <c r="C22" s="6"/>
      <c r="D22" s="13">
        <f t="shared" si="2"/>
        <v>0</v>
      </c>
      <c r="E22" s="6">
        <v>140</v>
      </c>
      <c r="F22" s="3">
        <v>29136073791.591</v>
      </c>
      <c r="G22" s="2"/>
      <c r="H22" s="3">
        <f t="shared" si="3"/>
        <v>0</v>
      </c>
      <c r="I22" s="3">
        <v>2.9796986346098163E-3</v>
      </c>
      <c r="J22" s="15">
        <f>I22-H22</f>
        <v>2.9796986346098163E-3</v>
      </c>
      <c r="K22" s="1"/>
      <c r="L22" s="1"/>
      <c r="M22" s="4">
        <v>1.1888149962871337</v>
      </c>
      <c r="N22" s="4">
        <v>3</v>
      </c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2">
        <v>8</v>
      </c>
      <c r="C23" s="6"/>
      <c r="D23" s="13">
        <f t="shared" si="2"/>
        <v>0</v>
      </c>
      <c r="E23" s="6" cm="1">
        <f t="array" ref="E23:E24">-3.341*10^(-18)*(D23:D24)^5+1.183*10^(-13)*(D23:D24)^4-1.659*10^(-9)*(D23:D24)^3+1.192*10^(-5)*(D23:D24)^2-4.978*10^(-2)*(D23:D24)+1.983*10^2</f>
        <v>198.3</v>
      </c>
      <c r="F23" s="3">
        <v>49401775789.335495</v>
      </c>
      <c r="G23" s="2"/>
      <c r="H23" s="3">
        <f t="shared" si="3"/>
        <v>0</v>
      </c>
      <c r="I23" s="3">
        <v>-2.3638711626047908E-3</v>
      </c>
      <c r="J23" s="15">
        <f>I23-H23</f>
        <v>-2.3638711626047908E-3</v>
      </c>
      <c r="K23" s="1"/>
      <c r="L23" s="1"/>
      <c r="M23" s="4">
        <v>2.9901581669705929E-5</v>
      </c>
      <c r="N23" s="4">
        <v>7.5457279130294094E-5</v>
      </c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2" t="s">
        <v>46</v>
      </c>
      <c r="C24" s="6">
        <v>3.91</v>
      </c>
      <c r="D24" s="13">
        <f t="shared" si="2"/>
        <v>3910</v>
      </c>
      <c r="E24" s="6">
        <v>111.32173738737112</v>
      </c>
      <c r="F24" s="3">
        <v>21850313923.634293</v>
      </c>
      <c r="G24" s="2">
        <v>11.476000000000001</v>
      </c>
      <c r="H24" s="3">
        <f t="shared" ref="H24" si="4">G24*10^-3</f>
        <v>1.1476000000000002E-2</v>
      </c>
      <c r="I24" s="3">
        <v>4.9007752587753514E-3</v>
      </c>
      <c r="J24" s="15">
        <f>I24-H24</f>
        <v>-6.5752247412246504E-3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/>
      <c r="B25" s="1"/>
      <c r="C25" s="1"/>
      <c r="D25" s="1"/>
      <c r="E25" s="19"/>
      <c r="F25" s="16"/>
      <c r="G25" s="1"/>
      <c r="H25" s="16"/>
      <c r="I25" s="16"/>
      <c r="J25" s="2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1"/>
      <c r="B26" s="1"/>
      <c r="C26" s="1"/>
      <c r="D26" s="1"/>
      <c r="E26" s="19"/>
      <c r="F26" s="16"/>
      <c r="G26" s="1"/>
      <c r="H26" s="16"/>
      <c r="I26" s="16"/>
      <c r="J26" s="2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1"/>
      <c r="E27" s="19"/>
      <c r="F27" s="16"/>
      <c r="G27" s="1"/>
      <c r="H27" s="16"/>
      <c r="I27" s="16"/>
      <c r="J27" s="2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8">
      <c r="A28" s="1"/>
      <c r="B28" s="34" t="s">
        <v>0</v>
      </c>
      <c r="C28" s="34" t="s">
        <v>47</v>
      </c>
      <c r="D28" s="34" t="s">
        <v>1</v>
      </c>
      <c r="E28" s="35" t="s">
        <v>50</v>
      </c>
      <c r="F28" s="36" t="s">
        <v>20</v>
      </c>
      <c r="G28" s="32" t="s">
        <v>24</v>
      </c>
      <c r="H28" s="36" t="s">
        <v>25</v>
      </c>
      <c r="I28" s="36" t="s">
        <v>23</v>
      </c>
      <c r="J28" s="37" t="s">
        <v>8</v>
      </c>
      <c r="K28" s="1"/>
      <c r="L28" s="32" t="s">
        <v>2</v>
      </c>
      <c r="M28" s="14" cm="1">
        <f t="array" ref="M28:N32">LINEST(H29:H33,_xlfn.ANCHORARRAY(F29),1,1)</f>
        <v>-1.0945883602871273E-13</v>
      </c>
      <c r="N28" s="14">
        <v>4.945648855731035E-3</v>
      </c>
      <c r="O28" s="32" t="s">
        <v>5</v>
      </c>
      <c r="P28" s="1"/>
      <c r="Q28" s="1"/>
      <c r="R28" s="1"/>
      <c r="S28" s="1"/>
      <c r="T28" s="1"/>
      <c r="U28" s="1"/>
      <c r="V28" s="1"/>
    </row>
    <row r="29" spans="1:22">
      <c r="A29" s="1"/>
      <c r="B29" s="2">
        <v>5</v>
      </c>
      <c r="C29" s="6"/>
      <c r="D29" s="13">
        <f>C29*10^3</f>
        <v>0</v>
      </c>
      <c r="E29" s="20" cm="1">
        <f t="array" ref="E29:E30">-6.981*10^(-21)*(D29:D30)^5+7.106*10^(-16)*(D29:D30)^4-3.031*10^(-11)*(D29:D30)^3+7.094*10^(-7)*(D29:D30)^2-1.047*10^(-2)*(D29:D30)+1.4*10^2</f>
        <v>140</v>
      </c>
      <c r="F29" s="5" cm="1">
        <f t="array" ref="F29:F33">(E29:E33+273.15)^4</f>
        <v>29136073791.591</v>
      </c>
      <c r="G29" s="2"/>
      <c r="H29" s="3">
        <f>G29*10^-3</f>
        <v>0</v>
      </c>
      <c r="I29" s="3" cm="1">
        <f t="array" ref="I29:I33">$M$28*_xlfn.ANCHORARRAY(F29)+$N$28</f>
        <v>1.7564481320568011E-3</v>
      </c>
      <c r="J29" s="15">
        <f>I29-H29</f>
        <v>1.7564481320568011E-3</v>
      </c>
      <c r="K29" s="1"/>
      <c r="L29" s="32" t="s">
        <v>3</v>
      </c>
      <c r="M29" s="15">
        <v>8.2472743065409563E-14</v>
      </c>
      <c r="N29" s="15">
        <v>3.0987835045886004E-3</v>
      </c>
      <c r="O29" s="32" t="s">
        <v>6</v>
      </c>
      <c r="P29" s="1"/>
      <c r="Q29" s="1"/>
      <c r="R29" s="1"/>
      <c r="S29" s="1"/>
      <c r="T29" s="1"/>
      <c r="U29" s="1"/>
      <c r="V29" s="1"/>
    </row>
    <row r="30" spans="1:22">
      <c r="A30" s="1"/>
      <c r="B30" s="2">
        <v>6</v>
      </c>
      <c r="C30" s="6"/>
      <c r="D30" s="13">
        <f t="shared" ref="D30:D32" si="5">C30*10^3</f>
        <v>0</v>
      </c>
      <c r="E30" s="6">
        <v>140</v>
      </c>
      <c r="F30" s="3">
        <v>29136073791.591</v>
      </c>
      <c r="G30" s="2"/>
      <c r="H30" s="3">
        <f t="shared" ref="H30:H32" si="6">G30*10^-3</f>
        <v>0</v>
      </c>
      <c r="I30" s="3">
        <v>1.7564481320568011E-3</v>
      </c>
      <c r="J30" s="15">
        <f>I30-H30</f>
        <v>1.7564481320568011E-3</v>
      </c>
      <c r="K30" s="1"/>
      <c r="L30" s="32" t="s">
        <v>4</v>
      </c>
      <c r="M30" s="6">
        <v>0.36994543890610554</v>
      </c>
      <c r="N30" s="15">
        <v>2.1056346166166097E-3</v>
      </c>
      <c r="O30" s="32" t="s">
        <v>7</v>
      </c>
      <c r="P30" s="1"/>
      <c r="Q30" s="1"/>
      <c r="R30" s="1"/>
      <c r="S30" s="1"/>
      <c r="T30" s="1"/>
      <c r="U30" s="1"/>
      <c r="V30" s="1"/>
    </row>
    <row r="31" spans="1:22">
      <c r="A31" s="1"/>
      <c r="B31" s="2">
        <v>7</v>
      </c>
      <c r="C31" s="6"/>
      <c r="D31" s="13">
        <f t="shared" si="5"/>
        <v>0</v>
      </c>
      <c r="E31" s="6" cm="1">
        <f t="array" ref="E31:E33">-3.341*10^(-18)*(D31:D33)^5+1.183*10^(-13)*(D31:D33)^4-1.659*10^(-9)*(D31:D33)^3+1.192*10^(-5)*(D31:D33)^2-4.978*10^(-2)*(D31:D33)+1.983*10^2</f>
        <v>198.3</v>
      </c>
      <c r="F31" s="3">
        <v>49401775789.335495</v>
      </c>
      <c r="G31" s="2"/>
      <c r="H31" s="3">
        <f t="shared" si="6"/>
        <v>0</v>
      </c>
      <c r="I31" s="3">
        <v>-4.6181201992106981E-4</v>
      </c>
      <c r="J31" s="15">
        <f>I31-H31</f>
        <v>-4.6181201992106981E-4</v>
      </c>
      <c r="K31" s="1"/>
      <c r="L31" s="1"/>
      <c r="M31" s="4">
        <v>1.7614923932800832</v>
      </c>
      <c r="N31" s="4">
        <v>3</v>
      </c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2">
        <v>8</v>
      </c>
      <c r="C32" s="6"/>
      <c r="D32" s="13">
        <f t="shared" si="5"/>
        <v>0</v>
      </c>
      <c r="E32" s="6">
        <v>198.3</v>
      </c>
      <c r="F32" s="3">
        <v>49401775789.335495</v>
      </c>
      <c r="G32" s="2"/>
      <c r="H32" s="3">
        <f t="shared" si="6"/>
        <v>0</v>
      </c>
      <c r="I32" s="3">
        <v>-4.6181201992106981E-4</v>
      </c>
      <c r="J32" s="15">
        <f>I32-H32</f>
        <v>-4.6181201992106981E-4</v>
      </c>
      <c r="K32" s="1"/>
      <c r="L32" s="1"/>
      <c r="M32" s="4">
        <v>7.8099237839174637E-6</v>
      </c>
      <c r="N32" s="4">
        <v>1.3301091416082532E-5</v>
      </c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2" t="s">
        <v>46</v>
      </c>
      <c r="C33" s="6">
        <v>3.88</v>
      </c>
      <c r="D33" s="13">
        <f>C33*10^3</f>
        <v>3880</v>
      </c>
      <c r="E33" s="24">
        <v>111.57110813530758</v>
      </c>
      <c r="F33" s="16">
        <v>21907058096.008751</v>
      </c>
      <c r="G33" s="2">
        <v>5.1369999999999996</v>
      </c>
      <c r="H33" s="3">
        <f>G33*10^-3</f>
        <v>5.1370000000000001E-3</v>
      </c>
      <c r="I33" s="3">
        <v>2.5477277757285292E-3</v>
      </c>
      <c r="J33" s="15">
        <f>I33-H33</f>
        <v>-2.5892722242714709E-3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E34" s="24"/>
      <c r="F34" s="16"/>
      <c r="H34" s="21"/>
      <c r="I34" s="22"/>
      <c r="J34" s="2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9"/>
      <c r="F35" s="16"/>
      <c r="G35" s="1"/>
      <c r="H35" s="16"/>
      <c r="I35" s="16"/>
      <c r="J35" s="2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19"/>
      <c r="F36" s="16"/>
      <c r="G36" s="1"/>
      <c r="H36" s="16"/>
      <c r="I36" s="16"/>
      <c r="J36" s="2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8">
      <c r="A37" s="1"/>
      <c r="B37" s="34" t="s">
        <v>0</v>
      </c>
      <c r="C37" s="34" t="s">
        <v>47</v>
      </c>
      <c r="D37" s="34" t="s">
        <v>1</v>
      </c>
      <c r="E37" s="35" t="s">
        <v>50</v>
      </c>
      <c r="F37" s="36" t="s">
        <v>20</v>
      </c>
      <c r="G37" s="32" t="s">
        <v>21</v>
      </c>
      <c r="H37" s="36" t="s">
        <v>22</v>
      </c>
      <c r="I37" s="36" t="s">
        <v>23</v>
      </c>
      <c r="J37" s="37" t="s">
        <v>8</v>
      </c>
      <c r="K37" s="1"/>
      <c r="L37" s="32" t="s">
        <v>2</v>
      </c>
      <c r="M37" s="15" cm="1">
        <f t="array" ref="M37:N41">LINEST(H38:H42,_xlfn.ANCHORARRAY(F38),1,1)</f>
        <v>-3.7309473033424271E-14</v>
      </c>
      <c r="N37" s="12">
        <v>1.6867227373647024E-3</v>
      </c>
      <c r="O37" s="32" t="s">
        <v>5</v>
      </c>
      <c r="P37" s="1"/>
      <c r="Q37" s="1"/>
      <c r="R37" s="1"/>
      <c r="S37" s="1"/>
      <c r="T37" s="1"/>
      <c r="U37" s="1"/>
      <c r="V37" s="1"/>
    </row>
    <row r="38" spans="1:22">
      <c r="A38" s="1"/>
      <c r="B38" s="2">
        <v>5</v>
      </c>
      <c r="C38" s="6"/>
      <c r="D38" s="13">
        <f>C38*10^3</f>
        <v>0</v>
      </c>
      <c r="E38" s="20" cm="1">
        <f t="array" ref="E38:E39">-6.981*10^(-21)*(D38:D39)^5+7.106*10^(-16)*(D38:D39)^4-3.031*10^(-11)*(D38:D39)^3+7.094*10^(-7)*(D38:D39)^2-1.047*10^(-2)*(D38:D39)+1.4*10^2</f>
        <v>140</v>
      </c>
      <c r="F38" s="5" cm="1">
        <f t="array" ref="F38:F42">(E38:E42+273.15)^4</f>
        <v>29136073791.591</v>
      </c>
      <c r="G38" s="2"/>
      <c r="H38" s="3">
        <f>G38*10^-3</f>
        <v>0</v>
      </c>
      <c r="I38" s="3" cm="1">
        <f t="array" ref="I38:I42">$M$37*_xlfn.ANCHORARRAY(F38)+$N$37</f>
        <v>5.9967117793747831E-4</v>
      </c>
      <c r="J38" s="15">
        <f>I38-H38</f>
        <v>5.9967117793747831E-4</v>
      </c>
      <c r="K38" s="1"/>
      <c r="L38" s="32" t="s">
        <v>3</v>
      </c>
      <c r="M38" s="15">
        <v>2.8235882678654327E-14</v>
      </c>
      <c r="N38" s="12">
        <v>1.0611717718167222E-3</v>
      </c>
      <c r="O38" s="32" t="s">
        <v>6</v>
      </c>
      <c r="P38" s="1"/>
      <c r="Q38" s="1"/>
      <c r="R38" s="1"/>
      <c r="S38" s="1"/>
      <c r="T38" s="1"/>
      <c r="U38" s="1"/>
      <c r="V38" s="1"/>
    </row>
    <row r="39" spans="1:22">
      <c r="A39" s="1"/>
      <c r="B39" s="2">
        <v>6</v>
      </c>
      <c r="C39" s="6"/>
      <c r="D39" s="13">
        <f t="shared" ref="D39:D40" si="7">C39*10^3</f>
        <v>0</v>
      </c>
      <c r="E39" s="6">
        <v>140</v>
      </c>
      <c r="F39" s="3">
        <v>29136073791.591</v>
      </c>
      <c r="G39" s="2"/>
      <c r="H39" s="3">
        <f t="shared" ref="H39:H40" si="8">G39*10^-3</f>
        <v>0</v>
      </c>
      <c r="I39" s="3">
        <v>5.9967117793747831E-4</v>
      </c>
      <c r="J39" s="15">
        <f>I39-H39</f>
        <v>5.9967117793747831E-4</v>
      </c>
      <c r="K39" s="1"/>
      <c r="L39" s="32" t="s">
        <v>4</v>
      </c>
      <c r="M39" s="6">
        <v>0.36788406490773451</v>
      </c>
      <c r="N39" s="15">
        <v>7.1972179024619367E-4</v>
      </c>
      <c r="O39" s="32" t="s">
        <v>7</v>
      </c>
      <c r="P39" s="1"/>
      <c r="Q39" s="1"/>
      <c r="R39" s="1"/>
      <c r="S39" s="1"/>
      <c r="T39" s="1"/>
      <c r="U39" s="1"/>
      <c r="V39" s="1"/>
    </row>
    <row r="40" spans="1:22">
      <c r="A40" s="1"/>
      <c r="B40" s="2">
        <v>7</v>
      </c>
      <c r="C40" s="6"/>
      <c r="D40" s="13">
        <f t="shared" si="7"/>
        <v>0</v>
      </c>
      <c r="E40" s="6" cm="1">
        <f t="array" ref="E40:E42">-3.341*10^(-18)*(D40:D42)^5+1.183*10^(-13)*(D40:D42)^4-1.659*10^(-9)*(D40:D42)^3+1.192*10^(-5)*(D40:D42)^2-4.978*10^(-2)*(D40:D42)+1.983*10^2</f>
        <v>198.3</v>
      </c>
      <c r="F40" s="3">
        <v>49401775789.335495</v>
      </c>
      <c r="G40" s="2"/>
      <c r="H40" s="3">
        <f t="shared" si="8"/>
        <v>0</v>
      </c>
      <c r="I40" s="3">
        <v>-1.5643148425078233E-4</v>
      </c>
      <c r="J40" s="15">
        <f>I40-H40</f>
        <v>-1.5643148425078233E-4</v>
      </c>
      <c r="K40" s="1"/>
      <c r="L40" s="1"/>
      <c r="M40" s="4">
        <v>1.7459648356469788</v>
      </c>
      <c r="N40" s="4">
        <v>3</v>
      </c>
      <c r="O40" s="1"/>
      <c r="P40" s="1"/>
      <c r="Q40" s="1"/>
      <c r="R40" s="1"/>
      <c r="S40" s="1"/>
      <c r="T40" s="1"/>
      <c r="U40" s="1"/>
      <c r="V40" s="1"/>
    </row>
    <row r="41" spans="1:22">
      <c r="B41" s="2">
        <v>8</v>
      </c>
      <c r="C41" s="6"/>
      <c r="D41" s="13">
        <f>C41*10^3</f>
        <v>0</v>
      </c>
      <c r="E41" s="6">
        <v>198.3</v>
      </c>
      <c r="F41" s="3">
        <v>49401775789.335495</v>
      </c>
      <c r="G41" s="2"/>
      <c r="H41" s="3">
        <f>G41*10^-3</f>
        <v>0</v>
      </c>
      <c r="I41" s="3">
        <v>-1.5643148425078233E-4</v>
      </c>
      <c r="J41" s="15">
        <f>I41-H41</f>
        <v>-1.5643148425078233E-4</v>
      </c>
      <c r="K41" s="1"/>
      <c r="L41" s="1"/>
      <c r="M41" s="4">
        <v>9.0440883393444181E-7</v>
      </c>
      <c r="N41" s="4">
        <v>1.5539983660655581E-6</v>
      </c>
      <c r="O41" s="1"/>
      <c r="P41" s="1"/>
    </row>
    <row r="42" spans="1:22">
      <c r="B42" s="2" t="s">
        <v>46</v>
      </c>
      <c r="C42" s="6">
        <v>3.84</v>
      </c>
      <c r="D42" s="13">
        <f>C42*10^3</f>
        <v>3840</v>
      </c>
      <c r="E42" s="6">
        <v>111.90737313722209</v>
      </c>
      <c r="F42" s="3">
        <v>21983749917.971371</v>
      </c>
      <c r="G42" s="2">
        <v>1.7529999999999999</v>
      </c>
      <c r="H42" s="3">
        <f>G42*10^-3</f>
        <v>1.753E-3</v>
      </c>
      <c r="I42" s="23">
        <v>8.6652061262660653E-4</v>
      </c>
      <c r="J42" s="15">
        <f>I42-H42</f>
        <v>-8.8647938737339347E-4</v>
      </c>
    </row>
    <row r="43" spans="1:22">
      <c r="I43" s="2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C481-1677-5247-ACAB-A094F12BDCA0}">
  <dimension ref="A1:AG80"/>
  <sheetViews>
    <sheetView tabSelected="1" topLeftCell="A31" zoomScale="55" zoomScaleNormal="55" workbookViewId="0">
      <selection activeCell="S60" sqref="S60"/>
    </sheetView>
  </sheetViews>
  <sheetFormatPr defaultColWidth="10.796875" defaultRowHeight="15.6"/>
  <cols>
    <col min="2" max="2" width="11" bestFit="1" customWidth="1"/>
    <col min="3" max="3" width="11" customWidth="1"/>
    <col min="4" max="4" width="11" bestFit="1" customWidth="1"/>
    <col min="5" max="5" width="11.19921875" bestFit="1" customWidth="1"/>
    <col min="6" max="6" width="13.296875" bestFit="1" customWidth="1"/>
    <col min="7" max="9" width="11" bestFit="1" customWidth="1"/>
    <col min="10" max="11" width="11.19921875" bestFit="1" customWidth="1"/>
    <col min="12" max="12" width="11.19921875" customWidth="1"/>
    <col min="13" max="13" width="13.296875" bestFit="1" customWidth="1"/>
    <col min="14" max="14" width="11.19921875" bestFit="1" customWidth="1"/>
    <col min="15" max="15" width="15.5" bestFit="1" customWidth="1"/>
    <col min="16" max="16" width="13" customWidth="1"/>
    <col min="17" max="17" width="15.5" bestFit="1" customWidth="1"/>
    <col min="18" max="18" width="13.796875" customWidth="1"/>
    <col min="19" max="19" width="14.19921875" bestFit="1" customWidth="1"/>
    <col min="20" max="20" width="13.19921875" bestFit="1" customWidth="1"/>
    <col min="21" max="21" width="13.296875" customWidth="1"/>
    <col min="22" max="22" width="13.69921875" customWidth="1"/>
    <col min="23" max="23" width="15.69921875" customWidth="1"/>
    <col min="24" max="24" width="11" bestFit="1" customWidth="1"/>
    <col min="25" max="25" width="11" customWidth="1"/>
    <col min="26" max="26" width="13.59765625" customWidth="1"/>
    <col min="27" max="27" width="12.5" customWidth="1"/>
    <col min="28" max="28" width="14.796875" customWidth="1"/>
    <col min="29" max="30" width="11" bestFit="1" customWidth="1"/>
  </cols>
  <sheetData>
    <row r="1" spans="1:3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/>
      <c r="C2" s="33" t="s">
        <v>37</v>
      </c>
      <c r="D2" s="8">
        <f>AD39</f>
        <v>0.63620517513936237</v>
      </c>
      <c r="E2" s="1"/>
      <c r="F2" s="32" t="s">
        <v>51</v>
      </c>
      <c r="G2" s="2">
        <v>0.01</v>
      </c>
      <c r="H2" s="1"/>
      <c r="I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/>
      <c r="C3" s="33" t="s">
        <v>38</v>
      </c>
      <c r="D3" s="8">
        <f>AD40</f>
        <v>6.6828395463376907E-3</v>
      </c>
      <c r="E3" s="1"/>
      <c r="F3" s="32" t="s">
        <v>65</v>
      </c>
      <c r="G3" s="25">
        <f>0.001*10^-3</f>
        <v>9.9999999999999995E-7</v>
      </c>
      <c r="H3" s="1"/>
      <c r="I3" s="1"/>
      <c r="J3" s="1"/>
      <c r="K3" s="1"/>
      <c r="L3" s="1"/>
      <c r="M3" s="1"/>
      <c r="N3" s="1"/>
      <c r="O3" s="1"/>
      <c r="P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C4" s="33" t="s">
        <v>39</v>
      </c>
      <c r="D4" s="17">
        <f>((D3/D2)*100)</f>
        <v>1.0504220662577601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T5" s="45" t="s">
        <v>68</v>
      </c>
      <c r="U5" s="45"/>
      <c r="V5" s="45"/>
      <c r="W5" s="45"/>
      <c r="Y5" s="45" t="s">
        <v>70</v>
      </c>
      <c r="Z5" s="45"/>
      <c r="AA5" s="45"/>
      <c r="AB5" s="45"/>
    </row>
    <row r="6" spans="1:32">
      <c r="A6" s="1"/>
      <c r="B6" s="32" t="s">
        <v>45</v>
      </c>
      <c r="C6" s="32" t="s">
        <v>52</v>
      </c>
      <c r="D6" s="32" t="s">
        <v>16</v>
      </c>
      <c r="E6" s="32" t="s">
        <v>9</v>
      </c>
      <c r="F6" s="32" t="s">
        <v>10</v>
      </c>
      <c r="G6" s="32" t="s">
        <v>1</v>
      </c>
      <c r="H6" s="32" t="s">
        <v>13</v>
      </c>
      <c r="I6" s="33" t="s">
        <v>36</v>
      </c>
      <c r="J6" s="33" t="s">
        <v>35</v>
      </c>
      <c r="K6" s="32" t="s">
        <v>54</v>
      </c>
      <c r="L6" s="32" t="s">
        <v>67</v>
      </c>
      <c r="M6" s="32" t="s">
        <v>14</v>
      </c>
      <c r="N6" s="32" t="s">
        <v>15</v>
      </c>
      <c r="O6" s="32" t="s">
        <v>11</v>
      </c>
      <c r="P6" s="32" t="s">
        <v>66</v>
      </c>
      <c r="Q6" s="32" t="s">
        <v>17</v>
      </c>
      <c r="R6" s="32" t="s">
        <v>18</v>
      </c>
      <c r="T6" s="32" t="s">
        <v>12</v>
      </c>
      <c r="U6" s="32" t="s">
        <v>53</v>
      </c>
      <c r="V6" s="32" t="s">
        <v>19</v>
      </c>
      <c r="W6" s="32" t="s">
        <v>48</v>
      </c>
      <c r="X6" s="1"/>
      <c r="Y6" s="32" t="s">
        <v>12</v>
      </c>
      <c r="Z6" s="32" t="s">
        <v>53</v>
      </c>
      <c r="AA6" s="32" t="s">
        <v>19</v>
      </c>
      <c r="AB6" s="32" t="s">
        <v>48</v>
      </c>
    </row>
    <row r="7" spans="1:32">
      <c r="A7" s="1"/>
      <c r="B7" s="8">
        <v>1.3140000000000001</v>
      </c>
      <c r="C7" s="8">
        <v>1E-3</v>
      </c>
      <c r="D7" s="8">
        <v>0.63500000000000001</v>
      </c>
      <c r="E7" s="8">
        <v>0.15</v>
      </c>
      <c r="F7" s="11">
        <f>E7*10^-3</f>
        <v>1.4999999999999999E-4</v>
      </c>
      <c r="G7" s="8">
        <f>B7/D7</f>
        <v>2.0692913385826772</v>
      </c>
      <c r="H7" s="8">
        <f>SQRT((1/D7)^2*$G$2^2+(-B7/(D7^2))^2*$G$2^2)</f>
        <v>3.6192959917035666E-2</v>
      </c>
      <c r="I7" s="8">
        <f>G7/$D$2</f>
        <v>3.2525534520045261</v>
      </c>
      <c r="J7" s="8">
        <f>SQRT(((H7/$D$2)^2)+(((G7*$D$3)/($D$2^2))^2))</f>
        <v>6.6359788960420385E-2</v>
      </c>
      <c r="K7" s="17">
        <f>-1.6181*(I7^2)+202.98*I7+127.76</f>
        <v>770.84525157320172</v>
      </c>
      <c r="L7" s="6">
        <f>ABS(I7*(-16181)/(5000)+10149/50*J7)</f>
        <v>2.9437964818090823</v>
      </c>
      <c r="M7" s="6">
        <f>B7*D7</f>
        <v>0.83439000000000008</v>
      </c>
      <c r="N7" s="6">
        <f>SQRT(D7^2*$K$3^2+B7^2*$G$2^2)</f>
        <v>1.3140000000000002E-2</v>
      </c>
      <c r="O7" s="39">
        <f>LOG(K7)</f>
        <v>2.8869672014837899</v>
      </c>
      <c r="P7" s="39">
        <f>ABS(1/K7 * L7)</f>
        <v>3.8189201734085414E-3</v>
      </c>
      <c r="Q7" s="9">
        <f>LOG(F7)</f>
        <v>-3.8239087409443187</v>
      </c>
      <c r="R7" s="3">
        <f>$G$3/(LN(10)*F7)</f>
        <v>2.8952965460216787E-3</v>
      </c>
      <c r="T7" s="39">
        <f>$I$35*M7+$J$35</f>
        <v>-3.222071200129871E-4</v>
      </c>
      <c r="U7" s="39">
        <f>T7-F7</f>
        <v>-4.7220712001298706E-4</v>
      </c>
      <c r="V7" s="8">
        <f>$I$68*O7+$J$68</f>
        <v>-3.8741309864787485</v>
      </c>
      <c r="W7" s="8">
        <f>V7-Q7</f>
        <v>-5.0222245534429888E-2</v>
      </c>
      <c r="Y7" s="39" t="s">
        <v>69</v>
      </c>
      <c r="Z7" s="39" t="s">
        <v>69</v>
      </c>
      <c r="AA7" s="39" t="s">
        <v>69</v>
      </c>
      <c r="AB7" s="39" t="s">
        <v>69</v>
      </c>
    </row>
    <row r="8" spans="1:32">
      <c r="A8" s="1"/>
      <c r="B8" s="8">
        <v>1.5069999999999999</v>
      </c>
      <c r="C8" s="8">
        <v>1E-3</v>
      </c>
      <c r="D8" s="8">
        <v>0.67</v>
      </c>
      <c r="E8" s="8">
        <v>0.19</v>
      </c>
      <c r="F8" s="11">
        <f>E8*10^-3</f>
        <v>1.9000000000000001E-4</v>
      </c>
      <c r="G8" s="8">
        <f>B8/D8</f>
        <v>2.2492537313432832</v>
      </c>
      <c r="H8" s="8">
        <f>SQRT((1/D8)^2*$G$2^2+(-B8/(D8^2))^2*$G$2^2)</f>
        <v>3.6739291346145932E-2</v>
      </c>
      <c r="I8" s="8">
        <f>G8/$D$2</f>
        <v>3.5354219349922427</v>
      </c>
      <c r="J8" s="8">
        <f>SQRT(((H8/$D$2)^2)+(((G8*$D$3)/($D$2^2))^2))</f>
        <v>6.8658033273187327E-2</v>
      </c>
      <c r="K8" s="17">
        <f>-1.6181*(I8^2)+202.98*I8+127.76</f>
        <v>825.15497548176904</v>
      </c>
      <c r="L8" s="6">
        <f t="shared" ref="L8:L32" si="0">ABS(I8*(-16181)/(5000)+10149/50*J8)</f>
        <v>2.4948751277696672</v>
      </c>
      <c r="M8" s="8">
        <f>B8*D8</f>
        <v>1.00969</v>
      </c>
      <c r="N8" s="8">
        <f>SQRT(D8^2*$K$3^2+B8^2*$G$2^2)</f>
        <v>1.507E-2</v>
      </c>
      <c r="O8" s="39">
        <f>LOG(K8)</f>
        <v>2.9165355227023659</v>
      </c>
      <c r="P8" s="39">
        <f t="shared" ref="P8:P32" si="1">ABS(1/K8 * L8)</f>
        <v>3.0235230979647515E-3</v>
      </c>
      <c r="Q8" s="12">
        <f>LOG(F8)</f>
        <v>-3.7212463990471711</v>
      </c>
      <c r="R8" s="3">
        <f>$G$3/(LN(10)*F8)</f>
        <v>2.2857604310697463E-3</v>
      </c>
      <c r="T8" s="39">
        <f>$I$35*M8+$J$35</f>
        <v>-2.2645488982807804E-4</v>
      </c>
      <c r="U8" s="39">
        <f>T8-F8</f>
        <v>-4.1645488982807805E-4</v>
      </c>
      <c r="V8" s="6">
        <f>$I$68*O8+$J$68</f>
        <v>-3.7458722112189289</v>
      </c>
      <c r="W8" s="6">
        <f>V8-Q8</f>
        <v>-2.4625812171757744E-2</v>
      </c>
      <c r="Y8" s="39" t="s">
        <v>69</v>
      </c>
      <c r="Z8" s="39" t="s">
        <v>69</v>
      </c>
      <c r="AA8" s="39" t="s">
        <v>69</v>
      </c>
      <c r="AB8" s="39" t="s">
        <v>69</v>
      </c>
    </row>
    <row r="9" spans="1:32">
      <c r="A9" s="1"/>
      <c r="B9" s="8">
        <v>1.8009999999999999</v>
      </c>
      <c r="C9" s="8">
        <v>1E-3</v>
      </c>
      <c r="D9" s="8">
        <v>0.72</v>
      </c>
      <c r="E9" s="8">
        <v>0.16</v>
      </c>
      <c r="F9" s="11">
        <f>E9*10^-3</f>
        <v>1.6000000000000001E-4</v>
      </c>
      <c r="G9" s="8">
        <f>B9/D9</f>
        <v>2.5013888888888891</v>
      </c>
      <c r="H9" s="8">
        <f>SQRT((1/D9)^2*$G$2^2+(-B9/(D9^2))^2*$G$2^2)</f>
        <v>3.7414888943211745E-2</v>
      </c>
      <c r="I9" s="8">
        <f>G9/$D$2</f>
        <v>3.9317330110383861</v>
      </c>
      <c r="J9" s="8">
        <f>SQRT(((H9/$D$2)^2)+(((G9*$D$3)/($D$2^2))^2))</f>
        <v>7.186255262036953E-2</v>
      </c>
      <c r="K9" s="17">
        <f>-1.6181*(I9^2)+202.98*I9+127.76</f>
        <v>900.80972813552057</v>
      </c>
      <c r="L9" s="6">
        <f t="shared" si="0"/>
        <v>1.862786560560183</v>
      </c>
      <c r="M9" s="6">
        <f>B9*D9</f>
        <v>1.2967199999999999</v>
      </c>
      <c r="N9" s="6">
        <f>SQRT(D9^2*$K$3^2+B9^2*$G$2^2)</f>
        <v>1.8010000000000002E-2</v>
      </c>
      <c r="O9" s="39">
        <f>LOG(K9)</f>
        <v>2.9546330676191301</v>
      </c>
      <c r="P9" s="39">
        <f t="shared" si="1"/>
        <v>2.0679023575996946E-3</v>
      </c>
      <c r="Q9" s="9">
        <f>LOG(F9)</f>
        <v>-3.795880017344075</v>
      </c>
      <c r="R9" s="3">
        <f>$G$3/(LN(10)*F9)</f>
        <v>2.7143405118953234E-3</v>
      </c>
      <c r="T9" s="39">
        <f>$I$35*M9+$J$35</f>
        <v>-6.9673585606889066E-5</v>
      </c>
      <c r="U9" s="39">
        <f>T9-F9</f>
        <v>-2.2967358560688908E-4</v>
      </c>
      <c r="V9" s="8">
        <f>$I$68*O9+$J$68</f>
        <v>-3.5806161449272658</v>
      </c>
      <c r="W9" s="8">
        <f>V9-Q9</f>
        <v>0.21526387241680922</v>
      </c>
      <c r="Y9" s="39" t="s">
        <v>69</v>
      </c>
      <c r="Z9" s="39" t="s">
        <v>69</v>
      </c>
      <c r="AA9" s="39" t="s">
        <v>69</v>
      </c>
      <c r="AB9" s="39" t="s">
        <v>69</v>
      </c>
    </row>
    <row r="10" spans="1:32">
      <c r="A10" s="1"/>
      <c r="B10" s="8">
        <v>2.048</v>
      </c>
      <c r="C10" s="8">
        <v>1E-3</v>
      </c>
      <c r="D10" s="8">
        <v>0.755</v>
      </c>
      <c r="E10" s="8">
        <v>0.253</v>
      </c>
      <c r="F10" s="11">
        <f>E10*10^-3</f>
        <v>2.5300000000000002E-4</v>
      </c>
      <c r="G10" s="8">
        <f>B10/D10</f>
        <v>2.7125827814569536</v>
      </c>
      <c r="H10" s="8">
        <f>SQRT((1/D10)^2*$G$2^2+(-B10/(D10^2))^2*$G$2^2)</f>
        <v>3.8291904642980296E-2</v>
      </c>
      <c r="I10" s="8">
        <f>G10/$D$2</f>
        <v>4.2636917891508119</v>
      </c>
      <c r="J10" s="8">
        <f>SQRT(((H10/$D$2)^2)+(((G10*$D$3)/($D$2^2))^2))</f>
        <v>7.5022975195966735E-2</v>
      </c>
      <c r="K10" s="17">
        <f>-1.6181*(I10^2)+202.98*I10+127.76</f>
        <v>963.78860996035746</v>
      </c>
      <c r="L10" s="6">
        <f t="shared" si="0"/>
        <v>1.4300041372274706</v>
      </c>
      <c r="M10" s="8">
        <f>B10*D10</f>
        <v>1.5462400000000001</v>
      </c>
      <c r="N10" s="8">
        <f>SQRT(D10^2*$K$3^2+B10^2*$G$2^2)</f>
        <v>2.0480000000000002E-2</v>
      </c>
      <c r="O10" s="39">
        <f>LOG(K10)</f>
        <v>2.9839817895097061</v>
      </c>
      <c r="P10" s="39">
        <f t="shared" si="1"/>
        <v>1.4837321404807735E-3</v>
      </c>
      <c r="Q10" s="12">
        <f>LOG(F10)</f>
        <v>-3.596879478824182</v>
      </c>
      <c r="R10" s="3">
        <f>$G$3/(LN(10)*F10)</f>
        <v>1.7165789798547501E-3</v>
      </c>
      <c r="T10" s="39">
        <f>$I$35*M10+$J$35</f>
        <v>6.6619035475475605E-5</v>
      </c>
      <c r="U10" s="39">
        <f>T10-F10</f>
        <v>-1.8638096452452442E-4</v>
      </c>
      <c r="V10" s="6">
        <f>$I$68*O10+$J$68</f>
        <v>-3.4533099276652077</v>
      </c>
      <c r="W10" s="6">
        <f>V10-Q10</f>
        <v>0.1435695511589743</v>
      </c>
      <c r="Y10" s="39" t="s">
        <v>69</v>
      </c>
      <c r="Z10" s="39" t="s">
        <v>69</v>
      </c>
      <c r="AA10" s="39" t="s">
        <v>69</v>
      </c>
      <c r="AB10" s="39" t="s">
        <v>69</v>
      </c>
    </row>
    <row r="11" spans="1:32">
      <c r="A11" s="1"/>
      <c r="B11" s="8">
        <v>2.5219999999999998</v>
      </c>
      <c r="C11" s="8">
        <v>1E-3</v>
      </c>
      <c r="D11" s="8">
        <v>0.83</v>
      </c>
      <c r="E11" s="8">
        <v>0.43</v>
      </c>
      <c r="F11" s="11">
        <f>E11*10^-3</f>
        <v>4.2999999999999999E-4</v>
      </c>
      <c r="G11" s="8">
        <f>B11/D11</f>
        <v>3.0385542168674697</v>
      </c>
      <c r="H11" s="8">
        <f>SQRT((1/D11)^2*$G$2^2+(-B11/(D11^2))^2*$G$2^2)</f>
        <v>3.8540682354847845E-2</v>
      </c>
      <c r="I11" s="8">
        <f>G11/$D$2</f>
        <v>4.7760602013365681</v>
      </c>
      <c r="J11" s="8">
        <f>SQRT(((H11/$D$2)^2)+(((G11*$D$3)/($D$2^2))^2))</f>
        <v>7.8655733928896132E-2</v>
      </c>
      <c r="K11" s="17">
        <f>-1.6181*(I11^2)+202.98*I11+127.76</f>
        <v>1060.294623398484</v>
      </c>
      <c r="L11" s="6">
        <f t="shared" si="0"/>
        <v>0.50925484932193399</v>
      </c>
      <c r="M11" s="8">
        <f>B11*D11</f>
        <v>2.0932599999999999</v>
      </c>
      <c r="N11" s="8">
        <f>SQRT(D11^2*$K$3^2+B11^2*$G$2^2)</f>
        <v>2.5219999999999996E-2</v>
      </c>
      <c r="O11" s="39">
        <f>LOG(K11)</f>
        <v>3.0254265591679785</v>
      </c>
      <c r="P11" s="39">
        <f t="shared" si="1"/>
        <v>4.8029560660192456E-4</v>
      </c>
      <c r="Q11" s="12">
        <f>LOG(F11)</f>
        <v>-3.3665315444204134</v>
      </c>
      <c r="R11" s="3">
        <f>$G$3/(LN(10)*F11)</f>
        <v>1.0099871672168647E-3</v>
      </c>
      <c r="T11" s="39">
        <f>$I$35*M11+$J$35</f>
        <v>3.6541187606731217E-4</v>
      </c>
      <c r="U11" s="39">
        <f>T11-F11</f>
        <v>-6.4588123932687814E-5</v>
      </c>
      <c r="V11" s="6">
        <f>$I$68*O11+$J$68</f>
        <v>-3.2735345742387878</v>
      </c>
      <c r="W11" s="6">
        <f>V11-Q11</f>
        <v>9.299697018162556E-2</v>
      </c>
      <c r="Y11" s="39" t="s">
        <v>69</v>
      </c>
      <c r="Z11" s="39" t="s">
        <v>69</v>
      </c>
      <c r="AA11" s="39" t="s">
        <v>69</v>
      </c>
      <c r="AB11" s="39" t="s">
        <v>69</v>
      </c>
    </row>
    <row r="12" spans="1:32">
      <c r="A12" s="1"/>
      <c r="B12" s="8">
        <v>3.1040000000000001</v>
      </c>
      <c r="C12" s="8">
        <v>1E-3</v>
      </c>
      <c r="D12" s="8">
        <v>0.9</v>
      </c>
      <c r="E12" s="8">
        <v>0.84799999999999998</v>
      </c>
      <c r="F12" s="11">
        <f>E12*10^-3</f>
        <v>8.4800000000000001E-4</v>
      </c>
      <c r="G12" s="8">
        <f>B12/D12</f>
        <v>3.4488888888888889</v>
      </c>
      <c r="H12" s="8">
        <f>SQRT((1/D12)^2*$G$2^2+(-B12/(D12^2))^2*$G$2^2)</f>
        <v>3.9899309328935484E-2</v>
      </c>
      <c r="I12" s="8">
        <f>G12/$D$2</f>
        <v>5.4210324336538145</v>
      </c>
      <c r="J12" s="8">
        <f>SQRT(((H12/$D$2)^2)+(((G12*$D$3)/($D$2^2))^2))</f>
        <v>8.4709502290808508E-2</v>
      </c>
      <c r="K12" s="17">
        <f>-1.6181*(I12^2)+202.98*I12+127.76</f>
        <v>1180.5690997213828</v>
      </c>
      <c r="L12" s="6">
        <f t="shared" si="0"/>
        <v>0.34921038680216299</v>
      </c>
      <c r="M12" s="8">
        <f>B12*D12</f>
        <v>2.7936000000000001</v>
      </c>
      <c r="N12" s="8">
        <f>SQRT(D12^2*$K$3^2+B12^2*$G$2^2)</f>
        <v>3.1040000000000002E-2</v>
      </c>
      <c r="O12" s="39">
        <f>LOG(K12)</f>
        <v>3.0720914117869915</v>
      </c>
      <c r="P12" s="39">
        <f t="shared" si="1"/>
        <v>2.9579834580167945E-4</v>
      </c>
      <c r="Q12" s="8">
        <f>LOG(F12)</f>
        <v>-3.0716041477432863</v>
      </c>
      <c r="R12" s="3">
        <f>$G$3/(LN(10)*F12)</f>
        <v>5.1213971922553275E-4</v>
      </c>
      <c r="T12" s="39">
        <f>$I$35*M12+$J$35</f>
        <v>7.4795104827324039E-4</v>
      </c>
      <c r="U12" s="39">
        <f>T12-F12</f>
        <v>-1.0004895172675962E-4</v>
      </c>
      <c r="V12" s="10">
        <f>$I$68*O12+$J$68</f>
        <v>-3.0711160195852862</v>
      </c>
      <c r="W12" s="10">
        <f>V12-Q12</f>
        <v>4.8812815800003406E-4</v>
      </c>
      <c r="Y12" s="39" t="s">
        <v>69</v>
      </c>
      <c r="Z12" s="39" t="s">
        <v>69</v>
      </c>
      <c r="AA12" s="39" t="s">
        <v>69</v>
      </c>
      <c r="AB12" s="39" t="s">
        <v>69</v>
      </c>
    </row>
    <row r="13" spans="1:32">
      <c r="A13" s="1"/>
      <c r="B13" s="8">
        <v>3.55</v>
      </c>
      <c r="C13" s="8">
        <v>1E-3</v>
      </c>
      <c r="D13" s="8">
        <v>0.96</v>
      </c>
      <c r="E13" s="8">
        <v>0.96399999999999997</v>
      </c>
      <c r="F13" s="11">
        <f>E13*10^-3</f>
        <v>9.6400000000000001E-4</v>
      </c>
      <c r="G13" s="8">
        <f>B13/D13</f>
        <v>3.6979166666666665</v>
      </c>
      <c r="H13" s="8">
        <f>SQRT((1/D13)^2*$G$2^2+(-B13/(D13^2))^2*$G$2^2)</f>
        <v>3.9903567126832788E-2</v>
      </c>
      <c r="I13" s="8">
        <f>G13/$D$2</f>
        <v>5.8124592681230993</v>
      </c>
      <c r="J13" s="8">
        <f>SQRT(((H13/$D$2)^2)+(((G13*$D$3)/($D$2^2))^2))</f>
        <v>8.7531184436913614E-2</v>
      </c>
      <c r="K13" s="17">
        <f>-1.6181*(I13^2)+202.98*I13+127.76</f>
        <v>1252.9059870962235</v>
      </c>
      <c r="L13" s="6">
        <f t="shared" si="0"/>
        <v>1.0432008664952477</v>
      </c>
      <c r="M13" s="8">
        <f>B13*D13</f>
        <v>3.4079999999999999</v>
      </c>
      <c r="N13" s="8">
        <f>SQRT(D13^2*$K$3^2+B13^2*$G$2^2)</f>
        <v>3.5499999999999997E-2</v>
      </c>
      <c r="O13" s="39">
        <f>LOG(K13)</f>
        <v>3.0979184845479169</v>
      </c>
      <c r="P13" s="39">
        <f t="shared" si="1"/>
        <v>8.3262501515616878E-4</v>
      </c>
      <c r="Q13" s="12">
        <f>LOG(F13)</f>
        <v>-3.0159229660971691</v>
      </c>
      <c r="R13" s="3">
        <f>$G$3/(LN(10)*F13)</f>
        <v>4.5051294803241882E-4</v>
      </c>
      <c r="T13" s="39">
        <f>$I$35*M13+$J$35</f>
        <v>1.0835481402618778E-3</v>
      </c>
      <c r="U13" s="39">
        <f>T13-F13</f>
        <v>1.1954814026187777E-4</v>
      </c>
      <c r="V13" s="6">
        <f>$I$68*O13+$J$68</f>
        <v>-2.9590856917091983</v>
      </c>
      <c r="W13" s="6">
        <f>V13-Q13</f>
        <v>5.6837274387970815E-2</v>
      </c>
      <c r="Y13" s="39" t="s">
        <v>69</v>
      </c>
      <c r="Z13" s="39" t="s">
        <v>69</v>
      </c>
      <c r="AA13" s="39" t="s">
        <v>69</v>
      </c>
      <c r="AB13" s="39" t="s">
        <v>69</v>
      </c>
    </row>
    <row r="14" spans="1:32">
      <c r="A14" s="1"/>
      <c r="B14" s="8">
        <v>4.12</v>
      </c>
      <c r="C14" s="8">
        <v>0.01</v>
      </c>
      <c r="D14" s="8">
        <v>1.04</v>
      </c>
      <c r="E14" s="8">
        <v>1.21</v>
      </c>
      <c r="F14" s="11">
        <f>E14*10^-3</f>
        <v>1.2099999999999999E-3</v>
      </c>
      <c r="G14" s="8">
        <f>B14/D14</f>
        <v>3.9615384615384617</v>
      </c>
      <c r="H14" s="8">
        <f>SQRT((1/D14)^2*$G$2^2+(-B14/(D14^2))^2*$G$2^2)</f>
        <v>3.9286568281325783E-2</v>
      </c>
      <c r="I14" s="8">
        <f>G14/$D$2</f>
        <v>6.2268252701193081</v>
      </c>
      <c r="J14" s="8">
        <f>SQRT(((H14/$D$2)^2)+(((G14*$D$3)/($D$2^2))^2))</f>
        <v>8.9952412127258435E-2</v>
      </c>
      <c r="K14" s="17">
        <f>-1.6181*(I14^2)+202.98*I14+127.76</f>
        <v>1328.9418309291657</v>
      </c>
      <c r="L14" s="6">
        <f t="shared" si="0"/>
        <v>1.8927113255691879</v>
      </c>
      <c r="M14" s="8">
        <f>B14*D14</f>
        <v>4.2848000000000006</v>
      </c>
      <c r="N14" s="8">
        <f>SQRT(D14^2*$K$3^2+B14^2*$G$2^2)</f>
        <v>4.1200000000000001E-2</v>
      </c>
      <c r="O14" s="39">
        <f>LOG(K14)</f>
        <v>3.1235059718687253</v>
      </c>
      <c r="P14" s="39">
        <f t="shared" si="1"/>
        <v>1.4242243576950597E-3</v>
      </c>
      <c r="Q14" s="12">
        <f>LOG(F14)</f>
        <v>-2.9172146296835502</v>
      </c>
      <c r="R14" s="3">
        <f>$G$3/(LN(10)*F14)</f>
        <v>3.5892105942417505E-4</v>
      </c>
      <c r="T14" s="39">
        <f>$I$35*M14+$J$35</f>
        <v>1.5624731569539962E-3</v>
      </c>
      <c r="U14" s="39">
        <f>T14-F14</f>
        <v>3.5247315695399631E-4</v>
      </c>
      <c r="V14" s="6">
        <f>$I$68*O14+$J$68</f>
        <v>-2.8480946157707621</v>
      </c>
      <c r="W14" s="6">
        <f>V14-Q14</f>
        <v>6.9120013912788103E-2</v>
      </c>
      <c r="Y14" s="39" t="s">
        <v>69</v>
      </c>
      <c r="Z14" s="39" t="s">
        <v>69</v>
      </c>
      <c r="AA14" s="39" t="s">
        <v>69</v>
      </c>
      <c r="AB14" s="39" t="s">
        <v>69</v>
      </c>
    </row>
    <row r="15" spans="1:32">
      <c r="A15" s="1"/>
      <c r="B15" s="8">
        <v>4.63</v>
      </c>
      <c r="C15" s="8">
        <v>0.01</v>
      </c>
      <c r="D15" s="8">
        <v>1.0900000000000001</v>
      </c>
      <c r="E15" s="8">
        <v>1.706</v>
      </c>
      <c r="F15" s="11">
        <f>E15*10^-3</f>
        <v>1.7060000000000001E-3</v>
      </c>
      <c r="G15" s="8">
        <f>B15/D15</f>
        <v>4.2477064220183482</v>
      </c>
      <c r="H15" s="8">
        <f>SQRT((1/D15)^2*$G$2^2+(-B15/(D15^2))^2*$G$2^2)</f>
        <v>4.0035135069523706E-2</v>
      </c>
      <c r="I15" s="8">
        <f>G15/$D$2</f>
        <v>6.6766297854899994</v>
      </c>
      <c r="J15" s="8">
        <f>SQRT(((H15/$D$2)^2)+(((G15*$D$3)/($D$2^2))^2))</f>
        <v>9.4226030915001521E-2</v>
      </c>
      <c r="K15" s="17">
        <f>-1.6181*(I15^2)+202.98*I15+127.76</f>
        <v>1410.8516467169784</v>
      </c>
      <c r="L15" s="6">
        <f t="shared" si="0"/>
        <v>2.4809095566757264</v>
      </c>
      <c r="M15" s="8">
        <f>B15*D15</f>
        <v>5.0467000000000004</v>
      </c>
      <c r="N15" s="8">
        <f>SQRT(D15^2*$K$3^2+B15^2*$G$2^2)</f>
        <v>4.6299999999999994E-2</v>
      </c>
      <c r="O15" s="39">
        <f>LOG(K15)</f>
        <v>3.1494813494031955</v>
      </c>
      <c r="P15" s="39">
        <f t="shared" si="1"/>
        <v>1.7584482127860502E-3</v>
      </c>
      <c r="Q15" s="12">
        <f>LOG(F15)</f>
        <v>-2.7680209731684959</v>
      </c>
      <c r="R15" s="3">
        <f>$G$3/(LN(10)*F15)</f>
        <v>2.5456886395266808E-4</v>
      </c>
      <c r="T15" s="39">
        <f>$I$35*M15+$J$35</f>
        <v>1.9786375846658167E-3</v>
      </c>
      <c r="U15" s="39">
        <f>T15-F15</f>
        <v>2.7263758466581668E-4</v>
      </c>
      <c r="V15" s="8">
        <f>$I$68*O15+$J$68</f>
        <v>-2.7354209849327145</v>
      </c>
      <c r="W15" s="8">
        <f>V15-Q15</f>
        <v>3.2599988235781474E-2</v>
      </c>
      <c r="Y15" s="39" t="s">
        <v>69</v>
      </c>
      <c r="Z15" s="39" t="s">
        <v>69</v>
      </c>
      <c r="AA15" s="39" t="s">
        <v>69</v>
      </c>
      <c r="AB15" s="39" t="s">
        <v>69</v>
      </c>
    </row>
    <row r="16" spans="1:32">
      <c r="A16" s="1"/>
      <c r="B16" s="8">
        <v>5.05</v>
      </c>
      <c r="C16" s="8">
        <v>0.01</v>
      </c>
      <c r="D16" s="8">
        <v>1.135</v>
      </c>
      <c r="E16" s="8">
        <v>2.1219999999999999</v>
      </c>
      <c r="F16" s="11">
        <f>E16*10^-3</f>
        <v>2.1219999999999998E-3</v>
      </c>
      <c r="G16" s="8">
        <f>B16/D16</f>
        <v>4.4493392070484576</v>
      </c>
      <c r="H16" s="8">
        <f>SQRT((1/D16)^2*$G$2^2+(-B16/(D16^2))^2*$G$2^2)</f>
        <v>4.0179128284428559E-2</v>
      </c>
      <c r="I16" s="8">
        <f>G16/$D$2</f>
        <v>6.9935602238284504</v>
      </c>
      <c r="J16" s="8">
        <f>SQRT(((H16/$D$2)^2)+(((G16*$D$3)/($D$2^2))^2))</f>
        <v>9.6876846758545271E-2</v>
      </c>
      <c r="K16" s="17">
        <f>-1.6181*(I16^2)+202.98*I16+127.76</f>
        <v>1468.1717699544558</v>
      </c>
      <c r="L16" s="6">
        <f t="shared" si="0"/>
        <v>2.9684972413041173</v>
      </c>
      <c r="M16" s="8">
        <f>B16*D16</f>
        <v>5.7317499999999999</v>
      </c>
      <c r="N16" s="8">
        <f>SQRT(D16^2*$K$3^2+B16^2*$G$2^2)</f>
        <v>5.0500000000000003E-2</v>
      </c>
      <c r="O16" s="39">
        <f>LOG(K16)</f>
        <v>3.1667768691899538</v>
      </c>
      <c r="P16" s="39">
        <f t="shared" si="1"/>
        <v>2.021900503778385E-3</v>
      </c>
      <c r="Q16" s="12">
        <f>LOG(F16)</f>
        <v>-2.6732546204346783</v>
      </c>
      <c r="R16" s="3">
        <f>$G$3/(LN(10)*F16)</f>
        <v>2.0466280956797916E-4</v>
      </c>
      <c r="T16" s="39">
        <f>$I$35*M16+$J$35</f>
        <v>2.3528250649177958E-3</v>
      </c>
      <c r="U16" s="39">
        <f>T16-F16</f>
        <v>2.3082506491779601E-4</v>
      </c>
      <c r="V16" s="8">
        <f>$I$68*O16+$J$68</f>
        <v>-2.6603980518100201</v>
      </c>
      <c r="W16" s="8">
        <f>V16-Q16</f>
        <v>1.2856568624658227E-2</v>
      </c>
      <c r="Y16" s="39" t="s">
        <v>69</v>
      </c>
      <c r="Z16" s="39" t="s">
        <v>69</v>
      </c>
      <c r="AA16" s="39" t="s">
        <v>69</v>
      </c>
      <c r="AB16" s="39" t="s">
        <v>69</v>
      </c>
      <c r="AD16" s="30"/>
      <c r="AF16" s="1"/>
    </row>
    <row r="17" spans="1:32">
      <c r="A17" s="1"/>
      <c r="B17" s="8">
        <v>5.56</v>
      </c>
      <c r="C17" s="8">
        <v>0.01</v>
      </c>
      <c r="D17" s="8">
        <v>1.19</v>
      </c>
      <c r="E17" s="8">
        <v>2.61</v>
      </c>
      <c r="F17" s="11">
        <f>E17*10^-3</f>
        <v>2.6099999999999999E-3</v>
      </c>
      <c r="G17" s="8">
        <f>B17/D17</f>
        <v>4.6722689075630255</v>
      </c>
      <c r="H17" s="8">
        <f>SQRT((1/D17)^2*$G$2^2+(-B17/(D17^2))^2*$G$2^2)</f>
        <v>4.01519752096854E-2</v>
      </c>
      <c r="I17" s="8">
        <f>G17/$D$2</f>
        <v>7.3439655792481613</v>
      </c>
      <c r="J17" s="8">
        <f>SQRT(((H17/$D$2)^2)+(((G17*$D$3)/($D$2^2))^2))</f>
        <v>9.9669804075500731E-2</v>
      </c>
      <c r="K17" s="17">
        <f>-1.6181*(I17^2)+202.98*I17+127.76</f>
        <v>1531.1678022583326</v>
      </c>
      <c r="L17" s="6">
        <f t="shared" si="0"/>
        <v>3.5355645763177641</v>
      </c>
      <c r="M17" s="8">
        <f>B17*D17</f>
        <v>6.6163999999999996</v>
      </c>
      <c r="N17" s="8">
        <f>SQRT(D17^2*$K$3^2+B17^2*$G$2^2)</f>
        <v>5.5599999999999997E-2</v>
      </c>
      <c r="O17" s="39">
        <f>LOG(K17)</f>
        <v>3.1850227880865321</v>
      </c>
      <c r="P17" s="39">
        <f t="shared" si="1"/>
        <v>2.3090640823971932E-3</v>
      </c>
      <c r="Q17" s="9">
        <f>LOG(F17)</f>
        <v>-2.5833594926617192</v>
      </c>
      <c r="R17" s="3">
        <f>$G$3/(LN(10)*F17)</f>
        <v>1.663963532196367E-4</v>
      </c>
      <c r="T17" s="39">
        <f>$I$35*M17+$J$35</f>
        <v>2.8360379025280627E-3</v>
      </c>
      <c r="U17" s="39">
        <f>T17-F17</f>
        <v>2.2603790252806281E-4</v>
      </c>
      <c r="V17" s="8">
        <f>$I$68*O17+$J$68</f>
        <v>-2.5812525638445099</v>
      </c>
      <c r="W17" s="8">
        <f>V17-Q17</f>
        <v>2.1069288172093081E-3</v>
      </c>
      <c r="Y17" s="39" t="s">
        <v>69</v>
      </c>
      <c r="Z17" s="39" t="s">
        <v>69</v>
      </c>
      <c r="AA17" s="39" t="s">
        <v>69</v>
      </c>
      <c r="AB17" s="39" t="s">
        <v>69</v>
      </c>
      <c r="AF17" s="1"/>
    </row>
    <row r="18" spans="1:32">
      <c r="A18" s="1"/>
      <c r="B18" s="8">
        <v>6.09</v>
      </c>
      <c r="C18" s="8">
        <v>0.01</v>
      </c>
      <c r="D18" s="8">
        <v>1.24</v>
      </c>
      <c r="E18" s="8">
        <v>3.1070000000000002</v>
      </c>
      <c r="F18" s="11">
        <f>E18*10^-3</f>
        <v>3.1070000000000004E-3</v>
      </c>
      <c r="G18" s="8">
        <f>B18/D18</f>
        <v>4.911290322580645</v>
      </c>
      <c r="H18" s="8">
        <f>SQRT((1/D18)^2*$G$2^2+(-B18/(D18^2))^2*$G$2^2)</f>
        <v>4.041986058358444E-2</v>
      </c>
      <c r="I18" s="8">
        <f>G18/$D$2</f>
        <v>7.7196642128929778</v>
      </c>
      <c r="J18" s="8">
        <f>SQRT(((H18/$D$2)^2)+(((G18*$D$3)/($D$2^2))^2))</f>
        <v>0.1030138079538999</v>
      </c>
      <c r="K18" s="17">
        <f>-1.6181*(I18^2)+202.98*I18+127.76</f>
        <v>1598.2696598356708</v>
      </c>
      <c r="L18" s="6">
        <f t="shared" si="0"/>
        <v>4.0726345872816516</v>
      </c>
      <c r="M18" s="8">
        <f>B18*D18</f>
        <v>7.5515999999999996</v>
      </c>
      <c r="N18" s="8">
        <f>SQRT(D18^2*$K$3^2+B18^2*$G$2^2)</f>
        <v>6.0899999999999996E-2</v>
      </c>
      <c r="O18" s="39">
        <f>LOG(K18)</f>
        <v>3.2036500552649096</v>
      </c>
      <c r="P18" s="39">
        <f t="shared" si="1"/>
        <v>2.5481523485219554E-3</v>
      </c>
      <c r="Q18" s="8">
        <f>LOG(F18)</f>
        <v>-2.5076587467450255</v>
      </c>
      <c r="R18" s="3">
        <f>$G$3/(LN(10)*F18)</f>
        <v>1.3977936334188984E-4</v>
      </c>
      <c r="T18" s="39">
        <f>$I$35*M18+$J$35</f>
        <v>3.3468621219743091E-3</v>
      </c>
      <c r="U18" s="39">
        <f>T18-F18</f>
        <v>2.3986212197430867E-4</v>
      </c>
      <c r="V18" s="10">
        <f>$I$68*O18+$J$68</f>
        <v>-2.5004528979765936</v>
      </c>
      <c r="W18" s="10">
        <f>V18-Q18</f>
        <v>7.2058487684318884E-3</v>
      </c>
      <c r="Y18" s="39" t="s">
        <v>69</v>
      </c>
      <c r="Z18" s="39" t="s">
        <v>69</v>
      </c>
      <c r="AA18" s="39" t="s">
        <v>69</v>
      </c>
      <c r="AB18" s="39" t="s">
        <v>69</v>
      </c>
    </row>
    <row r="19" spans="1:32">
      <c r="A19" s="1"/>
      <c r="B19" s="8">
        <v>6.6449999999999996</v>
      </c>
      <c r="C19" s="8">
        <v>0.01</v>
      </c>
      <c r="D19" s="8">
        <v>1.3</v>
      </c>
      <c r="E19" s="8">
        <v>3.706</v>
      </c>
      <c r="F19" s="11">
        <f>E19*10^-3</f>
        <v>3.7060000000000001E-3</v>
      </c>
      <c r="G19" s="8">
        <f>B19/D19</f>
        <v>5.1115384615384611</v>
      </c>
      <c r="H19" s="8">
        <f>SQRT((1/D19)^2*$G$2^2+(-B19/(D19^2))^2*$G$2^2)</f>
        <v>4.0064906986310531E-2</v>
      </c>
      <c r="I19" s="8">
        <f>G19/$D$2</f>
        <v>8.0344182368820967</v>
      </c>
      <c r="J19" s="8">
        <f>SQRT(((H19/$D$2)^2)+(((G19*$D$3)/($D$2^2))^2))</f>
        <v>0.10530144862084719</v>
      </c>
      <c r="K19" s="17">
        <f>-1.6181*(I19^2)+202.98*I19+127.76</f>
        <v>1654.1348225111649</v>
      </c>
      <c r="L19" s="6">
        <f t="shared" si="0"/>
        <v>4.6268962571382808</v>
      </c>
      <c r="M19" s="8">
        <f>B19*D19</f>
        <v>8.6385000000000005</v>
      </c>
      <c r="N19" s="8">
        <f>SQRT(D19^2*$K$3^2+B19^2*$G$2^2)</f>
        <v>6.6449999999999995E-2</v>
      </c>
      <c r="O19" s="39">
        <f>LOG(K19)</f>
        <v>3.2185709044223096</v>
      </c>
      <c r="P19" s="39">
        <f t="shared" si="1"/>
        <v>2.7971699731912576E-3</v>
      </c>
      <c r="Q19" s="9">
        <f>LOG(F19)</f>
        <v>-2.4310945850171213</v>
      </c>
      <c r="R19" s="3">
        <f>$G$3/(LN(10)*F19)</f>
        <v>1.1718685426423415E-4</v>
      </c>
      <c r="T19" s="39">
        <f>$I$35*M19+$J$35</f>
        <v>3.9405477978897551E-3</v>
      </c>
      <c r="U19" s="39">
        <f>T19-F19</f>
        <v>2.3454779788975502E-4</v>
      </c>
      <c r="V19" s="8">
        <f>$I$68*O19+$J$68</f>
        <v>-2.4357305951911936</v>
      </c>
      <c r="W19" s="8">
        <f>V19-Q19</f>
        <v>-4.6360101740723358E-3</v>
      </c>
      <c r="Y19" s="39" t="s">
        <v>69</v>
      </c>
      <c r="Z19" s="39" t="s">
        <v>69</v>
      </c>
      <c r="AA19" s="39" t="s">
        <v>69</v>
      </c>
      <c r="AB19" s="39" t="s">
        <v>69</v>
      </c>
    </row>
    <row r="20" spans="1:32">
      <c r="A20" s="1"/>
      <c r="B20" s="8">
        <v>7.0350000000000001</v>
      </c>
      <c r="C20" s="8">
        <v>0.01</v>
      </c>
      <c r="D20" s="8">
        <v>1.335</v>
      </c>
      <c r="E20" s="8">
        <v>4.2530000000000001</v>
      </c>
      <c r="F20" s="11">
        <f>E20*10^-3</f>
        <v>4.2529999999999998E-3</v>
      </c>
      <c r="G20" s="8">
        <f>B20/D20</f>
        <v>5.2696629213483153</v>
      </c>
      <c r="H20" s="8">
        <f>SQRT((1/D20)^2*$G$2^2+(-B20/(D20^2))^2*$G$2^2)</f>
        <v>4.0177576699766231E-2</v>
      </c>
      <c r="I20" s="8">
        <f>G20/$D$2</f>
        <v>8.2829614207303202</v>
      </c>
      <c r="J20" s="8">
        <f>SQRT(((H20/$D$2)^2)+(((G20*$D$3)/($D$2^2))^2))</f>
        <v>0.10750915401680187</v>
      </c>
      <c r="K20" s="17">
        <f>-1.6181*(I20^2)+202.98*I20+127.76</f>
        <v>1698.0217945010081</v>
      </c>
      <c r="L20" s="6">
        <f t="shared" si="0"/>
        <v>4.9831116674370151</v>
      </c>
      <c r="M20" s="8">
        <f>B20*D20</f>
        <v>9.3917249999999992</v>
      </c>
      <c r="N20" s="8">
        <f>SQRT(D20^2*$K$3^2+B20^2*$G$2^2)</f>
        <v>7.0349999999999996E-2</v>
      </c>
      <c r="O20" s="39">
        <f>LOG(K20)</f>
        <v>3.2299432602134575</v>
      </c>
      <c r="P20" s="39">
        <f t="shared" si="1"/>
        <v>2.9346570718789774E-3</v>
      </c>
      <c r="Q20" s="9">
        <f>LOG(F20)</f>
        <v>-2.3713046172859769</v>
      </c>
      <c r="R20" s="3">
        <f>$G$3/(LN(10)*F20)</f>
        <v>1.0211485584369899E-4</v>
      </c>
      <c r="T20" s="39">
        <f>$I$35*M20+$J$35</f>
        <v>4.3519737738226018E-3</v>
      </c>
      <c r="U20" s="39">
        <f>T20-F20</f>
        <v>9.8973773822601946E-5</v>
      </c>
      <c r="V20" s="8">
        <f>$I$68*O20+$J$68</f>
        <v>-2.3864006242804603</v>
      </c>
      <c r="W20" s="8">
        <f>V20-Q20</f>
        <v>-1.5096006994483435E-2</v>
      </c>
      <c r="Y20" s="39" t="s">
        <v>69</v>
      </c>
      <c r="Z20" s="39" t="s">
        <v>69</v>
      </c>
      <c r="AA20" s="39" t="s">
        <v>69</v>
      </c>
      <c r="AB20" s="39" t="s">
        <v>69</v>
      </c>
    </row>
    <row r="21" spans="1:32">
      <c r="A21" s="1"/>
      <c r="B21" s="8">
        <v>7.51</v>
      </c>
      <c r="C21" s="8">
        <v>0.01</v>
      </c>
      <c r="D21" s="8">
        <v>1.375</v>
      </c>
      <c r="E21" s="8">
        <v>4.7949999999999999</v>
      </c>
      <c r="F21" s="11">
        <f>E21*10^-3</f>
        <v>4.7949999999999998E-3</v>
      </c>
      <c r="G21" s="8">
        <f>B21/D21</f>
        <v>5.4618181818181819</v>
      </c>
      <c r="H21" s="8">
        <f>SQRT((1/D21)^2*$G$2^2+(-B21/(D21^2))^2*$G$2^2)</f>
        <v>4.0382605109594773E-2</v>
      </c>
      <c r="I21" s="8">
        <f>G21/$D$2</f>
        <v>8.5849948966884106</v>
      </c>
      <c r="J21" s="8">
        <f>SQRT(((H21/$D$2)^2)+(((G21*$D$3)/($D$2^2))^2))</f>
        <v>0.11027767976291528</v>
      </c>
      <c r="K21" s="17">
        <f>-1.6181*(I21^2)+202.98*I21+127.76</f>
        <v>1751.0848356414392</v>
      </c>
      <c r="L21" s="6">
        <f t="shared" si="0"/>
        <v>5.3985970463864952</v>
      </c>
      <c r="M21" s="8">
        <f>B21*D21</f>
        <v>10.32625</v>
      </c>
      <c r="N21" s="8">
        <f>SQRT(D21^2*$K$3^2+B21^2*$G$2^2)</f>
        <v>7.51E-2</v>
      </c>
      <c r="O21" s="39">
        <f>LOG(K21)</f>
        <v>3.2433071870648513</v>
      </c>
      <c r="P21" s="39">
        <f t="shared" si="1"/>
        <v>3.0830014266036046E-3</v>
      </c>
      <c r="Q21" s="9">
        <f>LOG(F21)</f>
        <v>-2.3192113884933176</v>
      </c>
      <c r="R21" s="3">
        <f>$G$3/(LN(10)*F21)</f>
        <v>9.057236327492216E-5</v>
      </c>
      <c r="T21" s="39">
        <f>$I$35*M21+$J$35</f>
        <v>4.8624292952918098E-3</v>
      </c>
      <c r="U21" s="39">
        <f>T21-F21</f>
        <v>6.7429295291810028E-5</v>
      </c>
      <c r="V21" s="8">
        <f>$I$68*O21+$J$68</f>
        <v>-2.3284317975097082</v>
      </c>
      <c r="W21" s="8">
        <f>V21-Q21</f>
        <v>-9.2204090163905406E-3</v>
      </c>
      <c r="Y21" s="39" t="s">
        <v>69</v>
      </c>
      <c r="Z21" s="39" t="s">
        <v>69</v>
      </c>
      <c r="AA21" s="39" t="s">
        <v>69</v>
      </c>
      <c r="AB21" s="39" t="s">
        <v>69</v>
      </c>
    </row>
    <row r="22" spans="1:32">
      <c r="A22" s="1"/>
      <c r="B22" s="8">
        <v>8</v>
      </c>
      <c r="C22" s="8">
        <v>0.01</v>
      </c>
      <c r="D22" s="8">
        <v>1.42</v>
      </c>
      <c r="E22" s="8">
        <v>5.3979999999999997</v>
      </c>
      <c r="F22" s="11">
        <f>E22*10^-3</f>
        <v>5.398E-3</v>
      </c>
      <c r="G22" s="8">
        <f>B22/D22</f>
        <v>5.6338028169014089</v>
      </c>
      <c r="H22" s="8">
        <f>SQRT((1/D22)^2*$G$2^2+(-B22/(D22^2))^2*$G$2^2)</f>
        <v>4.0294820929219009E-2</v>
      </c>
      <c r="I22" s="8">
        <f>G22/$D$2</f>
        <v>8.855323780834242</v>
      </c>
      <c r="J22" s="8">
        <f>SQRT(((H22/$D$2)^2)+(((G22*$D$3)/($D$2^2))^2))</f>
        <v>0.11253388050332915</v>
      </c>
      <c r="K22" s="17">
        <f>-1.6181*(I22^2)+202.98*I22+127.76</f>
        <v>1798.3274628696131</v>
      </c>
      <c r="L22" s="6">
        <f t="shared" si="0"/>
        <v>5.8154717549700266</v>
      </c>
      <c r="M22" s="8">
        <f>B22*D22</f>
        <v>11.36</v>
      </c>
      <c r="N22" s="8">
        <f>SQRT(D22^2*$K$3^2+B22^2*$G$2^2)</f>
        <v>0.08</v>
      </c>
      <c r="O22" s="39">
        <f>LOG(K22)</f>
        <v>3.254868776589817</v>
      </c>
      <c r="P22" s="39">
        <f t="shared" si="1"/>
        <v>3.2338224684008367E-3</v>
      </c>
      <c r="Q22" s="9">
        <f>LOG(F22)</f>
        <v>-2.267767119779502</v>
      </c>
      <c r="R22" s="3">
        <f>$G$3/(LN(10)*F22)</f>
        <v>8.0454702093970309E-5</v>
      </c>
      <c r="T22" s="39">
        <f>$I$35*M22+$J$35</f>
        <v>5.4270834193856478E-3</v>
      </c>
      <c r="U22" s="39">
        <f>T22-F22</f>
        <v>2.9083419385647798E-5</v>
      </c>
      <c r="V22" s="8">
        <f>$I$68*O22+$J$68</f>
        <v>-2.2782809857146411</v>
      </c>
      <c r="W22" s="8">
        <f>V22-Q22</f>
        <v>-1.0513865935139144E-2</v>
      </c>
      <c r="Y22" s="39" t="s">
        <v>69</v>
      </c>
      <c r="Z22" s="39" t="s">
        <v>69</v>
      </c>
      <c r="AA22" s="39" t="s">
        <v>69</v>
      </c>
      <c r="AB22" s="39" t="s">
        <v>69</v>
      </c>
    </row>
    <row r="23" spans="1:32">
      <c r="A23" s="1"/>
      <c r="B23" s="8">
        <v>8.48</v>
      </c>
      <c r="C23" s="8">
        <v>0.01</v>
      </c>
      <c r="D23" s="8">
        <v>1.46</v>
      </c>
      <c r="E23" s="8">
        <v>5.9850000000000003</v>
      </c>
      <c r="F23" s="11">
        <f>E23*10^-3</f>
        <v>5.9850000000000007E-3</v>
      </c>
      <c r="G23" s="8">
        <f>B23/D23</f>
        <v>5.8082191780821919</v>
      </c>
      <c r="H23" s="8">
        <f>SQRT((1/D23)^2*$G$2^2+(-B23/(D23^2))^2*$G$2^2)</f>
        <v>4.0367639900393916E-2</v>
      </c>
      <c r="I23" s="8">
        <f>G23/$D$2</f>
        <v>9.1294749006244515</v>
      </c>
      <c r="J23" s="8">
        <f>SQRT(((H23/$D$2)^2)+(((G23*$D$3)/($D$2^2))^2))</f>
        <v>0.11498876731659599</v>
      </c>
      <c r="K23" s="17">
        <f>-1.6181*(I23^2)+202.98*I23+127.76</f>
        <v>1845.9965298444438</v>
      </c>
      <c r="L23" s="6">
        <f t="shared" si="0"/>
        <v>6.2043866834781944</v>
      </c>
      <c r="M23" s="8">
        <f>B23*D23</f>
        <v>12.380800000000001</v>
      </c>
      <c r="N23" s="8">
        <f>SQRT(D23^2*$K$3^2+B23^2*$G$2^2)</f>
        <v>8.48E-2</v>
      </c>
      <c r="O23" s="39">
        <f>LOG(K23)</f>
        <v>3.2662308802918294</v>
      </c>
      <c r="P23" s="39">
        <f t="shared" si="1"/>
        <v>3.3609958540935167E-3</v>
      </c>
      <c r="Q23" s="9">
        <f>LOG(F23)</f>
        <v>-2.2229358452575703</v>
      </c>
      <c r="R23" s="3">
        <f>$G$3/(LN(10)*F23)</f>
        <v>7.2563823208563358E-5</v>
      </c>
      <c r="T23" s="39">
        <f>$I$35*M23+$J$35</f>
        <v>5.9846640045126027E-3</v>
      </c>
      <c r="U23" s="39">
        <f>T23-F23</f>
        <v>-3.3599548739798868E-7</v>
      </c>
      <c r="V23" s="8">
        <f>$I$68*O23+$J$68</f>
        <v>-2.2289954853839813</v>
      </c>
      <c r="W23" s="8">
        <f>V23-Q23</f>
        <v>-6.0596401264110256E-3</v>
      </c>
      <c r="Y23" s="39" t="s">
        <v>69</v>
      </c>
      <c r="Z23" s="39" t="s">
        <v>69</v>
      </c>
      <c r="AA23" s="39" t="s">
        <v>69</v>
      </c>
      <c r="AB23" s="39" t="s">
        <v>69</v>
      </c>
    </row>
    <row r="24" spans="1:32">
      <c r="A24" s="1"/>
      <c r="B24" s="8">
        <v>8.7799999999999994</v>
      </c>
      <c r="C24" s="8">
        <v>0.01</v>
      </c>
      <c r="D24" s="8">
        <v>1.49</v>
      </c>
      <c r="E24" s="8">
        <v>6.23</v>
      </c>
      <c r="F24" s="11">
        <f>E24*10^-3</f>
        <v>6.2300000000000003E-3</v>
      </c>
      <c r="G24" s="8">
        <f>B24/D24</f>
        <v>5.8926174496644288</v>
      </c>
      <c r="H24" s="8">
        <f>SQRT((1/D24)^2*$G$2^2+(-B24/(D24^2))^2*$G$2^2)</f>
        <v>4.0113202056669704E-2</v>
      </c>
      <c r="I24" s="8">
        <f>G24/$D$2</f>
        <v>9.2621337894235705</v>
      </c>
      <c r="J24" s="8">
        <f>SQRT(((H24/$D$2)^2)+(((G24*$D$3)/($D$2^2))^2))</f>
        <v>0.11593545718153947</v>
      </c>
      <c r="K24" s="17">
        <f>-1.6181*(I24^2)+202.98*I24+127.76</f>
        <v>1868.9757739298748</v>
      </c>
      <c r="L24" s="6">
        <f t="shared" si="0"/>
        <v>6.4415382706236812</v>
      </c>
      <c r="M24" s="6">
        <f>B24*D24</f>
        <v>13.082199999999998</v>
      </c>
      <c r="N24" s="6">
        <f>SQRT(D24^2*$K$3^2+B24^2*$G$2^2)</f>
        <v>8.7800000000000003E-2</v>
      </c>
      <c r="O24" s="39">
        <f>LOG(K24)</f>
        <v>3.2716036719958663</v>
      </c>
      <c r="P24" s="39">
        <f t="shared" si="1"/>
        <v>3.4465606031260265E-3</v>
      </c>
      <c r="Q24" s="9">
        <f>LOG(F24)</f>
        <v>-2.2055119533408303</v>
      </c>
      <c r="R24" s="3">
        <f>$G$3/(LN(10)*F24)</f>
        <v>6.9710189711597392E-5</v>
      </c>
      <c r="T24" s="39">
        <f>$I$35*M24+$J$35</f>
        <v>6.3677821690972863E-3</v>
      </c>
      <c r="U24" s="39">
        <f>T24-F24</f>
        <v>1.3778216909728601E-4</v>
      </c>
      <c r="V24" s="8">
        <f>$I$68*O24+$J$68</f>
        <v>-2.2056898780553862</v>
      </c>
      <c r="W24" s="8">
        <f>V24-Q24</f>
        <v>-1.7792471455591041E-4</v>
      </c>
      <c r="Y24" s="39" t="s">
        <v>69</v>
      </c>
      <c r="Z24" s="39" t="s">
        <v>69</v>
      </c>
      <c r="AA24" s="39" t="s">
        <v>69</v>
      </c>
      <c r="AB24" s="39" t="s">
        <v>69</v>
      </c>
    </row>
    <row r="25" spans="1:32">
      <c r="A25" s="1"/>
      <c r="B25" s="8">
        <v>9.0399999999999991</v>
      </c>
      <c r="C25" s="8">
        <v>0.01</v>
      </c>
      <c r="D25" s="8">
        <v>1.5149999999999999</v>
      </c>
      <c r="E25" s="8">
        <v>6.5</v>
      </c>
      <c r="F25" s="11">
        <f>E25*10^-3</f>
        <v>6.5000000000000006E-3</v>
      </c>
      <c r="G25" s="8">
        <f>B25/D25</f>
        <v>5.9669966996699664</v>
      </c>
      <c r="H25" s="8">
        <f>SQRT((1/D25)^2*$G$2^2+(-B25/(D25^2))^2*$G$2^2)</f>
        <v>3.9935384212679989E-2</v>
      </c>
      <c r="I25" s="8">
        <f>G25/$D$2</f>
        <v>9.3790445800175721</v>
      </c>
      <c r="J25" s="8">
        <f>SQRT(((H25/$D$2)^2)+(((G25*$D$3)/($D$2^2))^2))</f>
        <v>0.11681750883651715</v>
      </c>
      <c r="K25" s="17">
        <f>-1.6181*(I25^2)+202.98*I25+127.76</f>
        <v>1889.1799120397009</v>
      </c>
      <c r="L25" s="6">
        <f t="shared" si="0"/>
        <v>6.6408461262166192</v>
      </c>
      <c r="M25" s="8">
        <f>B25*D25</f>
        <v>13.695599999999997</v>
      </c>
      <c r="N25" s="8">
        <f>SQRT(D25^2*$K$3^2+B25^2*$G$2^2)</f>
        <v>9.0399999999999994E-2</v>
      </c>
      <c r="O25" s="39">
        <f>LOG(K25)</f>
        <v>3.2762733190046553</v>
      </c>
      <c r="P25" s="39">
        <f t="shared" si="1"/>
        <v>3.5152004760873523E-3</v>
      </c>
      <c r="Q25" s="8">
        <f>LOG(F25)</f>
        <v>-2.1870866433571443</v>
      </c>
      <c r="R25" s="3">
        <f>$G$3/(LN(10)*F25)</f>
        <v>6.6814535677423345E-5</v>
      </c>
      <c r="T25" s="39">
        <f>$I$35*M25+$J$35</f>
        <v>6.7028330418606808E-3</v>
      </c>
      <c r="U25" s="39">
        <f>T25-F25</f>
        <v>2.0283304186068021E-4</v>
      </c>
      <c r="V25" s="10">
        <f>$I$68*O25+$J$68</f>
        <v>-2.185434307851871</v>
      </c>
      <c r="W25" s="10">
        <f>V25-Q25</f>
        <v>1.652335505273328E-3</v>
      </c>
      <c r="Y25" s="39" t="s">
        <v>69</v>
      </c>
      <c r="Z25" s="39" t="s">
        <v>69</v>
      </c>
      <c r="AA25" s="39" t="s">
        <v>69</v>
      </c>
      <c r="AB25" s="39" t="s">
        <v>69</v>
      </c>
    </row>
    <row r="26" spans="1:32">
      <c r="A26" s="1"/>
      <c r="B26" s="8">
        <v>9.2899999999999991</v>
      </c>
      <c r="C26" s="8">
        <v>0.01</v>
      </c>
      <c r="D26" s="8">
        <v>1.53</v>
      </c>
      <c r="E26" s="8">
        <v>6.78</v>
      </c>
      <c r="F26" s="11">
        <f>E26*10^-3</f>
        <v>6.7800000000000004E-3</v>
      </c>
      <c r="G26" s="8">
        <f>B26/D26</f>
        <v>6.0718954248366011</v>
      </c>
      <c r="H26" s="8">
        <f>SQRT((1/D26)^2*$G$2^2+(-B26/(D26^2))^2*$G$2^2)</f>
        <v>4.0220203212707827E-2</v>
      </c>
      <c r="I26" s="8">
        <f>G26/$D$2</f>
        <v>9.543926491177217</v>
      </c>
      <c r="J26" s="8">
        <f>SQRT(((H26/$D$2)^2)+(((G26*$D$3)/($D$2^2))^2))</f>
        <v>0.11852002743334576</v>
      </c>
      <c r="K26" s="17">
        <f>-1.6181*(I26^2)+202.98*I26+127.76</f>
        <v>1917.5990803438317</v>
      </c>
      <c r="L26" s="6">
        <f t="shared" si="0"/>
        <v>6.828859742327186</v>
      </c>
      <c r="M26" s="6">
        <f>B26*D26</f>
        <v>14.213699999999999</v>
      </c>
      <c r="N26" s="6">
        <f>SQRT(D26^2*$K$3^2+B26^2*$G$2^2)</f>
        <v>9.2899999999999996E-2</v>
      </c>
      <c r="O26" s="39">
        <f>LOG(K26)</f>
        <v>3.2827578127435286</v>
      </c>
      <c r="P26" s="39">
        <f t="shared" si="1"/>
        <v>3.5611509268677522E-3</v>
      </c>
      <c r="Q26" s="9">
        <f>LOG(F26)</f>
        <v>-2.1687703061329366</v>
      </c>
      <c r="R26" s="3">
        <f>$G$3/(LN(10)*F26)</f>
        <v>6.4055233319063677E-5</v>
      </c>
      <c r="T26" s="39">
        <f>$I$35*M26+$J$35</f>
        <v>6.9858292224585228E-3</v>
      </c>
      <c r="U26" s="9">
        <f>T26-F26</f>
        <v>2.0582922245852234E-4</v>
      </c>
      <c r="V26" s="8">
        <f>$I$68*O26+$J$68</f>
        <v>-2.1573064605189174</v>
      </c>
      <c r="W26" s="8">
        <f>V26-Q26</f>
        <v>1.1463845614019252E-2</v>
      </c>
      <c r="Y26" s="39" t="s">
        <v>69</v>
      </c>
      <c r="Z26" s="39" t="s">
        <v>69</v>
      </c>
      <c r="AA26" s="39" t="s">
        <v>69</v>
      </c>
      <c r="AB26" s="39" t="s">
        <v>69</v>
      </c>
    </row>
    <row r="27" spans="1:32">
      <c r="A27" s="1"/>
      <c r="B27" s="8">
        <v>9.4550000000000001</v>
      </c>
      <c r="C27" s="8">
        <v>0.01</v>
      </c>
      <c r="D27" s="8">
        <v>1.54</v>
      </c>
      <c r="E27" s="8">
        <v>7.2270000000000003</v>
      </c>
      <c r="F27" s="11">
        <f>E27*10^-3</f>
        <v>7.2270000000000008E-3</v>
      </c>
      <c r="G27" s="8">
        <f>B27/D27</f>
        <v>6.1396103896103895</v>
      </c>
      <c r="H27" s="8">
        <f>SQRT((1/D27)^2*$G$2^2+(-B27/(D27^2))^2*$G$2^2)</f>
        <v>4.0392959175602323E-2</v>
      </c>
      <c r="I27" s="8">
        <f>G27/$D$2</f>
        <v>9.6503622251508592</v>
      </c>
      <c r="J27" s="8">
        <f>SQRT(((H27/$D$2)^2)+(((G27*$D$3)/($D$2^2))^2))</f>
        <v>0.11961112399303167</v>
      </c>
      <c r="K27" s="17">
        <f>-1.6181*(I27^2)+202.98*I27+127.76</f>
        <v>1935.8976949500445</v>
      </c>
      <c r="L27" s="6">
        <f t="shared" si="0"/>
        <v>6.9518362849276407</v>
      </c>
      <c r="M27" s="8">
        <f>B27*D27</f>
        <v>14.560700000000001</v>
      </c>
      <c r="N27" s="8">
        <f>SQRT(D27^2*$K$3^2+B27^2*$G$2^2)</f>
        <v>9.4550000000000009E-2</v>
      </c>
      <c r="O27" s="39">
        <f>LOG(K27)</f>
        <v>3.2868824027179118</v>
      </c>
      <c r="P27" s="39">
        <f t="shared" si="1"/>
        <v>3.59101428916523E-3</v>
      </c>
      <c r="Q27" s="9">
        <f>LOG(F27)</f>
        <v>-2.141041945281994</v>
      </c>
      <c r="R27" s="3">
        <f>$G$3/(LN(10)*F27)</f>
        <v>6.0093328061886225E-5</v>
      </c>
      <c r="T27" s="39">
        <f>$I$35*M27+$J$35</f>
        <v>7.17536729361747E-3</v>
      </c>
      <c r="U27" s="39">
        <f>T27-F27</f>
        <v>-5.1632706382530834E-5</v>
      </c>
      <c r="V27" s="8">
        <f>$I$68*O27+$J$68</f>
        <v>-2.1394151891595214</v>
      </c>
      <c r="W27" s="8">
        <f>V27-Q27</f>
        <v>1.6267561224725391E-3</v>
      </c>
      <c r="Y27" s="39" t="s">
        <v>69</v>
      </c>
      <c r="Z27" s="39" t="s">
        <v>69</v>
      </c>
      <c r="AA27" s="39" t="s">
        <v>69</v>
      </c>
      <c r="AB27" s="39" t="s">
        <v>69</v>
      </c>
    </row>
    <row r="28" spans="1:32">
      <c r="A28" s="1"/>
      <c r="B28" s="8">
        <v>10.029999999999999</v>
      </c>
      <c r="C28" s="8">
        <v>0.01</v>
      </c>
      <c r="D28" s="8">
        <v>1.59</v>
      </c>
      <c r="E28" s="8">
        <v>8.0500000000000007</v>
      </c>
      <c r="F28" s="11">
        <f>E28*10^-3</f>
        <v>8.0500000000000016E-3</v>
      </c>
      <c r="G28" s="8">
        <f>B28/D28</f>
        <v>6.3081761006289305</v>
      </c>
      <c r="H28" s="8">
        <f>SQRT((1/D28)^2*$G$2^2+(-B28/(D28^2))^2*$G$2^2)</f>
        <v>4.016947490317143E-2</v>
      </c>
      <c r="I28" s="8">
        <f>G28/$D$2</f>
        <v>9.9153171761721506</v>
      </c>
      <c r="J28" s="8">
        <f>SQRT(((H28/$D$2)^2)+(((G28*$D$3)/($D$2^2))^2))</f>
        <v>0.12179629335092453</v>
      </c>
      <c r="K28" s="17">
        <f>-1.6181*(I28^2)+202.98*I28+127.76</f>
        <v>1981.2899822767276</v>
      </c>
      <c r="L28" s="6">
        <f t="shared" si="0"/>
        <v>7.3657378211576585</v>
      </c>
      <c r="M28" s="8">
        <f>B28*D28</f>
        <v>15.947699999999999</v>
      </c>
      <c r="N28" s="8">
        <f>SQRT(D28^2*$K$3^2+B28^2*$G$2^2)</f>
        <v>0.1003</v>
      </c>
      <c r="O28" s="39">
        <f>LOG(K28)</f>
        <v>3.2969480436789005</v>
      </c>
      <c r="P28" s="39">
        <f t="shared" si="1"/>
        <v>3.7176475362246508E-3</v>
      </c>
      <c r="Q28" s="9">
        <f>LOG(F28)</f>
        <v>-2.0942041196321313</v>
      </c>
      <c r="R28" s="3">
        <f>$G$3/(LN(10)*F28)</f>
        <v>5.3949625081149278E-5</v>
      </c>
      <c r="T28" s="39">
        <f>$I$35*M28+$J$35</f>
        <v>7.9329733590280151E-3</v>
      </c>
      <c r="U28" s="39">
        <f>T28-F28</f>
        <v>-1.1702664097198653E-4</v>
      </c>
      <c r="V28" s="8">
        <f>$I$68*O28+$J$68</f>
        <v>-2.0957533670250115</v>
      </c>
      <c r="W28" s="8">
        <f>V28-Q28</f>
        <v>-1.5492473928802042E-3</v>
      </c>
      <c r="Y28" s="39">
        <f>$S$35*M28+$T$35</f>
        <v>8.0455257490017612E-3</v>
      </c>
      <c r="Z28" s="39">
        <f>Y28-F28</f>
        <v>-4.4742509982403922E-6</v>
      </c>
      <c r="AA28" s="8">
        <f>$S$68*O28+$T$68</f>
        <v>-2.0935104852190456</v>
      </c>
      <c r="AB28" s="3">
        <f>AA28-Q28</f>
        <v>6.9363441308567531E-4</v>
      </c>
    </row>
    <row r="29" spans="1:32">
      <c r="A29" s="1"/>
      <c r="B29" s="8">
        <v>10.53</v>
      </c>
      <c r="C29" s="8">
        <v>0.01</v>
      </c>
      <c r="D29" s="8">
        <v>1.63</v>
      </c>
      <c r="E29" s="8">
        <v>8.7690000000000001</v>
      </c>
      <c r="F29" s="11">
        <f>E29*10^-3</f>
        <v>8.7690000000000008E-3</v>
      </c>
      <c r="G29" s="8">
        <f>B29/D29</f>
        <v>6.4601226993865035</v>
      </c>
      <c r="H29" s="8">
        <f>SQRT((1/D29)^2*$G$2^2+(-B29/(D29^2))^2*$G$2^2)</f>
        <v>4.0104677520987432E-2</v>
      </c>
      <c r="I29" s="8">
        <f>G29/$D$2</f>
        <v>10.15414987463973</v>
      </c>
      <c r="J29" s="8">
        <f>SQRT(((H29/$D$2)^2)+(((G29*$D$3)/($D$2^2))^2))</f>
        <v>0.12389659481332854</v>
      </c>
      <c r="K29" s="17">
        <f>-1.6181*(I29^2)+202.98*I29+127.76</f>
        <v>2022.0122937215913</v>
      </c>
      <c r="L29" s="6">
        <f t="shared" si="0"/>
        <v>7.712329009099669</v>
      </c>
      <c r="M29" s="8">
        <f>B29*D29</f>
        <v>17.163899999999998</v>
      </c>
      <c r="N29" s="8">
        <f>SQRT(D29^2*$K$3^2+B29^2*$G$2^2)</f>
        <v>0.10529999999999999</v>
      </c>
      <c r="O29" s="39">
        <f>LOG(K29)</f>
        <v>3.3057837917491555</v>
      </c>
      <c r="P29" s="39">
        <f t="shared" si="1"/>
        <v>3.8141850240212098E-3</v>
      </c>
      <c r="Q29" s="9">
        <f>LOG(F29)</f>
        <v>-2.057049929922901</v>
      </c>
      <c r="R29" s="3">
        <f>$G$3/(LN(10)*F29)</f>
        <v>4.952611265859867E-5</v>
      </c>
      <c r="T29" s="39">
        <f>$I$35*M29+$J$35</f>
        <v>8.5972851807672411E-3</v>
      </c>
      <c r="U29" s="39">
        <f>T29-F29</f>
        <v>-1.7171481923275965E-4</v>
      </c>
      <c r="V29" s="8">
        <f>$I$68*O29+$J$68</f>
        <v>-2.0574264624429794</v>
      </c>
      <c r="W29" s="8">
        <f>V29-Q29</f>
        <v>-3.7653252007840976E-4</v>
      </c>
      <c r="Y29" s="39">
        <f t="shared" ref="Y29:Y32" si="2">$S$35*M29+$T$35</f>
        <v>8.7438061322761256E-3</v>
      </c>
      <c r="Z29" s="39">
        <f t="shared" ref="Z29:Z32" si="3">Y29-F29</f>
        <v>-2.5193867723875135E-5</v>
      </c>
      <c r="AA29" s="8">
        <f>$S$68*O29+$T$68</f>
        <v>-2.0574017791888242</v>
      </c>
      <c r="AB29" s="3">
        <f t="shared" ref="AB29:AB32" si="4">AA29-Q29</f>
        <v>-3.5184926592313204E-4</v>
      </c>
    </row>
    <row r="30" spans="1:32">
      <c r="A30" s="1"/>
      <c r="B30" s="8">
        <v>11</v>
      </c>
      <c r="C30" s="8">
        <v>0.01</v>
      </c>
      <c r="D30" s="8">
        <v>1.67</v>
      </c>
      <c r="E30" s="8">
        <v>9.3699999999999992</v>
      </c>
      <c r="F30" s="11">
        <f>E30*10^-3</f>
        <v>9.3699999999999999E-3</v>
      </c>
      <c r="G30" s="8">
        <f>B30/D30</f>
        <v>6.5868263473053892</v>
      </c>
      <c r="H30" s="8">
        <f>SQRT((1/D30)^2*$G$2^2+(-B30/(D30^2))^2*$G$2^2)</f>
        <v>3.98940299696664E-2</v>
      </c>
      <c r="I30" s="8">
        <f>G30/$D$2</f>
        <v>10.353305198849613</v>
      </c>
      <c r="J30" s="8">
        <f>SQRT(((H30/$D$2)^2)+(((G30*$D$3)/($D$2^2))^2))</f>
        <v>0.12553634610721237</v>
      </c>
      <c r="K30" s="17">
        <f>-1.6181*(I30^2)+202.98*I30+127.76</f>
        <v>2055.8282477910689</v>
      </c>
      <c r="L30" s="6">
        <f t="shared" si="0"/>
        <v>8.0239987516751512</v>
      </c>
      <c r="M30" s="8">
        <f>B30*D30</f>
        <v>18.369999999999997</v>
      </c>
      <c r="N30" s="8">
        <f>SQRT(D30^2*$K$3^2+B30^2*$G$2^2)</f>
        <v>0.11</v>
      </c>
      <c r="O30" s="39">
        <f>LOG(K30)</f>
        <v>3.3129868291207454</v>
      </c>
      <c r="P30" s="39">
        <f t="shared" si="1"/>
        <v>3.903049177525758E-3</v>
      </c>
      <c r="Q30" s="8">
        <f>LOG(F30)</f>
        <v>-2.0282604091122218</v>
      </c>
      <c r="R30" s="3">
        <f>$G$3/(LN(10)*F30)</f>
        <v>4.6349464450720579E-5</v>
      </c>
      <c r="T30" s="39">
        <f>$I$35*M30+$J$35</f>
        <v>9.2560801883315239E-3</v>
      </c>
      <c r="U30" s="39">
        <f>T30-F30</f>
        <v>-1.1391981166847601E-4</v>
      </c>
      <c r="V30" s="10">
        <f>$I$68*O30+$J$68</f>
        <v>-2.0261817818741541</v>
      </c>
      <c r="W30" s="10">
        <f>V30-Q30</f>
        <v>2.0786272380677318E-3</v>
      </c>
      <c r="Y30" s="39">
        <f t="shared" si="2"/>
        <v>9.4362876075821701E-3</v>
      </c>
      <c r="Z30" s="39">
        <f t="shared" si="3"/>
        <v>6.6287607582170283E-5</v>
      </c>
      <c r="AA30" s="8">
        <f>$S$68*O30+$T$68</f>
        <v>-2.0279654081076917</v>
      </c>
      <c r="AB30" s="3">
        <f t="shared" si="4"/>
        <v>2.9500100453017097E-4</v>
      </c>
    </row>
    <row r="31" spans="1:32">
      <c r="A31" s="1"/>
      <c r="B31" s="8">
        <v>11.41</v>
      </c>
      <c r="C31" s="8">
        <v>0.01</v>
      </c>
      <c r="D31" s="8">
        <v>1.7</v>
      </c>
      <c r="E31" s="8">
        <v>10.06</v>
      </c>
      <c r="F31" s="11">
        <f>E31*10^-3</f>
        <v>1.0060000000000001E-2</v>
      </c>
      <c r="G31" s="8">
        <f>B31/D31</f>
        <v>6.7117647058823531</v>
      </c>
      <c r="H31" s="8">
        <f>SQRT((1/D31)^2*$G$2^2+(-B31/(D31^2))^2*$G$2^2)</f>
        <v>3.9916775647606061E-2</v>
      </c>
      <c r="I31" s="8">
        <f>G31/$D$2</f>
        <v>10.549685806017099</v>
      </c>
      <c r="J31" s="8">
        <f>SQRT(((H31/$D$2)^2)+(((G31*$D$3)/($D$2^2))^2))</f>
        <v>0.12734517268213183</v>
      </c>
      <c r="K31" s="17">
        <f>-1.6181*(I31^2)+202.98*I31+127.76</f>
        <v>2089.047376678302</v>
      </c>
      <c r="L31" s="6">
        <f t="shared" si="0"/>
        <v>8.2923700544134142</v>
      </c>
      <c r="M31" s="8">
        <f>B31*D31</f>
        <v>19.396999999999998</v>
      </c>
      <c r="N31" s="8">
        <f>SQRT(D31^2*$K$3^2+B31^2*$G$2^2)</f>
        <v>0.11410000000000001</v>
      </c>
      <c r="O31" s="39">
        <f>LOG(K31)</f>
        <v>3.3199482892845902</v>
      </c>
      <c r="P31" s="39">
        <f t="shared" si="1"/>
        <v>3.9694504523869294E-3</v>
      </c>
      <c r="Q31" s="9">
        <f>LOG(F31)</f>
        <v>-1.9974020192800914</v>
      </c>
      <c r="R31" s="3">
        <f>$G$3/(LN(10)*F31)</f>
        <v>4.3170425636506131E-5</v>
      </c>
      <c r="T31" s="39">
        <f>$I$35*M31+$J$35</f>
        <v>9.8170473326549788E-3</v>
      </c>
      <c r="U31" s="39">
        <f>T31-F31</f>
        <v>-2.429526673450224E-4</v>
      </c>
      <c r="V31" s="8">
        <f>$I$68*O31+$J$68</f>
        <v>-1.9959849929514935</v>
      </c>
      <c r="W31" s="8">
        <f>V31-Q31</f>
        <v>1.4170263285979701E-3</v>
      </c>
      <c r="Y31" s="39">
        <f t="shared" si="2"/>
        <v>1.0025938942578694E-2</v>
      </c>
      <c r="Z31" s="39">
        <f t="shared" si="3"/>
        <v>-3.4061057421307453E-5</v>
      </c>
      <c r="AA31" s="8">
        <f>$S$68*O31+$T$68</f>
        <v>-1.9995162811522071</v>
      </c>
      <c r="AB31" s="3">
        <f t="shared" si="4"/>
        <v>-2.1142618721157191E-3</v>
      </c>
    </row>
    <row r="32" spans="1:32">
      <c r="A32" s="1"/>
      <c r="B32" s="8">
        <v>11.96</v>
      </c>
      <c r="C32" s="8">
        <v>0.01</v>
      </c>
      <c r="D32" s="8">
        <v>1.74</v>
      </c>
      <c r="E32" s="8">
        <v>10.84</v>
      </c>
      <c r="F32" s="11">
        <f>E32*10^-3</f>
        <v>1.0840000000000001E-2</v>
      </c>
      <c r="G32" s="8">
        <f>B32/D32</f>
        <v>6.8735632183908049</v>
      </c>
      <c r="H32" s="8">
        <f>SQRT((1/D32)^2*$G$2^2+(-B32/(D32^2))^2*$G$2^2)</f>
        <v>3.991910804182338E-2</v>
      </c>
      <c r="I32" s="8">
        <f>G32/$D$2</f>
        <v>10.804003939271844</v>
      </c>
      <c r="J32" s="8">
        <f>SQRT(((H32/$D$2)^2)+(((G32*$D$3)/($D$2^2))^2))</f>
        <v>0.12967830005481237</v>
      </c>
      <c r="K32" s="17">
        <f>-1.6181*(I32^2)+202.98*I32+127.76</f>
        <v>2131.8815681314481</v>
      </c>
      <c r="L32" s="6">
        <f t="shared" si="0"/>
        <v>8.6418162031457229</v>
      </c>
      <c r="M32" s="6">
        <f>B32*D32</f>
        <v>20.810400000000001</v>
      </c>
      <c r="N32" s="6">
        <f>SQRT(D32^2*$K$3^2+B32^2*$G$2^2)</f>
        <v>0.11960000000000001</v>
      </c>
      <c r="O32" s="39">
        <f>LOG(K32)</f>
        <v>3.3287630747749728</v>
      </c>
      <c r="P32" s="39">
        <f t="shared" si="1"/>
        <v>4.0536098873072499E-3</v>
      </c>
      <c r="Q32" s="9">
        <f>LOG(F32)</f>
        <v>-1.9649707177976319</v>
      </c>
      <c r="R32" s="3">
        <f>$G$3/(LN(10)*F32)</f>
        <v>4.0064066596240934E-5</v>
      </c>
      <c r="T32" s="39">
        <f>$I$35*M32+$J$35</f>
        <v>1.0589073585611914E-2</v>
      </c>
      <c r="U32" s="39">
        <f>T32-F32</f>
        <v>-2.5092641438808662E-4</v>
      </c>
      <c r="V32" s="8">
        <f>$I$68*O32+$J$68</f>
        <v>-1.957749017942394</v>
      </c>
      <c r="W32" s="8">
        <f>V32-Q32</f>
        <v>7.2216998552379064E-3</v>
      </c>
      <c r="Y32" s="39">
        <f t="shared" si="2"/>
        <v>1.0837441568561253E-2</v>
      </c>
      <c r="Z32" s="39">
        <f t="shared" si="3"/>
        <v>-2.5584314387473023E-6</v>
      </c>
      <c r="AA32" s="8">
        <f>$S$68*O32+$T$68</f>
        <v>-1.9634932420772042</v>
      </c>
      <c r="AB32" s="3">
        <f t="shared" si="4"/>
        <v>1.4774757204276678E-3</v>
      </c>
    </row>
    <row r="34" spans="8:33">
      <c r="H34" s="44" t="s">
        <v>63</v>
      </c>
      <c r="I34" s="44"/>
      <c r="J34" s="44"/>
      <c r="K34" s="44"/>
      <c r="R34" s="44" t="s">
        <v>63</v>
      </c>
      <c r="S34" s="44"/>
      <c r="T34" s="44"/>
      <c r="U34" s="44"/>
    </row>
    <row r="35" spans="8:33">
      <c r="H35" s="40" t="s">
        <v>2</v>
      </c>
      <c r="I35" s="11">
        <f t="array" ref="I35:J39">LINEST(F7:F32,M7:M32,1,1)</f>
        <v>5.4621922524192279E-4</v>
      </c>
      <c r="J35" s="9">
        <v>-7.7796697936259509E-4</v>
      </c>
      <c r="K35" s="40" t="s">
        <v>5</v>
      </c>
      <c r="R35" s="40" t="s">
        <v>2</v>
      </c>
      <c r="S35" s="11">
        <f t="array" ref="S35:T39">LINEST(F28:F32,M28:M32,1,1)</f>
        <v>5.7414930379408357E-4</v>
      </c>
      <c r="T35" s="9">
        <v>-1.1108351031151441E-3</v>
      </c>
      <c r="U35" s="40" t="s">
        <v>5</v>
      </c>
    </row>
    <row r="36" spans="8:33">
      <c r="H36" s="40" t="s">
        <v>3</v>
      </c>
      <c r="I36" s="11">
        <v>7.2091064188240558E-6</v>
      </c>
      <c r="J36" s="9">
        <v>8.031860244333556E-5</v>
      </c>
      <c r="K36" s="40" t="s">
        <v>6</v>
      </c>
      <c r="R36" s="40" t="s">
        <v>3</v>
      </c>
      <c r="S36" s="11">
        <v>1.2025274193084059E-5</v>
      </c>
      <c r="T36" s="9">
        <v>2.2145461400042342E-4</v>
      </c>
      <c r="U36" s="40" t="s">
        <v>6</v>
      </c>
    </row>
    <row r="37" spans="8:33">
      <c r="H37" s="40" t="s">
        <v>4</v>
      </c>
      <c r="I37" s="9">
        <v>0.99583679000401104</v>
      </c>
      <c r="J37" s="9">
        <v>2.2604921266213153E-4</v>
      </c>
      <c r="K37" s="40" t="s">
        <v>7</v>
      </c>
      <c r="R37" s="40" t="s">
        <v>4</v>
      </c>
      <c r="S37" s="9">
        <v>0.99868571248680416</v>
      </c>
      <c r="T37" s="9">
        <v>4.5517388677059184E-5</v>
      </c>
      <c r="U37" s="40" t="s">
        <v>7</v>
      </c>
    </row>
    <row r="38" spans="8:33">
      <c r="H38" s="7"/>
      <c r="I38" s="4">
        <v>5740.7824690857578</v>
      </c>
      <c r="J38" s="4">
        <v>24</v>
      </c>
      <c r="K38" s="1"/>
      <c r="R38" s="7"/>
      <c r="S38" s="4">
        <v>2279.6055713678456</v>
      </c>
      <c r="T38" s="4">
        <v>3</v>
      </c>
      <c r="U38" s="1"/>
      <c r="X38" s="1"/>
      <c r="Y38" s="46" t="s">
        <v>58</v>
      </c>
      <c r="Z38" s="46"/>
      <c r="AA38" s="46"/>
      <c r="AB38" s="1"/>
      <c r="AC38" s="43" t="s">
        <v>62</v>
      </c>
      <c r="AD38" s="43"/>
      <c r="AE38" s="43"/>
      <c r="AF38" s="43"/>
      <c r="AG38" s="1"/>
    </row>
    <row r="39" spans="8:33">
      <c r="H39" s="7"/>
      <c r="I39" s="4">
        <v>2.9334391796753136E-4</v>
      </c>
      <c r="J39" s="4">
        <v>1.2263579170840697E-6</v>
      </c>
      <c r="K39" s="1"/>
      <c r="R39" s="7"/>
      <c r="S39" s="4">
        <v>4.722961301984063E-6</v>
      </c>
      <c r="T39" s="4">
        <v>6.2154980159354265E-9</v>
      </c>
      <c r="U39" s="1"/>
      <c r="Y39" s="32" t="s">
        <v>61</v>
      </c>
      <c r="Z39" s="32" t="s">
        <v>59</v>
      </c>
      <c r="AA39" s="32" t="s">
        <v>60</v>
      </c>
      <c r="AB39" s="1"/>
      <c r="AC39" s="40" t="s">
        <v>2</v>
      </c>
      <c r="AD39" s="25">
        <f t="array" ref="AD39:AE41">LINEST(Z40:Z44,AA40:AA44,1,1)</f>
        <v>0.63620517513936237</v>
      </c>
      <c r="AE39" s="2">
        <v>-3.0098302687411177E-3</v>
      </c>
      <c r="AF39" s="40" t="s">
        <v>5</v>
      </c>
      <c r="AG39" s="1"/>
    </row>
    <row r="40" spans="8:33">
      <c r="H40" s="7"/>
      <c r="I40" s="1"/>
      <c r="J40" s="1"/>
      <c r="K40" s="1"/>
      <c r="R40" s="7"/>
      <c r="S40" s="1"/>
      <c r="T40" s="1"/>
      <c r="U40" s="1"/>
      <c r="Y40" s="2">
        <v>20.6</v>
      </c>
      <c r="Z40" s="2">
        <f>Y40*10^-3</f>
        <v>2.06E-2</v>
      </c>
      <c r="AA40" s="2">
        <v>3.6999999999999998E-2</v>
      </c>
      <c r="AC40" s="47" t="s">
        <v>3</v>
      </c>
      <c r="AD40" s="2">
        <v>6.6828395463376907E-3</v>
      </c>
      <c r="AE40" s="25">
        <v>7.2115858905125424E-4</v>
      </c>
      <c r="AF40" s="47" t="s">
        <v>6</v>
      </c>
      <c r="AG40" s="1"/>
    </row>
    <row r="41" spans="8:33">
      <c r="H41" s="7"/>
      <c r="I41" s="1"/>
      <c r="J41" s="1"/>
      <c r="K41" s="1"/>
      <c r="R41" s="7"/>
      <c r="S41" s="1"/>
      <c r="T41" s="1"/>
      <c r="U41" s="1"/>
      <c r="Y41" s="2">
        <v>39.5</v>
      </c>
      <c r="Z41" s="2">
        <f t="shared" ref="Z41:Z44" si="5">Y41*10^-3</f>
        <v>3.95E-2</v>
      </c>
      <c r="AA41" s="2">
        <v>6.6000000000000003E-2</v>
      </c>
      <c r="AC41" s="47" t="s">
        <v>4</v>
      </c>
      <c r="AD41" s="25">
        <v>0.99966909358012024</v>
      </c>
      <c r="AE41" s="25">
        <v>6.5530004081719971E-4</v>
      </c>
      <c r="AF41" s="47" t="s">
        <v>7</v>
      </c>
      <c r="AG41" s="1"/>
    </row>
    <row r="42" spans="8:33">
      <c r="Y42" s="2">
        <v>59.8</v>
      </c>
      <c r="Z42" s="2">
        <f t="shared" si="5"/>
        <v>5.9799999999999999E-2</v>
      </c>
      <c r="AA42" s="2">
        <v>0.1</v>
      </c>
      <c r="AB42" s="28"/>
      <c r="AC42" s="28"/>
      <c r="AE42" s="30"/>
      <c r="AG42" s="1"/>
    </row>
    <row r="43" spans="8:33">
      <c r="Y43" s="2">
        <v>79.400000000000006</v>
      </c>
      <c r="Z43" s="2">
        <f t="shared" si="5"/>
        <v>7.9400000000000012E-2</v>
      </c>
      <c r="AA43" s="2">
        <v>0.13</v>
      </c>
      <c r="AB43" s="29"/>
      <c r="AC43" s="29"/>
      <c r="AE43" s="30"/>
      <c r="AG43" s="1"/>
    </row>
    <row r="44" spans="8:33">
      <c r="Y44" s="2">
        <v>99.3</v>
      </c>
      <c r="Z44" s="2">
        <f t="shared" si="5"/>
        <v>9.9299999999999999E-2</v>
      </c>
      <c r="AA44" s="2">
        <v>0.16</v>
      </c>
      <c r="AE44" s="30"/>
      <c r="AG44" s="1"/>
    </row>
    <row r="45" spans="8:33">
      <c r="Y45" s="1"/>
      <c r="Z45" s="1"/>
      <c r="AA45" s="1"/>
      <c r="AE45" s="30"/>
      <c r="AG45" s="1"/>
    </row>
    <row r="46" spans="8:33">
      <c r="Y46" s="1"/>
      <c r="Z46" s="1"/>
      <c r="AA46" s="1"/>
      <c r="AE46" s="30"/>
      <c r="AG46" s="1"/>
    </row>
    <row r="47" spans="8:33">
      <c r="Y47" s="1"/>
      <c r="Z47" s="1"/>
      <c r="AA47" s="1"/>
      <c r="AE47" s="30"/>
      <c r="AG47" s="1"/>
    </row>
    <row r="48" spans="8:33">
      <c r="Y48" s="1"/>
      <c r="Z48" s="1"/>
      <c r="AA48" s="1"/>
      <c r="AE48" s="30"/>
      <c r="AG48" s="1"/>
    </row>
    <row r="49" spans="19:33">
      <c r="Y49" s="1"/>
      <c r="Z49" s="1"/>
      <c r="AA49" s="1"/>
      <c r="AE49" s="30"/>
      <c r="AG49" s="1"/>
    </row>
    <row r="50" spans="19:33">
      <c r="Y50" s="1"/>
      <c r="Z50" s="1"/>
      <c r="AA50" s="1"/>
      <c r="AE50" s="30"/>
      <c r="AG50" s="1"/>
    </row>
    <row r="57" spans="19:33">
      <c r="S57" s="1"/>
      <c r="T57" s="1"/>
      <c r="U57" s="1"/>
    </row>
    <row r="58" spans="19:33">
      <c r="S58" s="1"/>
      <c r="T58" s="1"/>
      <c r="U58" s="1"/>
    </row>
    <row r="67" spans="8:21">
      <c r="H67" s="43" t="s">
        <v>64</v>
      </c>
      <c r="I67" s="43"/>
      <c r="J67" s="43"/>
      <c r="K67" s="43"/>
      <c r="R67" s="43" t="s">
        <v>64</v>
      </c>
      <c r="S67" s="43"/>
      <c r="T67" s="43"/>
      <c r="U67" s="43"/>
    </row>
    <row r="68" spans="8:21">
      <c r="H68" s="40" t="s">
        <v>2</v>
      </c>
      <c r="I68" s="6" cm="1">
        <f t="array" ref="I68:J72">LINEST(Q16:Q32,O16:O32,1,1)</f>
        <v>4.3377090742386555</v>
      </c>
      <c r="J68" s="6">
        <v>-16.396954813384362</v>
      </c>
      <c r="K68" s="40" t="s">
        <v>5</v>
      </c>
      <c r="R68" s="40" t="s">
        <v>2</v>
      </c>
      <c r="S68" s="6">
        <f t="array" ref="S68:T72">LINEST(Q28:Q32,O28:O32,1,1)</f>
        <v>4.086660885203159</v>
      </c>
      <c r="T68" s="6">
        <v>-15.567019095868684</v>
      </c>
      <c r="U68" s="40" t="s">
        <v>5</v>
      </c>
    </row>
    <row r="69" spans="8:21">
      <c r="H69" s="41" t="s">
        <v>3</v>
      </c>
      <c r="I69" s="6">
        <v>4.0499473974720979E-2</v>
      </c>
      <c r="J69" s="6">
        <v>0.13211388771620669</v>
      </c>
      <c r="K69" s="40" t="s">
        <v>6</v>
      </c>
      <c r="R69" s="41" t="s">
        <v>3</v>
      </c>
      <c r="S69" s="6">
        <v>6.3539759015965772E-2</v>
      </c>
      <c r="T69" s="6">
        <v>0.21050114154995866</v>
      </c>
      <c r="U69" s="40" t="s">
        <v>6</v>
      </c>
    </row>
    <row r="70" spans="8:21">
      <c r="H70" s="40" t="s">
        <v>4</v>
      </c>
      <c r="I70" s="12">
        <v>0.99869412479170294</v>
      </c>
      <c r="J70" s="8">
        <v>7.7509777749767972E-3</v>
      </c>
      <c r="K70" s="40" t="s">
        <v>7</v>
      </c>
      <c r="R70" s="40" t="s">
        <v>4</v>
      </c>
      <c r="S70" s="12">
        <v>0.99927529654714176</v>
      </c>
      <c r="T70" s="8">
        <v>1.5647140277547965E-3</v>
      </c>
      <c r="U70" s="40" t="s">
        <v>7</v>
      </c>
    </row>
    <row r="71" spans="8:21">
      <c r="H71" s="1"/>
      <c r="I71" s="4">
        <v>11471.549330820362</v>
      </c>
      <c r="J71" s="4">
        <v>15</v>
      </c>
      <c r="K71" s="1"/>
      <c r="R71" s="1"/>
      <c r="S71" s="4">
        <v>4136.6242672336812</v>
      </c>
      <c r="T71" s="4">
        <v>3</v>
      </c>
      <c r="U71" s="1"/>
    </row>
    <row r="72" spans="8:21">
      <c r="H72" s="1"/>
      <c r="I72" s="4">
        <v>0.68918379985485467</v>
      </c>
      <c r="J72" s="4">
        <v>9.0116484702276387E-4</v>
      </c>
      <c r="K72" s="1"/>
      <c r="R72" s="1"/>
      <c r="S72" s="4">
        <v>1.0127821245256465E-2</v>
      </c>
      <c r="T72" s="4">
        <v>7.3449899659579137E-6</v>
      </c>
      <c r="U72" s="1"/>
    </row>
    <row r="73" spans="8:21">
      <c r="H73" s="1"/>
      <c r="I73" s="4"/>
      <c r="J73" s="4"/>
      <c r="K73" s="1"/>
      <c r="R73" s="1"/>
      <c r="S73" s="4"/>
      <c r="T73" s="4"/>
      <c r="U73" s="1"/>
    </row>
    <row r="74" spans="8:21">
      <c r="H74" s="1"/>
      <c r="I74" s="4"/>
      <c r="J74" s="4"/>
      <c r="K74" s="1"/>
      <c r="R74" s="1"/>
      <c r="S74" s="4"/>
      <c r="T74" s="4"/>
      <c r="U74" s="1"/>
    </row>
    <row r="75" spans="8:21">
      <c r="H75" s="1"/>
      <c r="I75" s="1"/>
      <c r="J75" s="1"/>
      <c r="K75" s="1"/>
      <c r="R75" s="1"/>
      <c r="S75" s="1"/>
      <c r="T75" s="1"/>
      <c r="U75" s="1"/>
    </row>
    <row r="76" spans="8:21">
      <c r="H76" s="42" t="s">
        <v>40</v>
      </c>
      <c r="I76" s="2">
        <f>4</f>
        <v>4</v>
      </c>
      <c r="J76" s="1"/>
      <c r="R76" s="42" t="s">
        <v>40</v>
      </c>
      <c r="S76" s="2">
        <f>4</f>
        <v>4</v>
      </c>
      <c r="T76" s="1"/>
      <c r="U76" s="1"/>
    </row>
    <row r="77" spans="8:21">
      <c r="H77" s="42" t="s">
        <v>41</v>
      </c>
      <c r="I77" s="6">
        <f>$I$68</f>
        <v>4.3377090742386555</v>
      </c>
      <c r="J77" s="1"/>
      <c r="R77" s="42" t="s">
        <v>41</v>
      </c>
      <c r="S77" s="6">
        <f>$S$68</f>
        <v>4.086660885203159</v>
      </c>
      <c r="T77" s="1"/>
      <c r="U77" s="1"/>
    </row>
    <row r="78" spans="8:21">
      <c r="H78" s="42" t="s">
        <v>42</v>
      </c>
      <c r="I78" s="6">
        <f>$I$69</f>
        <v>4.0499473974720979E-2</v>
      </c>
      <c r="J78" s="1"/>
      <c r="R78" s="42" t="s">
        <v>42</v>
      </c>
      <c r="S78" s="6">
        <f>$I$69</f>
        <v>4.0499473974720979E-2</v>
      </c>
      <c r="T78" s="1"/>
      <c r="U78" s="1"/>
    </row>
    <row r="79" spans="8:21">
      <c r="H79" s="42" t="s">
        <v>43</v>
      </c>
      <c r="I79" s="10">
        <f>(I78/I77)*100</f>
        <v>0.93366044798265657</v>
      </c>
      <c r="J79" s="1"/>
      <c r="R79" s="42" t="s">
        <v>43</v>
      </c>
      <c r="S79" s="10">
        <f>(S78/S77)*100</f>
        <v>0.99101626272343946</v>
      </c>
      <c r="T79" s="1"/>
      <c r="U79" s="1"/>
    </row>
    <row r="80" spans="8:21">
      <c r="H80" s="42" t="s">
        <v>44</v>
      </c>
      <c r="I80" s="10">
        <f>((-I76+I77)/I76)*100</f>
        <v>8.4427268559663879</v>
      </c>
      <c r="J80" s="1"/>
      <c r="R80" s="42" t="s">
        <v>44</v>
      </c>
      <c r="S80" s="10">
        <f>((-S76+S77)/S76)*100</f>
        <v>2.1665221300789739</v>
      </c>
      <c r="T80" s="1"/>
      <c r="U80" s="1"/>
    </row>
  </sheetData>
  <sortState xmlns:xlrd2="http://schemas.microsoft.com/office/spreadsheetml/2017/richdata2" ref="B7:V32">
    <sortCondition ref="B7:B32"/>
  </sortState>
  <mergeCells count="8">
    <mergeCell ref="AC38:AF38"/>
    <mergeCell ref="H34:K34"/>
    <mergeCell ref="H67:K67"/>
    <mergeCell ref="R34:U34"/>
    <mergeCell ref="R67:U67"/>
    <mergeCell ref="T5:W5"/>
    <mergeCell ref="Y5:AB5"/>
    <mergeCell ref="Y38:AA3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Parte 1</vt:lpstr>
      <vt:lpstr>Parte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Pascoal Nogueira</dc:creator>
  <cp:lastModifiedBy>nunop</cp:lastModifiedBy>
  <dcterms:created xsi:type="dcterms:W3CDTF">2020-09-22T13:03:07Z</dcterms:created>
  <dcterms:modified xsi:type="dcterms:W3CDTF">2023-02-25T15:26:48Z</dcterms:modified>
</cp:coreProperties>
</file>