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B\"/>
    </mc:Choice>
  </mc:AlternateContent>
  <xr:revisionPtr revIDLastSave="0" documentId="13_ncr:1_{D446DF2E-F299-440C-98E8-4D82977CD274}" xr6:coauthVersionLast="47" xr6:coauthVersionMax="47" xr10:uidLastSave="{00000000-0000-0000-0000-000000000000}"/>
  <bookViews>
    <workbookView xWindow="-108" yWindow="-108" windowWidth="23256" windowHeight="13176" activeTab="2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2" i="1" l="1"/>
  <c r="T51" i="1"/>
  <c r="M8" i="10"/>
  <c r="L8" i="10"/>
  <c r="K8" i="10"/>
  <c r="J8" i="10"/>
  <c r="I8" i="10"/>
  <c r="H8" i="10"/>
  <c r="G8" i="10"/>
  <c r="F8" i="10"/>
  <c r="E8" i="10"/>
  <c r="D8" i="10"/>
  <c r="W52" i="1"/>
  <c r="O143" i="2"/>
  <c r="K143" i="2"/>
  <c r="AP11" i="3"/>
  <c r="AM11" i="3"/>
  <c r="AH9" i="4"/>
  <c r="AE9" i="4"/>
  <c r="J17" i="9"/>
  <c r="E17" i="9"/>
  <c r="J9" i="10"/>
  <c r="M11" i="10"/>
  <c r="L11" i="10"/>
  <c r="K11" i="10"/>
  <c r="J11" i="10"/>
  <c r="I11" i="10"/>
  <c r="H11" i="10"/>
  <c r="G11" i="10"/>
  <c r="F11" i="10"/>
  <c r="E11" i="10"/>
  <c r="D11" i="10"/>
  <c r="M9" i="10"/>
  <c r="L9" i="10"/>
  <c r="K9" i="10"/>
  <c r="I9" i="10"/>
  <c r="H9" i="10"/>
  <c r="G9" i="10"/>
  <c r="F9" i="10"/>
  <c r="E9" i="10"/>
  <c r="D9" i="10"/>
  <c r="J16" i="9"/>
  <c r="E16" i="9"/>
  <c r="E15" i="9"/>
  <c r="T5" i="9"/>
  <c r="T6" i="9"/>
  <c r="T7" i="9"/>
  <c r="T8" i="9"/>
  <c r="T9" i="9"/>
  <c r="T10" i="9"/>
  <c r="T4" i="9"/>
  <c r="S4" i="9"/>
  <c r="O5" i="9"/>
  <c r="O6" i="9"/>
  <c r="O7" i="9"/>
  <c r="O8" i="9"/>
  <c r="O9" i="9"/>
  <c r="O10" i="9"/>
  <c r="O4" i="9"/>
  <c r="N4" i="9"/>
  <c r="O142" i="2"/>
  <c r="K142" i="2"/>
  <c r="U68" i="4" a="1"/>
  <c r="U68" i="4" s="1"/>
  <c r="F67" i="4" a="1"/>
  <c r="F67" i="4" s="1"/>
  <c r="O5" i="4"/>
  <c r="O6" i="4"/>
  <c r="O4" i="4"/>
  <c r="T5" i="4"/>
  <c r="T6" i="4"/>
  <c r="T4" i="4"/>
  <c r="AE8" i="4"/>
  <c r="F48" i="3" a="1"/>
  <c r="F48" i="3" s="1"/>
  <c r="M48" i="3" a="1"/>
  <c r="M48" i="3" s="1"/>
  <c r="N4" i="3"/>
  <c r="E4" i="3"/>
  <c r="S5" i="3"/>
  <c r="S6" i="3"/>
  <c r="S7" i="3"/>
  <c r="S8" i="3"/>
  <c r="S4" i="3"/>
  <c r="E5" i="3"/>
  <c r="E6" i="3"/>
  <c r="E7" i="3"/>
  <c r="E8" i="3"/>
  <c r="N5" i="3"/>
  <c r="N6" i="3"/>
  <c r="N7" i="3"/>
  <c r="N8" i="3"/>
  <c r="AG152" i="2" a="1"/>
  <c r="AG152" i="2" s="1"/>
  <c r="Y152" i="2" a="1"/>
  <c r="Y152" i="2" s="1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94" i="2"/>
  <c r="Z75" i="1" a="1"/>
  <c r="Z75" i="1" s="1"/>
  <c r="R75" i="1" a="1"/>
  <c r="R75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6" i="1"/>
  <c r="K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U70" i="4" l="1"/>
  <c r="V69" i="4"/>
  <c r="U69" i="4"/>
  <c r="V70" i="4"/>
  <c r="V68" i="4"/>
  <c r="G69" i="4"/>
  <c r="G68" i="4"/>
  <c r="F68" i="4"/>
  <c r="G67" i="4"/>
  <c r="F69" i="4"/>
  <c r="G50" i="3"/>
  <c r="F50" i="3"/>
  <c r="G49" i="3"/>
  <c r="F49" i="3"/>
  <c r="G48" i="3"/>
  <c r="N50" i="3"/>
  <c r="M50" i="3"/>
  <c r="N49" i="3"/>
  <c r="M49" i="3"/>
  <c r="N48" i="3"/>
  <c r="AG153" i="2"/>
  <c r="AH154" i="2"/>
  <c r="AH152" i="2"/>
  <c r="AG154" i="2"/>
  <c r="AH153" i="2"/>
  <c r="Y154" i="2"/>
  <c r="Y153" i="2"/>
  <c r="Z152" i="2"/>
  <c r="Z154" i="2"/>
  <c r="Z153" i="2"/>
  <c r="AA77" i="1"/>
  <c r="Z77" i="1"/>
  <c r="AA76" i="1"/>
  <c r="Z76" i="1"/>
  <c r="AA75" i="1"/>
  <c r="S77" i="1"/>
  <c r="R76" i="1"/>
  <c r="S75" i="1"/>
  <c r="R77" i="1"/>
  <c r="S76" i="1"/>
  <c r="B4" i="1" l="1"/>
  <c r="H6" i="1" l="1"/>
  <c r="J18" i="2"/>
  <c r="AE6" i="4"/>
  <c r="N62" i="2"/>
  <c r="R24" i="9"/>
  <c r="E4" i="4"/>
  <c r="F4" i="4" s="1"/>
  <c r="D28" i="2"/>
  <c r="M22" i="4" s="1"/>
  <c r="D26" i="2"/>
  <c r="M20" i="4" s="1"/>
  <c r="D24" i="2"/>
  <c r="R16" i="9" s="1"/>
  <c r="D21" i="2"/>
  <c r="R13" i="9" s="1"/>
  <c r="D20" i="2"/>
  <c r="M8" i="4" s="1"/>
  <c r="D23" i="2"/>
  <c r="R15" i="9" s="1"/>
  <c r="D22" i="2"/>
  <c r="L20" i="3" s="1"/>
  <c r="D6" i="10"/>
  <c r="W3" i="1"/>
  <c r="D29" i="2" s="1"/>
  <c r="R21" i="9" s="1"/>
  <c r="T4" i="1"/>
  <c r="M6" i="1"/>
  <c r="T2" i="1"/>
  <c r="D25" i="2" s="1"/>
  <c r="R17" i="9" s="1"/>
  <c r="C2" i="1"/>
  <c r="W51" i="1"/>
  <c r="E6" i="10" s="1"/>
  <c r="G6" i="10"/>
  <c r="AP10" i="3"/>
  <c r="I6" i="10" s="1"/>
  <c r="AM10" i="3"/>
  <c r="H6" i="10" s="1"/>
  <c r="M6" i="10"/>
  <c r="L6" i="10"/>
  <c r="AH8" i="4"/>
  <c r="K6" i="10" s="1"/>
  <c r="J6" i="10"/>
  <c r="M16" i="9"/>
  <c r="W5" i="4"/>
  <c r="K15" i="3"/>
  <c r="E116" i="2"/>
  <c r="I2" i="10"/>
  <c r="J20" i="9"/>
  <c r="M47" i="1" l="1"/>
  <c r="M49" i="1" s="1"/>
  <c r="M60" i="1"/>
  <c r="M70" i="1"/>
  <c r="M59" i="1"/>
  <c r="M64" i="1"/>
  <c r="M52" i="1"/>
  <c r="M63" i="1"/>
  <c r="M51" i="1"/>
  <c r="M62" i="1"/>
  <c r="M50" i="1"/>
  <c r="M48" i="1"/>
  <c r="M58" i="1"/>
  <c r="M69" i="1"/>
  <c r="M57" i="1"/>
  <c r="M68" i="1"/>
  <c r="M56" i="1"/>
  <c r="M67" i="1"/>
  <c r="M55" i="1"/>
  <c r="M66" i="1"/>
  <c r="M54" i="1"/>
  <c r="M65" i="1"/>
  <c r="M53" i="1"/>
  <c r="D27" i="2"/>
  <c r="R19" i="9" s="1"/>
  <c r="M61" i="1"/>
  <c r="L27" i="3"/>
  <c r="L26" i="3"/>
  <c r="L24" i="3"/>
  <c r="L22" i="3"/>
  <c r="M23" i="4"/>
  <c r="M19" i="4"/>
  <c r="M18" i="4"/>
  <c r="R14" i="9"/>
  <c r="M17" i="4"/>
  <c r="M16" i="4"/>
  <c r="L23" i="3"/>
  <c r="R20" i="9"/>
  <c r="R18" i="9"/>
  <c r="L21" i="3"/>
  <c r="L19" i="3"/>
  <c r="M15" i="4"/>
  <c r="M9" i="4"/>
  <c r="M10" i="4"/>
  <c r="L18" i="3"/>
  <c r="M10" i="9"/>
  <c r="E14" i="9"/>
  <c r="J14" i="9" s="1"/>
  <c r="AP14" i="3"/>
  <c r="O146" i="2"/>
  <c r="E5" i="4"/>
  <c r="F5" i="4" s="1"/>
  <c r="E6" i="4"/>
  <c r="F6" i="4" s="1"/>
  <c r="M4" i="9"/>
  <c r="I4" i="9"/>
  <c r="D9" i="9"/>
  <c r="R30" i="9" s="1"/>
  <c r="F9" i="9" s="1"/>
  <c r="P4" i="9" l="1"/>
  <c r="M21" i="4"/>
  <c r="L25" i="3"/>
  <c r="K140" i="2"/>
  <c r="AM8" i="3"/>
  <c r="AP8" i="3" s="1"/>
  <c r="W55" i="1"/>
  <c r="T49" i="1"/>
  <c r="W49" i="1" s="1"/>
  <c r="D4" i="9"/>
  <c r="K4" i="9"/>
  <c r="R4" i="9"/>
  <c r="D5" i="9"/>
  <c r="I5" i="9"/>
  <c r="K5" i="9"/>
  <c r="M5" i="9"/>
  <c r="P5" i="9" s="1"/>
  <c r="R5" i="9"/>
  <c r="D6" i="9"/>
  <c r="I6" i="9"/>
  <c r="K6" i="9"/>
  <c r="M6" i="9"/>
  <c r="P6" i="9" s="1"/>
  <c r="R6" i="9"/>
  <c r="D7" i="9"/>
  <c r="I7" i="9"/>
  <c r="K7" i="9"/>
  <c r="M7" i="9"/>
  <c r="P7" i="9" s="1"/>
  <c r="R7" i="9"/>
  <c r="D8" i="9"/>
  <c r="I8" i="9"/>
  <c r="K8" i="9"/>
  <c r="M8" i="9"/>
  <c r="P8" i="9" s="1"/>
  <c r="R8" i="9"/>
  <c r="E9" i="9"/>
  <c r="G9" i="9" s="1"/>
  <c r="I9" i="9"/>
  <c r="K9" i="9"/>
  <c r="M9" i="9"/>
  <c r="P9" i="9" s="1"/>
  <c r="R9" i="9"/>
  <c r="D10" i="9"/>
  <c r="R31" i="9" s="1"/>
  <c r="F10" i="9" s="1"/>
  <c r="I10" i="9"/>
  <c r="K10" i="9"/>
  <c r="R10" i="9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6" i="1"/>
  <c r="H28" i="1"/>
  <c r="P4" i="3"/>
  <c r="O113" i="2"/>
  <c r="J113" i="2"/>
  <c r="G113" i="2"/>
  <c r="E113" i="2"/>
  <c r="O112" i="2"/>
  <c r="J112" i="2"/>
  <c r="G112" i="2"/>
  <c r="E112" i="2"/>
  <c r="O111" i="2"/>
  <c r="J111" i="2"/>
  <c r="G111" i="2"/>
  <c r="E111" i="2"/>
  <c r="O110" i="2"/>
  <c r="J110" i="2"/>
  <c r="G110" i="2"/>
  <c r="E110" i="2"/>
  <c r="O109" i="2"/>
  <c r="J109" i="2"/>
  <c r="G109" i="2"/>
  <c r="E109" i="2"/>
  <c r="O108" i="2"/>
  <c r="J108" i="2"/>
  <c r="G108" i="2"/>
  <c r="E108" i="2"/>
  <c r="O107" i="2"/>
  <c r="J107" i="2"/>
  <c r="G107" i="2"/>
  <c r="E107" i="2"/>
  <c r="O106" i="2"/>
  <c r="J106" i="2"/>
  <c r="G106" i="2"/>
  <c r="E106" i="2"/>
  <c r="O105" i="2"/>
  <c r="J105" i="2"/>
  <c r="G105" i="2"/>
  <c r="E105" i="2"/>
  <c r="O104" i="2"/>
  <c r="J104" i="2"/>
  <c r="G104" i="2"/>
  <c r="E104" i="2"/>
  <c r="O103" i="2"/>
  <c r="J103" i="2"/>
  <c r="G103" i="2"/>
  <c r="E103" i="2"/>
  <c r="O102" i="2"/>
  <c r="J102" i="2"/>
  <c r="G102" i="2"/>
  <c r="E102" i="2"/>
  <c r="O101" i="2"/>
  <c r="J101" i="2"/>
  <c r="G101" i="2"/>
  <c r="E101" i="2"/>
  <c r="O100" i="2"/>
  <c r="J100" i="2"/>
  <c r="G100" i="2"/>
  <c r="E100" i="2"/>
  <c r="O99" i="2"/>
  <c r="J99" i="2"/>
  <c r="G99" i="2"/>
  <c r="E99" i="2"/>
  <c r="O98" i="2"/>
  <c r="J98" i="2"/>
  <c r="G98" i="2"/>
  <c r="E98" i="2"/>
  <c r="O97" i="2"/>
  <c r="J97" i="2"/>
  <c r="G97" i="2"/>
  <c r="E97" i="2"/>
  <c r="O96" i="2"/>
  <c r="J96" i="2"/>
  <c r="G96" i="2"/>
  <c r="E96" i="2"/>
  <c r="O95" i="2"/>
  <c r="J95" i="2"/>
  <c r="G95" i="2"/>
  <c r="E95" i="2"/>
  <c r="O94" i="2"/>
  <c r="J94" i="2"/>
  <c r="G94" i="2"/>
  <c r="X92" i="2" s="1" a="1"/>
  <c r="E94" i="2"/>
  <c r="J62" i="2"/>
  <c r="F63" i="2"/>
  <c r="F64" i="2"/>
  <c r="F65" i="2"/>
  <c r="BC81" i="2"/>
  <c r="AY81" i="2"/>
  <c r="AW81" i="2"/>
  <c r="AU81" i="2"/>
  <c r="BC80" i="2"/>
  <c r="AY80" i="2"/>
  <c r="AW80" i="2"/>
  <c r="AU80" i="2"/>
  <c r="BC79" i="2"/>
  <c r="AY79" i="2"/>
  <c r="AW79" i="2"/>
  <c r="AU79" i="2"/>
  <c r="BC78" i="2"/>
  <c r="AY78" i="2"/>
  <c r="AW78" i="2"/>
  <c r="AU78" i="2"/>
  <c r="BC77" i="2"/>
  <c r="AY77" i="2"/>
  <c r="AW77" i="2"/>
  <c r="AU77" i="2"/>
  <c r="BC76" i="2"/>
  <c r="AY76" i="2"/>
  <c r="AW76" i="2"/>
  <c r="AU76" i="2"/>
  <c r="BC75" i="2"/>
  <c r="AY75" i="2"/>
  <c r="AW75" i="2"/>
  <c r="AU75" i="2"/>
  <c r="BC74" i="2"/>
  <c r="AY74" i="2"/>
  <c r="AW74" i="2"/>
  <c r="AU74" i="2"/>
  <c r="BC73" i="2"/>
  <c r="AY73" i="2"/>
  <c r="AW73" i="2"/>
  <c r="AU73" i="2"/>
  <c r="BC72" i="2"/>
  <c r="AY72" i="2"/>
  <c r="AW72" i="2"/>
  <c r="AU72" i="2"/>
  <c r="BC71" i="2"/>
  <c r="AY71" i="2"/>
  <c r="AW71" i="2"/>
  <c r="AU71" i="2"/>
  <c r="BC70" i="2"/>
  <c r="AY70" i="2"/>
  <c r="AW70" i="2"/>
  <c r="AU70" i="2"/>
  <c r="BC69" i="2"/>
  <c r="AY69" i="2"/>
  <c r="AW69" i="2"/>
  <c r="AU69" i="2"/>
  <c r="BC68" i="2"/>
  <c r="AY68" i="2"/>
  <c r="AW68" i="2"/>
  <c r="AU68" i="2"/>
  <c r="BC67" i="2"/>
  <c r="AY67" i="2"/>
  <c r="AW67" i="2"/>
  <c r="AU67" i="2"/>
  <c r="BC66" i="2"/>
  <c r="AY66" i="2"/>
  <c r="AW66" i="2"/>
  <c r="AU66" i="2"/>
  <c r="BC65" i="2"/>
  <c r="AY65" i="2"/>
  <c r="AW65" i="2"/>
  <c r="AU65" i="2"/>
  <c r="BC64" i="2"/>
  <c r="AY64" i="2"/>
  <c r="AW64" i="2"/>
  <c r="AU64" i="2"/>
  <c r="BC63" i="2"/>
  <c r="AY63" i="2"/>
  <c r="AW63" i="2"/>
  <c r="AU63" i="2"/>
  <c r="BC62" i="2"/>
  <c r="AY62" i="2"/>
  <c r="AW62" i="2"/>
  <c r="AU62" i="2"/>
  <c r="BC17" i="2"/>
  <c r="AY17" i="2"/>
  <c r="AW17" i="2"/>
  <c r="AU17" i="2"/>
  <c r="BC16" i="2"/>
  <c r="AY16" i="2"/>
  <c r="AW16" i="2"/>
  <c r="AU16" i="2"/>
  <c r="BC15" i="2"/>
  <c r="AY15" i="2"/>
  <c r="AW15" i="2"/>
  <c r="AU15" i="2"/>
  <c r="BC14" i="2"/>
  <c r="AY14" i="2"/>
  <c r="AW14" i="2"/>
  <c r="AU14" i="2"/>
  <c r="BC13" i="2"/>
  <c r="AY13" i="2"/>
  <c r="AW13" i="2"/>
  <c r="AU13" i="2"/>
  <c r="BC12" i="2"/>
  <c r="AY12" i="2"/>
  <c r="AW12" i="2"/>
  <c r="AU12" i="2"/>
  <c r="BC11" i="2"/>
  <c r="AY11" i="2"/>
  <c r="AW11" i="2"/>
  <c r="AU11" i="2"/>
  <c r="BC10" i="2"/>
  <c r="AY10" i="2"/>
  <c r="AW10" i="2"/>
  <c r="AU10" i="2"/>
  <c r="BC9" i="2"/>
  <c r="AY9" i="2"/>
  <c r="AW9" i="2"/>
  <c r="AU9" i="2"/>
  <c r="BC8" i="2"/>
  <c r="AY8" i="2"/>
  <c r="AW8" i="2"/>
  <c r="AU8" i="2"/>
  <c r="BC7" i="2"/>
  <c r="AY7" i="2"/>
  <c r="AW7" i="2"/>
  <c r="AU7" i="2"/>
  <c r="BC6" i="2"/>
  <c r="AY6" i="2"/>
  <c r="AW6" i="2"/>
  <c r="AU6" i="2"/>
  <c r="BC5" i="2"/>
  <c r="AY5" i="2"/>
  <c r="AW5" i="2"/>
  <c r="AU5" i="2"/>
  <c r="U7" i="9" l="1"/>
  <c r="U4" i="9"/>
  <c r="U6" i="9"/>
  <c r="U9" i="9"/>
  <c r="U8" i="9"/>
  <c r="U5" i="9"/>
  <c r="E5" i="9"/>
  <c r="G5" i="9" s="1"/>
  <c r="R26" i="9"/>
  <c r="F5" i="9" s="1"/>
  <c r="M13" i="9"/>
  <c r="E6" i="9"/>
  <c r="G6" i="9" s="1"/>
  <c r="R27" i="9"/>
  <c r="F6" i="9" s="1"/>
  <c r="E8" i="9"/>
  <c r="G8" i="9" s="1"/>
  <c r="R29" i="9"/>
  <c r="F8" i="9" s="1"/>
  <c r="E7" i="9"/>
  <c r="G7" i="9" s="1"/>
  <c r="R28" i="9"/>
  <c r="F7" i="9" s="1"/>
  <c r="E4" i="9"/>
  <c r="G4" i="9" s="1"/>
  <c r="R25" i="9"/>
  <c r="F4" i="9" s="1"/>
  <c r="X92" i="2"/>
  <c r="K141" i="2" s="1"/>
  <c r="F5" i="10" s="1"/>
  <c r="Y94" i="2"/>
  <c r="X94" i="2"/>
  <c r="Y92" i="2"/>
  <c r="Y93" i="2"/>
  <c r="X93" i="2"/>
  <c r="M12" i="9"/>
  <c r="M32" i="1"/>
  <c r="L69" i="1"/>
  <c r="M33" i="1"/>
  <c r="AH92" i="2" a="1"/>
  <c r="AI92" i="2" s="1"/>
  <c r="AH6" i="4"/>
  <c r="O140" i="2"/>
  <c r="BJ60" i="2" a="1"/>
  <c r="BK61" i="2" s="1"/>
  <c r="BS3" i="2" a="1"/>
  <c r="BS3" i="2" s="1"/>
  <c r="BJ3" i="2" a="1"/>
  <c r="BJ3" i="2" s="1"/>
  <c r="BS60" i="2" a="1"/>
  <c r="AI4" i="9" l="1" a="1"/>
  <c r="AI4" i="9" s="1"/>
  <c r="Z4" i="9" a="1"/>
  <c r="O57" i="9" a="1"/>
  <c r="H57" i="9" a="1"/>
  <c r="AH93" i="2"/>
  <c r="AH92" i="2"/>
  <c r="P103" i="2" s="1"/>
  <c r="Q103" i="2" s="1"/>
  <c r="AI93" i="2"/>
  <c r="AH94" i="2"/>
  <c r="AI94" i="2"/>
  <c r="K100" i="2"/>
  <c r="L100" i="2" s="1"/>
  <c r="F6" i="10"/>
  <c r="F7" i="10" s="1"/>
  <c r="P106" i="2"/>
  <c r="Q106" i="2" s="1"/>
  <c r="P95" i="2"/>
  <c r="Q95" i="2" s="1"/>
  <c r="P107" i="2"/>
  <c r="Q107" i="2" s="1"/>
  <c r="P98" i="2"/>
  <c r="Q98" i="2" s="1"/>
  <c r="P100" i="2"/>
  <c r="Q100" i="2" s="1"/>
  <c r="P112" i="2"/>
  <c r="Q112" i="2" s="1"/>
  <c r="P101" i="2"/>
  <c r="Q101" i="2" s="1"/>
  <c r="P113" i="2"/>
  <c r="Q113" i="2" s="1"/>
  <c r="P102" i="2"/>
  <c r="Q102" i="2" s="1"/>
  <c r="P110" i="2"/>
  <c r="Q110" i="2" s="1"/>
  <c r="P99" i="2"/>
  <c r="Q99" i="2" s="1"/>
  <c r="P111" i="2"/>
  <c r="Q111" i="2" s="1"/>
  <c r="K96" i="2"/>
  <c r="L96" i="2" s="1"/>
  <c r="BJ61" i="2"/>
  <c r="BK62" i="2"/>
  <c r="BK60" i="2"/>
  <c r="BJ60" i="2"/>
  <c r="BJ62" i="2"/>
  <c r="BT3" i="2"/>
  <c r="BD7" i="2" s="1"/>
  <c r="BE7" i="2" s="1"/>
  <c r="BS4" i="2"/>
  <c r="BT4" i="2"/>
  <c r="BS5" i="2"/>
  <c r="BT5" i="2"/>
  <c r="BJ5" i="2"/>
  <c r="BK5" i="2"/>
  <c r="BK3" i="2"/>
  <c r="AZ11" i="2" s="1"/>
  <c r="BA11" i="2" s="1"/>
  <c r="BJ4" i="2"/>
  <c r="BK4" i="2"/>
  <c r="BT62" i="2"/>
  <c r="BS62" i="2"/>
  <c r="BT61" i="2"/>
  <c r="BS61" i="2"/>
  <c r="BS60" i="2"/>
  <c r="BT60" i="2"/>
  <c r="AJ4" i="9" l="1"/>
  <c r="S10" i="9" s="1"/>
  <c r="AJ6" i="9"/>
  <c r="AI5" i="9"/>
  <c r="AI6" i="9"/>
  <c r="AJ5" i="9"/>
  <c r="H57" i="9"/>
  <c r="I59" i="9"/>
  <c r="H59" i="9"/>
  <c r="H58" i="9"/>
  <c r="I57" i="9"/>
  <c r="I58" i="9"/>
  <c r="O57" i="9"/>
  <c r="O58" i="9"/>
  <c r="P59" i="9"/>
  <c r="O59" i="9"/>
  <c r="P57" i="9"/>
  <c r="P58" i="9"/>
  <c r="Z4" i="9"/>
  <c r="AA4" i="9"/>
  <c r="N5" i="9" s="1"/>
  <c r="AA6" i="9"/>
  <c r="Z6" i="9"/>
  <c r="AA5" i="9"/>
  <c r="Z5" i="9"/>
  <c r="J15" i="9"/>
  <c r="M5" i="10" s="1"/>
  <c r="S5" i="9"/>
  <c r="S6" i="9"/>
  <c r="S7" i="9"/>
  <c r="S9" i="9"/>
  <c r="S8" i="9"/>
  <c r="P109" i="2"/>
  <c r="Q109" i="2" s="1"/>
  <c r="P97" i="2"/>
  <c r="Q97" i="2" s="1"/>
  <c r="P108" i="2"/>
  <c r="Q108" i="2" s="1"/>
  <c r="P96" i="2"/>
  <c r="Q96" i="2" s="1"/>
  <c r="P105" i="2"/>
  <c r="Q105" i="2" s="1"/>
  <c r="AZ79" i="2"/>
  <c r="BA79" i="2" s="1"/>
  <c r="P104" i="2"/>
  <c r="Q104" i="2" s="1"/>
  <c r="O141" i="2"/>
  <c r="P94" i="2"/>
  <c r="Q94" i="2" s="1"/>
  <c r="BD5" i="2"/>
  <c r="BD12" i="2"/>
  <c r="BE12" i="2" s="1"/>
  <c r="AZ62" i="2"/>
  <c r="BA62" i="2" s="1"/>
  <c r="K110" i="2"/>
  <c r="L110" i="2" s="1"/>
  <c r="K105" i="2"/>
  <c r="L105" i="2" s="1"/>
  <c r="K112" i="2"/>
  <c r="L112" i="2" s="1"/>
  <c r="K103" i="2"/>
  <c r="L103" i="2" s="1"/>
  <c r="K102" i="2"/>
  <c r="L102" i="2" s="1"/>
  <c r="K106" i="2"/>
  <c r="L106" i="2" s="1"/>
  <c r="K101" i="2"/>
  <c r="L101" i="2" s="1"/>
  <c r="AZ65" i="2"/>
  <c r="BA65" i="2" s="1"/>
  <c r="K109" i="2"/>
  <c r="L109" i="2" s="1"/>
  <c r="K94" i="2"/>
  <c r="L94" i="2" s="1"/>
  <c r="K97" i="2"/>
  <c r="L97" i="2" s="1"/>
  <c r="K111" i="2"/>
  <c r="L111" i="2" s="1"/>
  <c r="K104" i="2"/>
  <c r="L104" i="2" s="1"/>
  <c r="K108" i="2"/>
  <c r="L108" i="2" s="1"/>
  <c r="K107" i="2"/>
  <c r="L107" i="2" s="1"/>
  <c r="AZ70" i="2"/>
  <c r="BA70" i="2" s="1"/>
  <c r="AZ77" i="2"/>
  <c r="BA77" i="2" s="1"/>
  <c r="K113" i="2"/>
  <c r="L113" i="2" s="1"/>
  <c r="K95" i="2"/>
  <c r="L95" i="2" s="1"/>
  <c r="K99" i="2"/>
  <c r="L99" i="2" s="1"/>
  <c r="K98" i="2"/>
  <c r="L98" i="2" s="1"/>
  <c r="BD15" i="2"/>
  <c r="BE15" i="2" s="1"/>
  <c r="BD10" i="2"/>
  <c r="BE10" i="2" s="1"/>
  <c r="AZ75" i="2"/>
  <c r="BA75" i="2" s="1"/>
  <c r="BD8" i="2"/>
  <c r="BE8" i="2" s="1"/>
  <c r="BD11" i="2"/>
  <c r="BE11" i="2" s="1"/>
  <c r="BD13" i="2"/>
  <c r="BE13" i="2" s="1"/>
  <c r="BD17" i="2"/>
  <c r="BE17" i="2" s="1"/>
  <c r="AZ80" i="2"/>
  <c r="BA80" i="2" s="1"/>
  <c r="AZ73" i="2"/>
  <c r="BA73" i="2" s="1"/>
  <c r="BD6" i="2"/>
  <c r="BE6" i="2" s="1"/>
  <c r="BD14" i="2"/>
  <c r="BE14" i="2" s="1"/>
  <c r="BD9" i="2"/>
  <c r="BE9" i="2" s="1"/>
  <c r="AZ71" i="2"/>
  <c r="BA71" i="2" s="1"/>
  <c r="AZ76" i="2"/>
  <c r="BA76" i="2" s="1"/>
  <c r="AZ81" i="2"/>
  <c r="BA81" i="2" s="1"/>
  <c r="AZ66" i="2"/>
  <c r="BA66" i="2" s="1"/>
  <c r="AZ64" i="2"/>
  <c r="AZ69" i="2"/>
  <c r="BA69" i="2" s="1"/>
  <c r="AZ72" i="2"/>
  <c r="BA72" i="2" s="1"/>
  <c r="AZ78" i="2"/>
  <c r="BA78" i="2" s="1"/>
  <c r="AZ67" i="2"/>
  <c r="BA67" i="2" s="1"/>
  <c r="AZ68" i="2"/>
  <c r="BA68" i="2" s="1"/>
  <c r="AZ63" i="2"/>
  <c r="BA63" i="2" s="1"/>
  <c r="AZ74" i="2"/>
  <c r="BA74" i="2" s="1"/>
  <c r="BD16" i="2"/>
  <c r="BE16" i="2" s="1"/>
  <c r="BD74" i="2"/>
  <c r="BE74" i="2" s="1"/>
  <c r="BD67" i="2"/>
  <c r="BE67" i="2" s="1"/>
  <c r="BD68" i="2"/>
  <c r="BE68" i="2" s="1"/>
  <c r="BD62" i="2"/>
  <c r="BE62" i="2" s="1"/>
  <c r="BD71" i="2"/>
  <c r="BE71" i="2" s="1"/>
  <c r="BD72" i="2"/>
  <c r="BE72" i="2" s="1"/>
  <c r="BD77" i="2"/>
  <c r="BE77" i="2" s="1"/>
  <c r="BD79" i="2"/>
  <c r="BE79" i="2" s="1"/>
  <c r="BD80" i="2"/>
  <c r="BE80" i="2" s="1"/>
  <c r="BD70" i="2"/>
  <c r="BE70" i="2" s="1"/>
  <c r="BD65" i="2"/>
  <c r="BE65" i="2" s="1"/>
  <c r="BD78" i="2"/>
  <c r="BE78" i="2" s="1"/>
  <c r="BD63" i="2"/>
  <c r="BE63" i="2" s="1"/>
  <c r="BD66" i="2"/>
  <c r="BE66" i="2" s="1"/>
  <c r="BD69" i="2"/>
  <c r="BE69" i="2" s="1"/>
  <c r="BD75" i="2"/>
  <c r="BE75" i="2" s="1"/>
  <c r="BD81" i="2"/>
  <c r="BE81" i="2" s="1"/>
  <c r="BD76" i="2"/>
  <c r="BE76" i="2" s="1"/>
  <c r="BD73" i="2"/>
  <c r="BE73" i="2" s="1"/>
  <c r="BD64" i="2"/>
  <c r="BE64" i="2" s="1"/>
  <c r="AZ16" i="2"/>
  <c r="BA16" i="2" s="1"/>
  <c r="AZ14" i="2"/>
  <c r="BA14" i="2" s="1"/>
  <c r="AZ12" i="2"/>
  <c r="BA12" i="2" s="1"/>
  <c r="AZ15" i="2"/>
  <c r="BA15" i="2" s="1"/>
  <c r="AZ6" i="2"/>
  <c r="BA6" i="2" s="1"/>
  <c r="AZ5" i="2"/>
  <c r="BA5" i="2" s="1"/>
  <c r="AZ8" i="2"/>
  <c r="BA8" i="2" s="1"/>
  <c r="AZ17" i="2"/>
  <c r="BA17" i="2" s="1"/>
  <c r="BA64" i="2"/>
  <c r="AZ9" i="2"/>
  <c r="BA9" i="2" s="1"/>
  <c r="AZ13" i="2"/>
  <c r="BA13" i="2" s="1"/>
  <c r="AZ10" i="2"/>
  <c r="BA10" i="2" s="1"/>
  <c r="AZ7" i="2"/>
  <c r="BA7" i="2" s="1"/>
  <c r="BE5" i="2"/>
  <c r="N7" i="9" l="1"/>
  <c r="N9" i="9"/>
  <c r="N6" i="9"/>
  <c r="N10" i="9"/>
  <c r="N8" i="9"/>
  <c r="M7" i="10"/>
  <c r="G5" i="10"/>
  <c r="I4" i="3"/>
  <c r="G4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62" i="2"/>
  <c r="H63" i="2"/>
  <c r="H64" i="2"/>
  <c r="H65" i="2"/>
  <c r="F62" i="2"/>
  <c r="J63" i="2"/>
  <c r="N63" i="2"/>
  <c r="J64" i="2"/>
  <c r="N64" i="2"/>
  <c r="J65" i="2"/>
  <c r="N65" i="2"/>
  <c r="H27" i="1"/>
  <c r="L68" i="1" s="1"/>
  <c r="H29" i="1"/>
  <c r="L70" i="1" s="1"/>
  <c r="H26" i="1"/>
  <c r="L67" i="1" s="1"/>
  <c r="C26" i="1"/>
  <c r="C27" i="1"/>
  <c r="C28" i="1"/>
  <c r="C29" i="1"/>
  <c r="L5" i="10" l="1"/>
  <c r="G7" i="10"/>
  <c r="AB61" i="2" a="1"/>
  <c r="V61" i="2" a="1"/>
  <c r="Q6" i="4"/>
  <c r="L6" i="4"/>
  <c r="J6" i="4"/>
  <c r="H6" i="4"/>
  <c r="Q5" i="4"/>
  <c r="L5" i="4"/>
  <c r="J5" i="4"/>
  <c r="H5" i="4"/>
  <c r="Q4" i="4"/>
  <c r="L4" i="4"/>
  <c r="J4" i="4"/>
  <c r="H4" i="4"/>
  <c r="P5" i="3"/>
  <c r="P6" i="3"/>
  <c r="P7" i="3"/>
  <c r="P8" i="3"/>
  <c r="AD4" i="3" a="1"/>
  <c r="AD4" i="3" s="1"/>
  <c r="L7" i="10" l="1"/>
  <c r="AB61" i="2"/>
  <c r="AC63" i="2"/>
  <c r="AB63" i="2"/>
  <c r="AC62" i="2"/>
  <c r="AB62" i="2"/>
  <c r="AC61" i="2"/>
  <c r="V61" i="2"/>
  <c r="V62" i="2"/>
  <c r="W62" i="2"/>
  <c r="V63" i="2"/>
  <c r="W63" i="2"/>
  <c r="W61" i="2"/>
  <c r="C9" i="4" a="1"/>
  <c r="D9" i="4" s="1"/>
  <c r="V9" i="4" a="1"/>
  <c r="V9" i="4" s="1"/>
  <c r="AH7" i="4" s="1"/>
  <c r="AE6" i="3"/>
  <c r="AD6" i="3"/>
  <c r="AE5" i="3"/>
  <c r="AD5" i="3"/>
  <c r="AE4" i="3"/>
  <c r="Q7" i="3" s="1"/>
  <c r="R7" i="3" s="1"/>
  <c r="I6" i="3"/>
  <c r="K5" i="3"/>
  <c r="I5" i="3"/>
  <c r="K6" i="3"/>
  <c r="K7" i="3"/>
  <c r="I7" i="3"/>
  <c r="K8" i="3"/>
  <c r="I8" i="3"/>
  <c r="K4" i="3"/>
  <c r="G5" i="3"/>
  <c r="G6" i="3"/>
  <c r="G7" i="3"/>
  <c r="G8" i="3"/>
  <c r="N18" i="2"/>
  <c r="F18" i="2"/>
  <c r="N17" i="2"/>
  <c r="J17" i="2"/>
  <c r="F17" i="2"/>
  <c r="N16" i="2"/>
  <c r="J16" i="2"/>
  <c r="F16" i="2"/>
  <c r="N15" i="2"/>
  <c r="J15" i="2"/>
  <c r="F15" i="2"/>
  <c r="N14" i="2"/>
  <c r="J14" i="2"/>
  <c r="F14" i="2"/>
  <c r="N13" i="2"/>
  <c r="J13" i="2"/>
  <c r="F13" i="2"/>
  <c r="N12" i="2"/>
  <c r="J12" i="2"/>
  <c r="F12" i="2"/>
  <c r="N11" i="2"/>
  <c r="J11" i="2"/>
  <c r="F11" i="2"/>
  <c r="N10" i="2"/>
  <c r="J10" i="2"/>
  <c r="F10" i="2"/>
  <c r="N9" i="2"/>
  <c r="J9" i="2"/>
  <c r="F9" i="2"/>
  <c r="N8" i="2"/>
  <c r="J8" i="2"/>
  <c r="F8" i="2"/>
  <c r="N7" i="2"/>
  <c r="J7" i="2"/>
  <c r="F7" i="2"/>
  <c r="N6" i="2"/>
  <c r="J6" i="2"/>
  <c r="F6" i="2"/>
  <c r="N5" i="2"/>
  <c r="J5" i="2"/>
  <c r="H5" i="2"/>
  <c r="F5" i="2"/>
  <c r="V4" i="3" l="1" a="1"/>
  <c r="V6" i="3" s="1"/>
  <c r="Q4" i="3"/>
  <c r="Q8" i="3"/>
  <c r="K12" i="3"/>
  <c r="K11" i="3"/>
  <c r="W4" i="3"/>
  <c r="D10" i="4"/>
  <c r="D11" i="4"/>
  <c r="K63" i="2"/>
  <c r="L63" i="2" s="1"/>
  <c r="K64" i="2"/>
  <c r="L64" i="2" s="1"/>
  <c r="K65" i="2"/>
  <c r="L65" i="2" s="1"/>
  <c r="K62" i="2"/>
  <c r="L62" i="2" s="1"/>
  <c r="O63" i="2"/>
  <c r="O64" i="2"/>
  <c r="O65" i="2"/>
  <c r="O62" i="2"/>
  <c r="P62" i="2" s="1"/>
  <c r="AG3" i="2" a="1"/>
  <c r="W3" i="2" a="1"/>
  <c r="C10" i="4"/>
  <c r="C11" i="4"/>
  <c r="C9" i="4"/>
  <c r="AE7" i="4" s="1"/>
  <c r="V10" i="4"/>
  <c r="V11" i="4"/>
  <c r="W11" i="4"/>
  <c r="W10" i="4"/>
  <c r="W9" i="4"/>
  <c r="R5" i="4" s="1"/>
  <c r="R8" i="3"/>
  <c r="R4" i="3"/>
  <c r="Q6" i="3"/>
  <c r="R6" i="3" s="1"/>
  <c r="Q5" i="3"/>
  <c r="R5" i="3" s="1"/>
  <c r="V5" i="3" l="1"/>
  <c r="W5" i="3"/>
  <c r="W6" i="3"/>
  <c r="V4" i="3"/>
  <c r="L6" i="3"/>
  <c r="M6" i="3" s="1"/>
  <c r="J5" i="10"/>
  <c r="K5" i="10"/>
  <c r="AM9" i="3"/>
  <c r="AP9" i="3"/>
  <c r="R6" i="4"/>
  <c r="S6" i="4" s="1"/>
  <c r="R4" i="4"/>
  <c r="S4" i="4" s="1"/>
  <c r="M5" i="4"/>
  <c r="N5" i="4" s="1"/>
  <c r="M6" i="4"/>
  <c r="N6" i="4" s="1"/>
  <c r="M4" i="4"/>
  <c r="N4" i="4" s="1"/>
  <c r="W3" i="2"/>
  <c r="W5" i="2"/>
  <c r="X3" i="2"/>
  <c r="X4" i="2"/>
  <c r="W4" i="2"/>
  <c r="X5" i="2"/>
  <c r="AG3" i="2"/>
  <c r="AG5" i="2"/>
  <c r="AH5" i="2"/>
  <c r="AH3" i="2"/>
  <c r="AG4" i="2"/>
  <c r="AH4" i="2"/>
  <c r="S5" i="4"/>
  <c r="L7" i="3"/>
  <c r="M7" i="3" s="1"/>
  <c r="L4" i="3"/>
  <c r="M4" i="3" s="1"/>
  <c r="L5" i="3"/>
  <c r="M5" i="3" s="1"/>
  <c r="L8" i="3"/>
  <c r="M8" i="3" s="1"/>
  <c r="K7" i="10" l="1"/>
  <c r="J7" i="10"/>
  <c r="I5" i="10"/>
  <c r="H5" i="10"/>
  <c r="O5" i="2"/>
  <c r="P5" i="2" s="1"/>
  <c r="K5" i="2"/>
  <c r="L5" i="2" s="1"/>
  <c r="O8" i="2"/>
  <c r="P8" i="2" s="1"/>
  <c r="O9" i="2"/>
  <c r="P9" i="2" s="1"/>
  <c r="O18" i="2"/>
  <c r="O6" i="2"/>
  <c r="P6" i="2" s="1"/>
  <c r="O14" i="2"/>
  <c r="P14" i="2" s="1"/>
  <c r="O17" i="2"/>
  <c r="P17" i="2" s="1"/>
  <c r="O12" i="2"/>
  <c r="P12" i="2" s="1"/>
  <c r="O10" i="2"/>
  <c r="P10" i="2" s="1"/>
  <c r="O11" i="2"/>
  <c r="P11" i="2" s="1"/>
  <c r="O7" i="2"/>
  <c r="P7" i="2" s="1"/>
  <c r="O15" i="2"/>
  <c r="P15" i="2" s="1"/>
  <c r="O13" i="2"/>
  <c r="P13" i="2" s="1"/>
  <c r="O16" i="2"/>
  <c r="P16" i="2" s="1"/>
  <c r="K10" i="2"/>
  <c r="L10" i="2" s="1"/>
  <c r="K11" i="2"/>
  <c r="L11" i="2" s="1"/>
  <c r="K9" i="2"/>
  <c r="L9" i="2" s="1"/>
  <c r="K15" i="2"/>
  <c r="L15" i="2" s="1"/>
  <c r="K17" i="2"/>
  <c r="L17" i="2" s="1"/>
  <c r="K12" i="2"/>
  <c r="L12" i="2" s="1"/>
  <c r="K8" i="2"/>
  <c r="L8" i="2" s="1"/>
  <c r="K7" i="2"/>
  <c r="L7" i="2" s="1"/>
  <c r="K18" i="2"/>
  <c r="L18" i="2" s="1"/>
  <c r="K14" i="2"/>
  <c r="L14" i="2" s="1"/>
  <c r="K6" i="2"/>
  <c r="L6" i="2" s="1"/>
  <c r="K13" i="2"/>
  <c r="L13" i="2" s="1"/>
  <c r="K16" i="2"/>
  <c r="L16" i="2" s="1"/>
  <c r="P18" i="2"/>
  <c r="P63" i="2"/>
  <c r="P65" i="2"/>
  <c r="P64" i="2"/>
  <c r="H25" i="1"/>
  <c r="L66" i="1" s="1"/>
  <c r="H7" i="1"/>
  <c r="L48" i="1" s="1"/>
  <c r="H8" i="1"/>
  <c r="L49" i="1" s="1"/>
  <c r="H9" i="1"/>
  <c r="L50" i="1" s="1"/>
  <c r="H10" i="1"/>
  <c r="L51" i="1" s="1"/>
  <c r="H11" i="1"/>
  <c r="L52" i="1" s="1"/>
  <c r="H12" i="1"/>
  <c r="L53" i="1" s="1"/>
  <c r="H13" i="1"/>
  <c r="L54" i="1" s="1"/>
  <c r="H14" i="1"/>
  <c r="L55" i="1" s="1"/>
  <c r="H15" i="1"/>
  <c r="L56" i="1" s="1"/>
  <c r="H16" i="1"/>
  <c r="L57" i="1" s="1"/>
  <c r="H17" i="1"/>
  <c r="L58" i="1" s="1"/>
  <c r="H18" i="1"/>
  <c r="L59" i="1" s="1"/>
  <c r="H19" i="1"/>
  <c r="L60" i="1" s="1"/>
  <c r="H20" i="1"/>
  <c r="L61" i="1" s="1"/>
  <c r="H21" i="1"/>
  <c r="L62" i="1" s="1"/>
  <c r="H22" i="1"/>
  <c r="L63" i="1" s="1"/>
  <c r="H23" i="1"/>
  <c r="L64" i="1" s="1"/>
  <c r="H24" i="1"/>
  <c r="L65" i="1" s="1"/>
  <c r="L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AC7" i="1" l="1" a="1"/>
  <c r="AC7" i="1" s="1"/>
  <c r="W50" i="1" s="1"/>
  <c r="H7" i="10"/>
  <c r="I7" i="10"/>
  <c r="S7" i="1" a="1"/>
  <c r="AD7" i="1" l="1"/>
  <c r="AC8" i="1"/>
  <c r="AD8" i="1"/>
  <c r="AD9" i="1"/>
  <c r="AC9" i="1"/>
  <c r="E5" i="10"/>
  <c r="N16" i="1"/>
  <c r="O16" i="1" s="1"/>
  <c r="S7" i="1"/>
  <c r="T50" i="1" s="1"/>
  <c r="T9" i="1"/>
  <c r="T7" i="1"/>
  <c r="S9" i="1"/>
  <c r="T8" i="1"/>
  <c r="S8" i="1"/>
  <c r="E7" i="10" l="1"/>
  <c r="D5" i="10"/>
  <c r="I27" i="1"/>
  <c r="J27" i="1" s="1"/>
  <c r="I29" i="1"/>
  <c r="J29" i="1" s="1"/>
  <c r="I28" i="1"/>
  <c r="J28" i="1" s="1"/>
  <c r="I26" i="1"/>
  <c r="J26" i="1" s="1"/>
  <c r="I13" i="1"/>
  <c r="J13" i="1" s="1"/>
  <c r="I23" i="1"/>
  <c r="J23" i="1" s="1"/>
  <c r="I17" i="1"/>
  <c r="J17" i="1" s="1"/>
  <c r="I6" i="1"/>
  <c r="J6" i="1" s="1"/>
  <c r="I10" i="1"/>
  <c r="J10" i="1" s="1"/>
  <c r="I9" i="1"/>
  <c r="J9" i="1" s="1"/>
  <c r="I16" i="1"/>
  <c r="J16" i="1" s="1"/>
  <c r="I11" i="1"/>
  <c r="J11" i="1" s="1"/>
  <c r="I21" i="1"/>
  <c r="J21" i="1" s="1"/>
  <c r="I20" i="1"/>
  <c r="J20" i="1" s="1"/>
  <c r="I24" i="1"/>
  <c r="J24" i="1" s="1"/>
  <c r="I8" i="1"/>
  <c r="J8" i="1" s="1"/>
  <c r="I25" i="1"/>
  <c r="J25" i="1" s="1"/>
  <c r="I15" i="1"/>
  <c r="J15" i="1" s="1"/>
  <c r="I19" i="1"/>
  <c r="J19" i="1" s="1"/>
  <c r="I22" i="1"/>
  <c r="J22" i="1" s="1"/>
  <c r="I7" i="1"/>
  <c r="J7" i="1" s="1"/>
  <c r="I12" i="1"/>
  <c r="J12" i="1" s="1"/>
  <c r="I14" i="1"/>
  <c r="J14" i="1" s="1"/>
  <c r="I18" i="1"/>
  <c r="J18" i="1" s="1"/>
  <c r="N29" i="1"/>
  <c r="O29" i="1" s="1"/>
  <c r="N26" i="1"/>
  <c r="O26" i="1" s="1"/>
  <c r="N27" i="1"/>
  <c r="O27" i="1" s="1"/>
  <c r="N28" i="1"/>
  <c r="O28" i="1" s="1"/>
  <c r="N6" i="1"/>
  <c r="O6" i="1" s="1"/>
  <c r="N13" i="1"/>
  <c r="O13" i="1" s="1"/>
  <c r="N23" i="1"/>
  <c r="O23" i="1" s="1"/>
  <c r="N17" i="1"/>
  <c r="O17" i="1" s="1"/>
  <c r="N10" i="1"/>
  <c r="O10" i="1" s="1"/>
  <c r="N9" i="1"/>
  <c r="O9" i="1" s="1"/>
  <c r="N15" i="1"/>
  <c r="O15" i="1" s="1"/>
  <c r="N11" i="1"/>
  <c r="O11" i="1" s="1"/>
  <c r="N20" i="1"/>
  <c r="O20" i="1" s="1"/>
  <c r="N8" i="1"/>
  <c r="O8" i="1" s="1"/>
  <c r="N22" i="1"/>
  <c r="O22" i="1" s="1"/>
  <c r="N7" i="1"/>
  <c r="O7" i="1" s="1"/>
  <c r="N14" i="1"/>
  <c r="O14" i="1" s="1"/>
  <c r="N18" i="1"/>
  <c r="O18" i="1" s="1"/>
  <c r="N21" i="1"/>
  <c r="O21" i="1" s="1"/>
  <c r="N24" i="1"/>
  <c r="O24" i="1" s="1"/>
  <c r="N25" i="1"/>
  <c r="O25" i="1" s="1"/>
  <c r="N12" i="1"/>
  <c r="O12" i="1" s="1"/>
  <c r="N19" i="1"/>
  <c r="O19" i="1" s="1"/>
  <c r="D7" i="10" l="1"/>
</calcChain>
</file>

<file path=xl/sharedStrings.xml><?xml version="1.0" encoding="utf-8"?>
<sst xmlns="http://schemas.openxmlformats.org/spreadsheetml/2006/main" count="525" uniqueCount="113">
  <si>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</si>
  <si>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</si>
  <si>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</si>
  <si>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</si>
  <si>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</si>
  <si>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</si>
  <si>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</si>
  <si>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</si>
  <si>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</si>
  <si>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</si>
  <si>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</si>
  <si>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</si>
  <si>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</si>
  <si>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</si>
  <si>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</si>
  <si>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</si>
  <si>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</si>
  <si>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</si>
  <si>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</si>
  <si>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</si>
  <si>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>Ensaio 2 - Grupo 2B - Reduzir Amplitude da Corrente</t>
  </si>
  <si>
    <t>Ensaio 1 - Grupo 2B - Reduzir Amplitude da Corrente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</si>
  <si>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</si>
  <si>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</si>
  <si>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</si>
  <si>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</si>
  <si>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</si>
  <si>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</si>
  <si>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</si>
  <si>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</si>
  <si>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</si>
  <si>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</si>
  <si>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</si>
  <si>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</si>
  <si>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</si>
  <si>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</si>
  <si>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</si>
  <si>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</si>
  <si>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</si>
  <si>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</si>
  <si>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</si>
  <si>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</si>
  <si>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</si>
  <si>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</si>
  <si>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</si>
  <si>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</si>
  <si>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</si>
  <si>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</si>
  <si>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</si>
  <si>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</si>
  <si>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</si>
  <si>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</si>
  <si>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</si>
  <si>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</si>
  <si>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</si>
  <si>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</si>
  <si>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</si>
  <si>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</si>
  <si>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</si>
  <si>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</si>
  <si>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</si>
  <si>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</si>
  <si>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</si>
  <si>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</si>
  <si>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</si>
  <si>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</si>
  <si>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</si>
  <si>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</si>
  <si>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</si>
  <si>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</si>
  <si>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</si>
  <si>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</si>
  <si>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</si>
  <si>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</si>
  <si>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</si>
  <si>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</si>
  <si>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</si>
  <si>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</si>
  <si>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</si>
  <si>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</si>
  <si>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</si>
  <si>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(θ ± 7,5) °</t>
  </si>
  <si>
    <t>u(cos(θ))</t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</si>
  <si>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</si>
  <si>
    <r>
      <t>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</si>
  <si>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Log(ω)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</si>
  <si>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Voltimetro</t>
    </r>
  </si>
  <si>
    <t>Log(n)</t>
  </si>
  <si>
    <t>D (m)</t>
  </si>
  <si>
    <t>Log(S)</t>
  </si>
  <si>
    <r>
      <t>(ω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</si>
  <si>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</si>
  <si>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</si>
  <si>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Voltimetro</t>
    </r>
  </si>
  <si>
    <t>Log(cos(θ))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</si>
  <si>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Osciloscopio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</si>
  <si>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</si>
  <si>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</si>
  <si>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</si>
  <si>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Osciloscópio</t>
    </r>
  </si>
  <si>
    <t>Ensaio XXX - Grupo 2B - Confirmar Tendência</t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</si>
  <si>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0,001) A</t>
    </r>
  </si>
  <si>
    <t>Ensaio 3 - Grupo 2A</t>
  </si>
  <si>
    <t>ENSAIO 3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</si>
  <si>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Osciloscópio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</si>
  <si>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</si>
  <si>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</si>
  <si>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0"/>
        <color theme="1"/>
        <rFont val="Calibri"/>
        <family val="2"/>
        <scheme val="minor"/>
      </rPr>
      <t>pico a pico</t>
    </r>
    <r>
      <rPr>
        <sz val="10"/>
        <color theme="1"/>
        <rFont val="Calibri"/>
        <family val="2"/>
        <scheme val="minor"/>
      </rPr>
      <t xml:space="preserve"> ± 0,01) V</t>
    </r>
  </si>
  <si>
    <t>(θ ± 0,1) rad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</si>
  <si>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Osciloscópio</t>
    </r>
  </si>
  <si>
    <t xml:space="preserve">Erro da </t>
  </si>
  <si>
    <t>linearidade (%)</t>
  </si>
  <si>
    <t xml:space="preserve">Incerteza 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</si>
</sst>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00"/>
    <numFmt numFmtId="167" formatCode="0.000E+00"/>
    <numFmt numFmtId="168" formatCode="0.00000"/>
    <numFmt numFmtId="169" formatCode="0.000000"/>
    <numFmt numFmtId="170" formatCode="0.0"/>
  </numFmts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3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A6244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ω!$M$6:$M$29</c:f>
              <c:numCache>
                <c:formatCode>0.00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ω!$N$6:$N$29</c:f>
              <c:numCache>
                <c:formatCode>0.00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ω!$J$6:$J$29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ω!$O$6:$O$25</c:f>
              <c:numCache>
                <c:formatCode>0.00E+00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ω!$F$6:$F$29</c:f>
              <c:numCache>
                <c:formatCode>0.000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(Osciloscópio) - 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(Voltímetro) (V)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ω!$L$47:$L$70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-0.40778986652729227</c:v>
                </c:pt>
                <c:pt idx="1">
                  <c:v>-0.36347981580576721</c:v>
                </c:pt>
                <c:pt idx="2">
                  <c:v>-0.32405144873918934</c:v>
                </c:pt>
                <c:pt idx="3">
                  <c:v>-0.29986876264892404</c:v>
                </c:pt>
                <c:pt idx="4">
                  <c:v>-0.26821819689433873</c:v>
                </c:pt>
                <c:pt idx="5">
                  <c:v>-0.23060051717255897</c:v>
                </c:pt>
                <c:pt idx="6">
                  <c:v>-0.20298325213639737</c:v>
                </c:pt>
                <c:pt idx="7">
                  <c:v>-0.17729475097975678</c:v>
                </c:pt>
                <c:pt idx="8">
                  <c:v>-0.16115418405574314</c:v>
                </c:pt>
                <c:pt idx="9">
                  <c:v>-0.13339814839317726</c:v>
                </c:pt>
                <c:pt idx="10">
                  <c:v>-0.11364666785093558</c:v>
                </c:pt>
                <c:pt idx="11">
                  <c:v>-9.4220110755762643E-2</c:v>
                </c:pt>
                <c:pt idx="12">
                  <c:v>-7.1840724471524495E-2</c:v>
                </c:pt>
                <c:pt idx="13">
                  <c:v>-5.4927250913247835E-2</c:v>
                </c:pt>
                <c:pt idx="14">
                  <c:v>-3.4505318407252586E-2</c:v>
                </c:pt>
                <c:pt idx="15">
                  <c:v>-1.3984674300690525E-2</c:v>
                </c:pt>
                <c:pt idx="16">
                  <c:v>-4.2008758200179023E-3</c:v>
                </c:pt>
                <c:pt idx="17">
                  <c:v>1.4372959715963545E-2</c:v>
                </c:pt>
                <c:pt idx="18">
                  <c:v>3.0527836198762419E-2</c:v>
                </c:pt>
                <c:pt idx="19">
                  <c:v>4.1215395530865701E-2</c:v>
                </c:pt>
                <c:pt idx="20">
                  <c:v>6.124609587537138E-2</c:v>
                </c:pt>
                <c:pt idx="21">
                  <c:v>7.4949361375221263E-2</c:v>
                </c:pt>
                <c:pt idx="22">
                  <c:v>8.8333682530346638E-2</c:v>
                </c:pt>
                <c:pt idx="23">
                  <c:v>0.10262908273898334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0-4E1D-A877-B628508B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el-GR" sz="1400" b="0" i="0" u="none" strike="noStrike" baseline="0">
                    <a:effectLst/>
                  </a:rPr>
                  <a:t>ω)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ω!$P$6:$P$29</c:f>
              <c:numCache>
                <c:formatCode>0.00</c:formatCode>
                <c:ptCount val="24"/>
                <c:pt idx="0">
                  <c:v>-0.40232697082579016</c:v>
                </c:pt>
                <c:pt idx="1">
                  <c:v>-0.35812330833373673</c:v>
                </c:pt>
                <c:pt idx="2">
                  <c:v>-0.31800608512575423</c:v>
                </c:pt>
                <c:pt idx="3">
                  <c:v>-0.29439055358969024</c:v>
                </c:pt>
                <c:pt idx="4">
                  <c:v>-0.26177403714909797</c:v>
                </c:pt>
                <c:pt idx="5">
                  <c:v>-0.22623571177010893</c:v>
                </c:pt>
                <c:pt idx="6">
                  <c:v>-0.19723866116468622</c:v>
                </c:pt>
                <c:pt idx="7">
                  <c:v>-0.1737066604939243</c:v>
                </c:pt>
                <c:pt idx="8">
                  <c:v>-0.15663808289077938</c:v>
                </c:pt>
                <c:pt idx="9">
                  <c:v>-0.12932569876205247</c:v>
                </c:pt>
                <c:pt idx="10">
                  <c:v>-0.10912231267376549</c:v>
                </c:pt>
                <c:pt idx="11">
                  <c:v>-8.9817157478378942E-2</c:v>
                </c:pt>
                <c:pt idx="12">
                  <c:v>-6.7012378001723161E-2</c:v>
                </c:pt>
                <c:pt idx="13">
                  <c:v>-5.0144452714427669E-2</c:v>
                </c:pt>
                <c:pt idx="14">
                  <c:v>-3.0599587573999502E-2</c:v>
                </c:pt>
                <c:pt idx="15">
                  <c:v>-1.0006954793810979E-2</c:v>
                </c:pt>
                <c:pt idx="16">
                  <c:v>-6.5588371109968774E-5</c:v>
                </c:pt>
                <c:pt idx="17">
                  <c:v>1.8571359655032149E-2</c:v>
                </c:pt>
                <c:pt idx="18">
                  <c:v>3.4743767464594552E-2</c:v>
                </c:pt>
                <c:pt idx="19">
                  <c:v>4.5937543871398555E-2</c:v>
                </c:pt>
                <c:pt idx="20">
                  <c:v>6.5386815372040996E-2</c:v>
                </c:pt>
                <c:pt idx="21">
                  <c:v>7.9422688075943285E-2</c:v>
                </c:pt>
                <c:pt idx="22">
                  <c:v>9.2523050854303845E-2</c:v>
                </c:pt>
                <c:pt idx="23">
                  <c:v>0.10668342830735394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E4C-94DF-E71F3D110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</a:t>
                </a:r>
                <a:r>
                  <a:rPr lang="el-GR" sz="1400" b="0" i="0" baseline="0">
                    <a:effectLst/>
                  </a:rPr>
                  <a:t>ω)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) (s.u.)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i0!$AY$5:$AY$17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1452518745695"/>
          <c:y val="0.14280567944648007"/>
          <c:w val="0.8218654159555492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i0!$BC$5:$BC$17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i0!$BD$5:$BD$17</c:f>
              <c:numCache>
                <c:formatCode>0.00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49971694331842"/>
          <c:y val="0.66920805323836985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41603675549101"/>
          <c:y val="0.1380597279859789"/>
          <c:w val="0.809063871548420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91526902693478"/>
          <c:y val="0.1380597279859789"/>
          <c:w val="0.80156467211607152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</a:t>
            </a:r>
            <a:r>
              <a:rPr lang="en-US" sz="1500" baseline="-25000"/>
              <a:t>E0</a:t>
            </a:r>
            <a:r>
              <a:rPr lang="en-US" sz="1500"/>
              <a:t> ao variar</a:t>
            </a:r>
            <a:r>
              <a:rPr lang="en-US" sz="1500" baseline="0"/>
              <a:t> 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en-US" sz="1500"/>
              <a:t> - Ensaio 3</a:t>
            </a:r>
            <a:r>
              <a:rPr lang="en-US" sz="1500" baseline="0"/>
              <a:t> - </a:t>
            </a:r>
            <a:r>
              <a:rPr lang="en-US" sz="1500"/>
              <a:t>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i0!$AY$62:$AY$81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</a:t>
            </a:r>
            <a:r>
              <a:rPr lang="en-US" sz="1500" b="0" i="0" baseline="-25000">
                <a:effectLst/>
              </a:rPr>
              <a:t>E0</a:t>
            </a:r>
            <a:r>
              <a:rPr lang="en-US" sz="1500" b="0" i="0" baseline="0">
                <a:effectLst/>
              </a:rPr>
              <a:t> ao variar </a:t>
            </a:r>
            <a:r>
              <a:rPr lang="pt-PT" sz="1500" b="0" i="0" baseline="0">
                <a:effectLst/>
              </a:rPr>
              <a:t>i</a:t>
            </a:r>
            <a:r>
              <a:rPr lang="pt-PT" sz="1500" b="0" i="0" baseline="-25000">
                <a:effectLst/>
              </a:rPr>
              <a:t>0</a:t>
            </a:r>
            <a:r>
              <a:rPr lang="en-US" sz="1500" b="0" i="0" baseline="0">
                <a:effectLst/>
              </a:rPr>
              <a:t> - Ensaio 3 -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2138656127159"/>
          <c:y val="0.12081495428860153"/>
          <c:w val="0.83802136132462446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i0!$BC$62:$BC$81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i0!$BD$62:$BD$81</c:f>
              <c:numCache>
                <c:formatCode>0.00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50371342290204346"/>
              <c:y val="0.902844707302637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73821595778531"/>
          <c:y val="0.1380597279859789"/>
          <c:w val="0.80860471650943588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3"/>
          <c:order val="2"/>
          <c:tx>
            <c:v>Resíduos Ensaio 3 - Voltimtero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45604575163397"/>
          <c:y val="0.66363127179995685"/>
          <c:w val="0.27404395424836603"/>
          <c:h val="0.17316143550959293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3"/>
          <c:order val="2"/>
          <c:tx>
            <c:v>Resíduos Ensaio 3 -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53415032679741"/>
          <c:y val="0.66520542693260165"/>
          <c:w val="0.27877450980392154"/>
          <c:h val="0.16491600967596506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i0!$L$94:$L$113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47084775525902"/>
          <c:y val="0.76062538740391306"/>
          <c:w val="0.12825971801960653"/>
          <c:h val="7.59032155215892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i0!$Q$94:$Q$113</c:f>
              <c:numCache>
                <c:formatCode>0.00E+00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188139955206"/>
          <c:y val="0.76231848721535167"/>
          <c:w val="0.13273357309589956"/>
          <c:h val="8.474624116418828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i0!$P$94:$P$113</c:f>
              <c:numCache>
                <c:formatCode>0.00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Gráfico de Log(V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)[Log(</a:t>
            </a:r>
            <a:r>
              <a:rPr lang="pt-PT" sz="1600" b="0" i="0" baseline="0">
                <a:effectLst/>
              </a:rPr>
              <a:t>i</a:t>
            </a:r>
            <a:r>
              <a:rPr lang="pt-PT" sz="1600" b="0" i="0" baseline="-25000">
                <a:effectLst/>
              </a:rPr>
              <a:t>0</a:t>
            </a:r>
            <a:r>
              <a:rPr lang="pt-PT" sz="1600" b="0" i="0" baseline="0">
                <a:effectLst/>
              </a:rPr>
              <a:t>)] - Voltimetro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3414042847838051"/>
          <c:y val="1.773946178193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i0!$M$94:$M$113</c:f>
              <c:numCache>
                <c:formatCode>0.0000</c:formatCode>
                <c:ptCount val="20"/>
                <c:pt idx="0">
                  <c:v>4.5439975191534095E-2</c:v>
                </c:pt>
                <c:pt idx="1">
                  <c:v>6.8125523581857958E-2</c:v>
                </c:pt>
                <c:pt idx="2">
                  <c:v>8.6223745674654143E-2</c:v>
                </c:pt>
                <c:pt idx="3">
                  <c:v>9.8340682274441232E-2</c:v>
                </c:pt>
                <c:pt idx="4">
                  <c:v>0.10793071255465965</c:v>
                </c:pt>
                <c:pt idx="5">
                  <c:v>0.12833002391517734</c:v>
                </c:pt>
                <c:pt idx="6">
                  <c:v>0.13907395471060616</c:v>
                </c:pt>
                <c:pt idx="7">
                  <c:v>0.14632562950803335</c:v>
                </c:pt>
                <c:pt idx="8">
                  <c:v>0.15655295282930781</c:v>
                </c:pt>
                <c:pt idx="9">
                  <c:v>0.15530910822070276</c:v>
                </c:pt>
                <c:pt idx="10">
                  <c:v>0.13947506822232866</c:v>
                </c:pt>
                <c:pt idx="11">
                  <c:v>0.1334642864064893</c:v>
                </c:pt>
                <c:pt idx="12">
                  <c:v>0.12128015761275832</c:v>
                </c:pt>
                <c:pt idx="13">
                  <c:v>0.11160371759988677</c:v>
                </c:pt>
                <c:pt idx="14">
                  <c:v>0.1019496633640036</c:v>
                </c:pt>
                <c:pt idx="15">
                  <c:v>8.7079002967256541E-2</c:v>
                </c:pt>
                <c:pt idx="16">
                  <c:v>7.5930234916236891E-2</c:v>
                </c:pt>
                <c:pt idx="17">
                  <c:v>6.5386815372040996E-2</c:v>
                </c:pt>
                <c:pt idx="18">
                  <c:v>5.3604984823934262E-2</c:v>
                </c:pt>
                <c:pt idx="19">
                  <c:v>4.6710408286201398E-2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E-402C-851C-A101CAFF9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i</a:t>
            </a:r>
            <a:r>
              <a:rPr lang="pt-PT" baseline="-25000"/>
              <a:t>0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i0!$R$94:$R$113</c:f>
              <c:numCache>
                <c:formatCode>0.00E+00</c:formatCode>
                <c:ptCount val="20"/>
                <c:pt idx="0">
                  <c:v>5.8805486675906807E-2</c:v>
                </c:pt>
                <c:pt idx="1">
                  <c:v>7.9181246047624818E-2</c:v>
                </c:pt>
                <c:pt idx="2">
                  <c:v>9.691001300805642E-2</c:v>
                </c:pt>
                <c:pt idx="3">
                  <c:v>0.11058971029924898</c:v>
                </c:pt>
                <c:pt idx="4">
                  <c:v>0.11727129565576427</c:v>
                </c:pt>
                <c:pt idx="5">
                  <c:v>0.13672056715640679</c:v>
                </c:pt>
                <c:pt idx="6">
                  <c:v>0.14921911265537988</c:v>
                </c:pt>
                <c:pt idx="7">
                  <c:v>0.1553360374650618</c:v>
                </c:pt>
                <c:pt idx="8">
                  <c:v>0.16435285578443709</c:v>
                </c:pt>
                <c:pt idx="9">
                  <c:v>0.16435285578443709</c:v>
                </c:pt>
                <c:pt idx="10">
                  <c:v>0.14921911265537988</c:v>
                </c:pt>
                <c:pt idx="11">
                  <c:v>0.14301480025409505</c:v>
                </c:pt>
                <c:pt idx="12">
                  <c:v>0.13672056715640679</c:v>
                </c:pt>
                <c:pt idx="13">
                  <c:v>0.12385164096708581</c:v>
                </c:pt>
                <c:pt idx="14">
                  <c:v>0.11394335230683679</c:v>
                </c:pt>
                <c:pt idx="15">
                  <c:v>9.691001300805642E-2</c:v>
                </c:pt>
                <c:pt idx="16">
                  <c:v>8.9905111439397931E-2</c:v>
                </c:pt>
                <c:pt idx="17">
                  <c:v>7.554696139253074E-2</c:v>
                </c:pt>
                <c:pt idx="18">
                  <c:v>6.8185861746161619E-2</c:v>
                </c:pt>
                <c:pt idx="19">
                  <c:v>6.069784035361165E-2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1-4960-9183-ED24D426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n!$M$4:$M$8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n!$Q$4:$Q$8</c:f>
              <c:numCache>
                <c:formatCode>0.00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n!$R$4:$R$8</c:f>
              <c:numCache>
                <c:formatCode>0.00E+00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n!$N$4:$N$8</c:f>
              <c:numCache>
                <c:formatCode>0.0000</c:formatCode>
                <c:ptCount val="5"/>
                <c:pt idx="0">
                  <c:v>0.15792134933566196</c:v>
                </c:pt>
                <c:pt idx="1">
                  <c:v>-1.4937144487060688E-2</c:v>
                </c:pt>
                <c:pt idx="2">
                  <c:v>-0.32043983140224036</c:v>
                </c:pt>
                <c:pt idx="3">
                  <c:v>0.27671136575252153</c:v>
                </c:pt>
                <c:pt idx="4">
                  <c:v>0.37294531249248103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F-46D6-BF21-C5232DD1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n!$S$4:$S$8</c:f>
              <c:numCache>
                <c:formatCode>0.00E+00</c:formatCode>
                <c:ptCount val="5"/>
                <c:pt idx="0">
                  <c:v>0.16731733474817609</c:v>
                </c:pt>
                <c:pt idx="1">
                  <c:v>2.1660617565076304E-3</c:v>
                </c:pt>
                <c:pt idx="2">
                  <c:v>-0.25963731050575611</c:v>
                </c:pt>
                <c:pt idx="3">
                  <c:v>0.28555730900777376</c:v>
                </c:pt>
                <c:pt idx="4">
                  <c:v>0.37839790094813769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A-481E-849C-1C06C8722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4252136752133"/>
          <c:y val="0.14280567944648007"/>
          <c:w val="0.80748226495726494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S!$S$4:$S$6</c:f>
              <c:numCache>
                <c:formatCode>0.00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6594340429278"/>
          <c:y val="0.13214382419692577"/>
          <c:w val="0.80990460058411118"/>
          <c:h val="0.69918471396560333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S!$O$4:$O$6</c:f>
              <c:numCache>
                <c:formatCode>0.0000</c:formatCode>
                <c:ptCount val="3"/>
                <c:pt idx="0">
                  <c:v>0.15500833537926495</c:v>
                </c:pt>
                <c:pt idx="1">
                  <c:v>-2.7578624815686282E-2</c:v>
                </c:pt>
                <c:pt idx="2">
                  <c:v>-0.47327315188533653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E-46BE-AD11-C8C35617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0641423550875"/>
          <c:y val="0.13214382419692577"/>
          <c:w val="0.81266398150188135"/>
          <c:h val="0.68621394483644238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S!$T$4:$T$6</c:f>
              <c:numCache>
                <c:formatCode>0.00</c:formatCode>
                <c:ptCount val="3"/>
                <c:pt idx="0">
                  <c:v>0.16136800223497488</c:v>
                </c:pt>
                <c:pt idx="1">
                  <c:v>-1.5472686656207449E-2</c:v>
                </c:pt>
                <c:pt idx="2">
                  <c:v>-0.42021640338318983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23-9354-D34D006F2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526520458517199"/>
              <c:y val="0.89164845879346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'cos(θ)'!$E$4:$E$10</c:f>
              <c:numCache>
                <c:formatCode>0.000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1.0064540406751559</c:v>
                </c:pt>
                <c:pt idx="1">
                  <c:v>0.97320856373807729</c:v>
                </c:pt>
                <c:pt idx="2">
                  <c:v>0.86559820417858668</c:v>
                </c:pt>
                <c:pt idx="3">
                  <c:v>0.70287034338130816</c:v>
                </c:pt>
                <c:pt idx="4">
                  <c:v>0.48415010037421358</c:v>
                </c:pt>
                <c:pt idx="5">
                  <c:v>0.24705735695452302</c:v>
                </c:pt>
                <c:pt idx="6">
                  <c:v>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42647495104934"/>
          <c:y val="0.6661332717400843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'cos(θ)'!$O$4:$O$10</c:f>
              <c:numCache>
                <c:formatCode>0.0000</c:formatCode>
                <c:ptCount val="7"/>
                <c:pt idx="0">
                  <c:v>-6.4540406751558699E-3</c:v>
                </c:pt>
                <c:pt idx="1">
                  <c:v>-7.2827374490089802E-3</c:v>
                </c:pt>
                <c:pt idx="2">
                  <c:v>4.2719960585202443E-4</c:v>
                </c:pt>
                <c:pt idx="3">
                  <c:v>4.2364378052394125E-3</c:v>
                </c:pt>
                <c:pt idx="4">
                  <c:v>1.5849899625786534E-2</c:v>
                </c:pt>
                <c:pt idx="5">
                  <c:v>1.1761688147997718E-2</c:v>
                </c:pt>
                <c:pt idx="6">
                  <c:v>-1.8538447060710554E-2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0690170940171"/>
          <c:y val="0.13214382419692577"/>
          <c:w val="0.82350149572649578"/>
          <c:h val="0.668919444444444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'cos(θ)'!$P$4:$P$9</c:f>
              <c:numCache>
                <c:formatCode>0.0000</c:formatCode>
                <c:ptCount val="6"/>
                <c:pt idx="0">
                  <c:v>-0.77650025754007901</c:v>
                </c:pt>
                <c:pt idx="1">
                  <c:v>-0.79067951549210258</c:v>
                </c:pt>
                <c:pt idx="2">
                  <c:v>-0.84003410636931541</c:v>
                </c:pt>
                <c:pt idx="3">
                  <c:v>-0.92727872472899298</c:v>
                </c:pt>
                <c:pt idx="4">
                  <c:v>-1.0815873861499188</c:v>
                </c:pt>
                <c:pt idx="5">
                  <c:v>-1.3511744483784089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2-4146-9643-C8702B3D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8269230769232"/>
          <c:y val="0.13214382419692577"/>
          <c:w val="0.82078782051282051"/>
          <c:h val="0.6821486111111111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'cos(θ)'!$U$4:$U$9</c:f>
              <c:numCache>
                <c:formatCode>0.00</c:formatCode>
                <c:ptCount val="6"/>
                <c:pt idx="0">
                  <c:v>-0.73048705578208373</c:v>
                </c:pt>
                <c:pt idx="1">
                  <c:v>-0.769551078621726</c:v>
                </c:pt>
                <c:pt idx="2">
                  <c:v>-0.81815641205522749</c:v>
                </c:pt>
                <c:pt idx="3">
                  <c:v>-0.8728952016351923</c:v>
                </c:pt>
                <c:pt idx="4">
                  <c:v>-1.0087739243075051</c:v>
                </c:pt>
                <c:pt idx="5">
                  <c:v>-1.2076083105017461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A-4CF1-98E6-3922AC4F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'cos(θ)'!$E$5:$E$10</c:f>
              <c:numCache>
                <c:formatCode>0.000</c:formatCode>
                <c:ptCount val="6"/>
                <c:pt idx="0">
                  <c:v>0.96592582628906831</c:v>
                </c:pt>
                <c:pt idx="1">
                  <c:v>0.86602540378443871</c:v>
                </c:pt>
                <c:pt idx="2">
                  <c:v>0.70710678118654757</c:v>
                </c:pt>
                <c:pt idx="3">
                  <c:v>0.50000000000000011</c:v>
                </c:pt>
                <c:pt idx="4">
                  <c:v>0.25881904510252074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0-418C-8E2F-25F5BD6B6DF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'cos(θ)'!$S$5:$S$10</c:f>
              <c:numCache>
                <c:formatCode>0.00</c:formatCode>
                <c:ptCount val="6"/>
                <c:pt idx="0">
                  <c:v>0.97244741345471652</c:v>
                </c:pt>
                <c:pt idx="1">
                  <c:v>0.85100450484146362</c:v>
                </c:pt>
                <c:pt idx="2">
                  <c:v>0.72956159622821104</c:v>
                </c:pt>
                <c:pt idx="3">
                  <c:v>0.48667577900170544</c:v>
                </c:pt>
                <c:pt idx="4">
                  <c:v>0.2437899617751999</c:v>
                </c:pt>
                <c:pt idx="5">
                  <c:v>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0-418C-8E2F-25F5BD6B6DF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'cos(θ)'!$E$4</c:f>
              <c:numCache>
                <c:formatCode>0.000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0-418C-8E2F-25F5BD6B6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31482075461155"/>
          <c:y val="0.62884456219368534"/>
          <c:w val="0.29915631039315799"/>
          <c:h val="0.2075050670660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'cos(θ)'!$T$5:$T$10</c:f>
              <c:numCache>
                <c:formatCode>0.00E+00</c:formatCode>
                <c:ptCount val="6"/>
                <c:pt idx="0">
                  <c:v>-6.5215871656482127E-3</c:v>
                </c:pt>
                <c:pt idx="1">
                  <c:v>1.5020898942975092E-2</c:v>
                </c:pt>
                <c:pt idx="2">
                  <c:v>-2.2454815041663467E-2</c:v>
                </c:pt>
                <c:pt idx="3">
                  <c:v>1.3324220998294667E-2</c:v>
                </c:pt>
                <c:pt idx="4">
                  <c:v>1.5029083327320836E-2</c:v>
                </c:pt>
                <c:pt idx="5">
                  <c:v>-1.4397801061277998E-2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7-4393-AB56-B181706CA812}"/>
            </c:ext>
          </c:extLst>
        </c:ser>
        <c:ser>
          <c:idx val="0"/>
          <c:order val="1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'cos(θ)'!$T$4</c:f>
              <c:numCache>
                <c:formatCode>0.00E+00</c:formatCode>
                <c:ptCount val="1"/>
                <c:pt idx="0">
                  <c:v>-8.0396665555385605E-2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B7-4393-AB56-B181706C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20106508211863641"/>
          <c:h val="0.144671176404275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606014</xdr:colOff>
      <xdr:row>10</xdr:row>
      <xdr:rowOff>4482</xdr:rowOff>
    </xdr:from>
    <xdr:to>
      <xdr:col>23</xdr:col>
      <xdr:colOff>424454</xdr:colOff>
      <xdr:row>25</xdr:row>
      <xdr:rowOff>141282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224</xdr:colOff>
      <xdr:row>10</xdr:row>
      <xdr:rowOff>4481</xdr:rowOff>
    </xdr:from>
    <xdr:to>
      <xdr:col>34</xdr:col>
      <xdr:colOff>12974</xdr:colOff>
      <xdr:row>25</xdr:row>
      <xdr:rowOff>141281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26</xdr:row>
      <xdr:rowOff>2465</xdr:rowOff>
    </xdr:from>
    <xdr:to>
      <xdr:col>23</xdr:col>
      <xdr:colOff>428040</xdr:colOff>
      <xdr:row>41</xdr:row>
      <xdr:rowOff>108785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553347</xdr:colOff>
      <xdr:row>26</xdr:row>
      <xdr:rowOff>4481</xdr:rowOff>
    </xdr:from>
    <xdr:to>
      <xdr:col>34</xdr:col>
      <xdr:colOff>6027</xdr:colOff>
      <xdr:row>41</xdr:row>
      <xdr:rowOff>110801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6</xdr:col>
      <xdr:colOff>615146</xdr:colOff>
      <xdr:row>45</xdr:row>
      <xdr:rowOff>82372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6</xdr:col>
      <xdr:colOff>619629</xdr:colOff>
      <xdr:row>62</xdr:row>
      <xdr:rowOff>49714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583474</xdr:colOff>
      <xdr:row>56</xdr:row>
      <xdr:rowOff>168728</xdr:rowOff>
    </xdr:from>
    <xdr:to>
      <xdr:col>20</xdr:col>
      <xdr:colOff>386674</xdr:colOff>
      <xdr:row>72</xdr:row>
      <xdr:rowOff>122648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0F7A4F-94B4-0330-F90E-BD6C7DEBC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412568</xdr:colOff>
      <xdr:row>56</xdr:row>
      <xdr:rowOff>149134</xdr:rowOff>
    </xdr:from>
    <xdr:to>
      <xdr:col>28</xdr:col>
      <xdr:colOff>528188</xdr:colOff>
      <xdr:row>72</xdr:row>
      <xdr:rowOff>103054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CFCC73-C4B4-43DA-9042-AF90A9984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609598</xdr:colOff>
      <xdr:row>5</xdr:row>
      <xdr:rowOff>178651</xdr:rowOff>
    </xdr:from>
    <xdr:to>
      <xdr:col>25</xdr:col>
      <xdr:colOff>543426</xdr:colOff>
      <xdr:row>21</xdr:row>
      <xdr:rowOff>97736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662615</xdr:colOff>
      <xdr:row>6</xdr:row>
      <xdr:rowOff>4479</xdr:rowOff>
    </xdr:from>
    <xdr:to>
      <xdr:col>36</xdr:col>
      <xdr:colOff>258987</xdr:colOff>
      <xdr:row>21</xdr:row>
      <xdr:rowOff>108621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609599</xdr:colOff>
      <xdr:row>25</xdr:row>
      <xdr:rowOff>0</xdr:rowOff>
    </xdr:from>
    <xdr:to>
      <xdr:col>25</xdr:col>
      <xdr:colOff>543427</xdr:colOff>
      <xdr:row>40</xdr:row>
      <xdr:rowOff>93257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5120</xdr:colOff>
      <xdr:row>24</xdr:row>
      <xdr:rowOff>183135</xdr:rowOff>
    </xdr:from>
    <xdr:to>
      <xdr:col>36</xdr:col>
      <xdr:colOff>265520</xdr:colOff>
      <xdr:row>40</xdr:row>
      <xdr:rowOff>80449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895</xdr:colOff>
      <xdr:row>6</xdr:row>
      <xdr:rowOff>1120</xdr:rowOff>
    </xdr:from>
    <xdr:to>
      <xdr:col>65</xdr:col>
      <xdr:colOff>359267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606011</xdr:colOff>
      <xdr:row>5</xdr:row>
      <xdr:rowOff>161365</xdr:rowOff>
    </xdr:from>
    <xdr:to>
      <xdr:col>74</xdr:col>
      <xdr:colOff>245925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0</xdr:colOff>
      <xdr:row>24</xdr:row>
      <xdr:rowOff>179293</xdr:rowOff>
    </xdr:from>
    <xdr:to>
      <xdr:col>65</xdr:col>
      <xdr:colOff>358372</xdr:colOff>
      <xdr:row>40</xdr:row>
      <xdr:rowOff>76607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609598</xdr:colOff>
      <xdr:row>24</xdr:row>
      <xdr:rowOff>179293</xdr:rowOff>
    </xdr:from>
    <xdr:to>
      <xdr:col>74</xdr:col>
      <xdr:colOff>249512</xdr:colOff>
      <xdr:row>40</xdr:row>
      <xdr:rowOff>76607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606012</xdr:colOff>
      <xdr:row>63</xdr:row>
      <xdr:rowOff>4483</xdr:rowOff>
    </xdr:from>
    <xdr:to>
      <xdr:col>65</xdr:col>
      <xdr:colOff>354784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297070</xdr:colOff>
      <xdr:row>62</xdr:row>
      <xdr:rowOff>149966</xdr:rowOff>
    </xdr:from>
    <xdr:to>
      <xdr:col>73</xdr:col>
      <xdr:colOff>546584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609599</xdr:colOff>
      <xdr:row>82</xdr:row>
      <xdr:rowOff>0</xdr:rowOff>
    </xdr:from>
    <xdr:to>
      <xdr:col>65</xdr:col>
      <xdr:colOff>358371</xdr:colOff>
      <xdr:row>97</xdr:row>
      <xdr:rowOff>49715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66</xdr:col>
      <xdr:colOff>609599</xdr:colOff>
      <xdr:row>81</xdr:row>
      <xdr:rowOff>179293</xdr:rowOff>
    </xdr:from>
    <xdr:to>
      <xdr:col>74</xdr:col>
      <xdr:colOff>249513</xdr:colOff>
      <xdr:row>97</xdr:row>
      <xdr:rowOff>43950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67</xdr:row>
      <xdr:rowOff>2176</xdr:rowOff>
    </xdr:from>
    <xdr:to>
      <xdr:col>11</xdr:col>
      <xdr:colOff>431018</xdr:colOff>
      <xdr:row>84</xdr:row>
      <xdr:rowOff>88159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7621</xdr:colOff>
      <xdr:row>67</xdr:row>
      <xdr:rowOff>7621</xdr:rowOff>
    </xdr:from>
    <xdr:to>
      <xdr:col>24</xdr:col>
      <xdr:colOff>780369</xdr:colOff>
      <xdr:row>84</xdr:row>
      <xdr:rowOff>93604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114</xdr:row>
      <xdr:rowOff>182878</xdr:rowOff>
    </xdr:from>
    <xdr:to>
      <xdr:col>26</xdr:col>
      <xdr:colOff>543428</xdr:colOff>
      <xdr:row>130</xdr:row>
      <xdr:rowOff>80192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620484</xdr:colOff>
      <xdr:row>114</xdr:row>
      <xdr:rowOff>185053</xdr:rowOff>
    </xdr:from>
    <xdr:to>
      <xdr:col>37</xdr:col>
      <xdr:colOff>271284</xdr:colOff>
      <xdr:row>130</xdr:row>
      <xdr:rowOff>82367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95</xdr:row>
      <xdr:rowOff>185056</xdr:rowOff>
    </xdr:from>
    <xdr:to>
      <xdr:col>26</xdr:col>
      <xdr:colOff>543428</xdr:colOff>
      <xdr:row>111</xdr:row>
      <xdr:rowOff>93256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620484</xdr:colOff>
      <xdr:row>95</xdr:row>
      <xdr:rowOff>185054</xdr:rowOff>
    </xdr:from>
    <xdr:to>
      <xdr:col>37</xdr:col>
      <xdr:colOff>271284</xdr:colOff>
      <xdr:row>111</xdr:row>
      <xdr:rowOff>93254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583474</xdr:colOff>
      <xdr:row>133</xdr:row>
      <xdr:rowOff>168728</xdr:rowOff>
    </xdr:from>
    <xdr:to>
      <xdr:col>27</xdr:col>
      <xdr:colOff>517302</xdr:colOff>
      <xdr:row>149</xdr:row>
      <xdr:rowOff>22500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04D6B1-102D-4566-BFF0-8FD9E346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30</xdr:col>
      <xdr:colOff>21771</xdr:colOff>
      <xdr:row>133</xdr:row>
      <xdr:rowOff>130628</xdr:rowOff>
    </xdr:from>
    <xdr:to>
      <xdr:col>37</xdr:col>
      <xdr:colOff>293057</xdr:colOff>
      <xdr:row>148</xdr:row>
      <xdr:rowOff>169457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CECB2F-CC87-4254-8885-6D94F480E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-1</xdr:rowOff>
    </xdr:from>
    <xdr:to>
      <xdr:col>27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22</xdr:row>
      <xdr:rowOff>190499</xdr:rowOff>
    </xdr:from>
    <xdr:to>
      <xdr:col>27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606014</xdr:colOff>
      <xdr:row>7</xdr:row>
      <xdr:rowOff>4481</xdr:rowOff>
    </xdr:from>
    <xdr:to>
      <xdr:col>35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1120</xdr:colOff>
      <xdr:row>23</xdr:row>
      <xdr:rowOff>-1</xdr:rowOff>
    </xdr:from>
    <xdr:to>
      <xdr:col>35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618564</xdr:colOff>
      <xdr:row>28</xdr:row>
      <xdr:rowOff>89647</xdr:rowOff>
    </xdr:from>
    <xdr:to>
      <xdr:col>9</xdr:col>
      <xdr:colOff>717599</xdr:colOff>
      <xdr:row>44</xdr:row>
      <xdr:rowOff>100941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9887-ADD4-43B7-A223-FC4055166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385482</xdr:colOff>
      <xdr:row>28</xdr:row>
      <xdr:rowOff>62754</xdr:rowOff>
    </xdr:from>
    <xdr:to>
      <xdr:col>15</xdr:col>
      <xdr:colOff>654847</xdr:colOff>
      <xdr:row>44</xdr:row>
      <xdr:rowOff>74048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B102E-97FC-492B-B7AB-A98423776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12551</xdr:colOff>
      <xdr:row>12</xdr:row>
      <xdr:rowOff>1</xdr:rowOff>
    </xdr:from>
    <xdr:to>
      <xdr:col>7</xdr:col>
      <xdr:colOff>497069</xdr:colOff>
      <xdr:row>27</xdr:row>
      <xdr:rowOff>154731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7</xdr:col>
      <xdr:colOff>494042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11654</xdr:colOff>
      <xdr:row>11</xdr:row>
      <xdr:rowOff>174811</xdr:rowOff>
    </xdr:from>
    <xdr:to>
      <xdr:col>23</xdr:col>
      <xdr:colOff>74831</xdr:colOff>
      <xdr:row>27</xdr:row>
      <xdr:rowOff>150247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8965</xdr:colOff>
      <xdr:row>29</xdr:row>
      <xdr:rowOff>4928</xdr:rowOff>
    </xdr:from>
    <xdr:to>
      <xdr:col>23</xdr:col>
      <xdr:colOff>72142</xdr:colOff>
      <xdr:row>45</xdr:row>
      <xdr:rowOff>16222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618565</xdr:colOff>
      <xdr:row>46</xdr:row>
      <xdr:rowOff>89647</xdr:rowOff>
    </xdr:from>
    <xdr:to>
      <xdr:col>9</xdr:col>
      <xdr:colOff>81106</xdr:colOff>
      <xdr:row>62</xdr:row>
      <xdr:rowOff>100941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8F2171-08B2-48C5-9D9B-BC0FD7855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618565</xdr:colOff>
      <xdr:row>47</xdr:row>
      <xdr:rowOff>89647</xdr:rowOff>
    </xdr:from>
    <xdr:to>
      <xdr:col>25</xdr:col>
      <xdr:colOff>287295</xdr:colOff>
      <xdr:row>63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E1AA05-17C6-4296-AD98-60E8954C4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29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177799</xdr:rowOff>
    </xdr:from>
    <xdr:to>
      <xdr:col>29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618565</xdr:colOff>
      <xdr:row>36</xdr:row>
      <xdr:rowOff>89647</xdr:rowOff>
    </xdr:from>
    <xdr:to>
      <xdr:col>10</xdr:col>
      <xdr:colOff>454422</xdr:colOff>
      <xdr:row>52</xdr:row>
      <xdr:rowOff>8733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B832FA-308F-43BE-B7C1-7B5EBA51F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326571</xdr:colOff>
      <xdr:row>36</xdr:row>
      <xdr:rowOff>10885</xdr:rowOff>
    </xdr:from>
    <xdr:to>
      <xdr:col>17</xdr:col>
      <xdr:colOff>336600</xdr:colOff>
      <xdr:row>51</xdr:row>
      <xdr:rowOff>115028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E3C908-0EBB-4D74-8A0B-E15E2956F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7</xdr:row>
      <xdr:rowOff>17930</xdr:rowOff>
    </xdr:from>
    <xdr:to>
      <xdr:col>39</xdr:col>
      <xdr:colOff>509918</xdr:colOff>
      <xdr:row>23</xdr:row>
      <xdr:rowOff>53130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40B0E1-F33B-4C26-80AB-1F876DA6C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25</xdr:row>
      <xdr:rowOff>0</xdr:rowOff>
    </xdr:from>
    <xdr:to>
      <xdr:col>39</xdr:col>
      <xdr:colOff>509918</xdr:colOff>
      <xdr:row>41</xdr:row>
      <xdr:rowOff>36694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4B1363-B7EF-4171-B398-426C42B63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1:AE77"/>
  <sheetViews>
    <sheetView topLeftCell="K37" zoomScale="130" zoomScaleNormal="130" workbookViewId="0">
      <selection activeCell="Q49" sqref="Q49"/>
    </sheetView>
  </sheetViews>
  <sheetFormatPr defaultColWidth="8.88671875" defaultRowHeight="14.4" x14ac:dyDescent="0.3"/>
  <cols>
    <col min="1" max="1" width="8.88671875" style="2"/>
    <col min="2" max="2" width="9.44140625" style="2" customWidth="1"/>
    <col min="3" max="3" width="10.44140625" style="2" bestFit="1" customWidth="1"/>
    <col min="4" max="4" width="13.44140625" style="2" bestFit="1" customWidth="1"/>
    <col min="5" max="5" width="12.88671875" style="2" bestFit="1" customWidth="1"/>
    <col min="6" max="6" width="12.88671875" style="2" customWidth="1"/>
    <col min="7" max="7" width="15.109375" style="2" bestFit="1" customWidth="1"/>
    <col min="8" max="8" width="14.109375" style="2" bestFit="1" customWidth="1"/>
    <col min="9" max="11" width="8.88671875" style="2"/>
    <col min="12" max="12" width="14.6640625" style="2" bestFit="1" customWidth="1"/>
    <col min="13" max="13" width="13.88671875" style="2" bestFit="1" customWidth="1"/>
    <col min="14" max="14" width="9.33203125" style="2" bestFit="1" customWidth="1"/>
    <col min="15" max="15" width="9.88671875" style="2" bestFit="1" customWidth="1"/>
    <col min="16" max="16" width="9.88671875" style="2" customWidth="1"/>
    <col min="17" max="17" width="8.88671875" style="2"/>
    <col min="18" max="18" width="9.77734375" style="2" bestFit="1" customWidth="1"/>
    <col min="19" max="19" width="11.33203125" style="2" customWidth="1"/>
    <col min="20" max="20" width="12" style="2" bestFit="1" customWidth="1"/>
    <col min="21" max="22" width="8.88671875" style="2"/>
    <col min="23" max="23" width="12" style="2" bestFit="1" customWidth="1"/>
    <col min="24" max="24" width="8.88671875" style="2"/>
    <col min="25" max="25" width="9.88671875" style="2" customWidth="1"/>
    <col min="26" max="26" width="9.77734375" style="2" bestFit="1" customWidth="1"/>
    <col min="27" max="27" width="8.109375" style="2" customWidth="1"/>
    <col min="28" max="28" width="9" style="2" bestFit="1" customWidth="1"/>
    <col min="29" max="29" width="13.109375" style="2" bestFit="1" customWidth="1"/>
    <col min="30" max="30" width="10.44140625" style="2" bestFit="1" customWidth="1"/>
    <col min="31" max="16384" width="8.88671875" style="2"/>
  </cols>
  <sheetData>
    <row r="1" spans="2:31" x14ac:dyDescent="0.3">
      <c r="B1" s="3" t="s">
        <v>16</v>
      </c>
      <c r="C1" s="1">
        <v>1E-3</v>
      </c>
    </row>
    <row r="2" spans="2:31" ht="15.6" x14ac:dyDescent="0.3">
      <c r="B2" s="3" t="s">
        <v>59</v>
      </c>
      <c r="C2" s="12">
        <f xml:space="preserve"> 2 * PI() * J2</f>
        <v>6.2831853071795862</v>
      </c>
      <c r="D2" s="2">
        <v>6</v>
      </c>
      <c r="E2" s="3" t="s">
        <v>15</v>
      </c>
      <c r="F2" s="1">
        <v>0</v>
      </c>
      <c r="I2" s="3" t="s">
        <v>18</v>
      </c>
      <c r="J2" s="1">
        <v>1</v>
      </c>
      <c r="M2" s="59" t="s">
        <v>60</v>
      </c>
      <c r="N2" s="59"/>
      <c r="O2" s="1">
        <v>1E-4</v>
      </c>
      <c r="R2" s="59" t="s">
        <v>66</v>
      </c>
      <c r="S2" s="59"/>
      <c r="T2" s="38">
        <f>O2*SQRT(2)</f>
        <v>1.4142135623730951E-4</v>
      </c>
      <c r="V2" s="3" t="s">
        <v>63</v>
      </c>
      <c r="W2" s="1">
        <v>1E-3</v>
      </c>
    </row>
    <row r="3" spans="2:31" x14ac:dyDescent="0.3">
      <c r="R3" s="59" t="s">
        <v>62</v>
      </c>
      <c r="S3" s="59"/>
      <c r="T3" s="1">
        <v>1E-4</v>
      </c>
      <c r="V3" s="3" t="s">
        <v>64</v>
      </c>
      <c r="W3" s="1">
        <f>W2*SQRT(2)</f>
        <v>1.4142135623730952E-3</v>
      </c>
    </row>
    <row r="4" spans="2:31" ht="16.2" customHeight="1" x14ac:dyDescent="0.3">
      <c r="B4" s="59" t="str">
        <f>"(f ± "&amp;J2&amp;" ) Hz"</f>
        <v>(f ± 1 ) Hz</v>
      </c>
      <c r="C4" s="59" t="s">
        <v>74</v>
      </c>
      <c r="D4" s="63" t="s">
        <v>85</v>
      </c>
      <c r="E4" s="59" t="s">
        <v>75</v>
      </c>
      <c r="F4" s="63" t="s">
        <v>101</v>
      </c>
      <c r="G4" s="60" t="s">
        <v>13</v>
      </c>
      <c r="H4" s="61"/>
      <c r="I4" s="61"/>
      <c r="J4" s="61"/>
      <c r="K4" s="62"/>
      <c r="L4" s="68" t="s">
        <v>14</v>
      </c>
      <c r="M4" s="68"/>
      <c r="N4" s="68"/>
      <c r="O4" s="68"/>
      <c r="P4" s="68"/>
      <c r="R4" s="59" t="s">
        <v>61</v>
      </c>
      <c r="S4" s="59"/>
      <c r="T4" s="29">
        <f>T3*SQRT(2)</f>
        <v>1.4142135623730951E-4</v>
      </c>
    </row>
    <row r="5" spans="2:31" ht="15.6" x14ac:dyDescent="0.3">
      <c r="B5" s="59"/>
      <c r="C5" s="59"/>
      <c r="D5" s="64"/>
      <c r="E5" s="59"/>
      <c r="F5" s="64"/>
      <c r="G5" s="3" t="s">
        <v>80</v>
      </c>
      <c r="H5" s="3" t="s">
        <v>76</v>
      </c>
      <c r="I5" s="3" t="s">
        <v>0</v>
      </c>
      <c r="J5" s="3" t="s">
        <v>1</v>
      </c>
      <c r="K5" s="3" t="s">
        <v>83</v>
      </c>
      <c r="L5" s="3" t="s">
        <v>105</v>
      </c>
      <c r="M5" s="3" t="s">
        <v>106</v>
      </c>
      <c r="N5" s="3" t="s">
        <v>0</v>
      </c>
      <c r="O5" s="3" t="s">
        <v>1</v>
      </c>
      <c r="P5" s="3" t="s">
        <v>83</v>
      </c>
    </row>
    <row r="6" spans="2:31" ht="15.6" x14ac:dyDescent="0.3">
      <c r="B6" s="1">
        <v>499</v>
      </c>
      <c r="C6" s="12">
        <f t="shared" ref="C6:C29" si="0">2*PI()*B6</f>
        <v>3135.3094682826136</v>
      </c>
      <c r="D6" s="10">
        <f>LOG(C6)</f>
        <v>3.4962804139815051</v>
      </c>
      <c r="E6" s="22">
        <v>0.40300000000000002</v>
      </c>
      <c r="F6" s="22">
        <f>E6*SQRT(2)</f>
        <v>0.56992806563635734</v>
      </c>
      <c r="G6" s="10">
        <v>0.27650000000000002</v>
      </c>
      <c r="H6" s="10">
        <f>G6*SQRT(2)</f>
        <v>0.39103004999616087</v>
      </c>
      <c r="I6" s="10">
        <f t="shared" ref="I6:I29" si="1">C6*S$7+T$7</f>
        <v>0.39424346077034866</v>
      </c>
      <c r="J6" s="10">
        <f>H6-I6</f>
        <v>-3.2134107741877971E-3</v>
      </c>
      <c r="K6" s="10">
        <f>LOG(H6)</f>
        <v>-0.40778986652729227</v>
      </c>
      <c r="L6" s="11">
        <v>0.28000000000000003</v>
      </c>
      <c r="M6" s="11">
        <f>L6*SQRT(2)</f>
        <v>0.39597979746446665</v>
      </c>
      <c r="N6" s="11">
        <f t="shared" ref="N6:N29" si="2">C6*AC$7+AD$7</f>
        <v>0.39947854751339418</v>
      </c>
      <c r="O6" s="31">
        <f>M6-N6</f>
        <v>-3.4987500489275236E-3</v>
      </c>
      <c r="P6" s="11">
        <f>LOG(M6)</f>
        <v>-0.40232697082579016</v>
      </c>
      <c r="R6" s="59" t="s">
        <v>46</v>
      </c>
      <c r="S6" s="59"/>
      <c r="T6" s="59"/>
      <c r="U6" s="59"/>
      <c r="AB6" s="59" t="s">
        <v>47</v>
      </c>
      <c r="AC6" s="59"/>
      <c r="AD6" s="59"/>
      <c r="AE6" s="59"/>
    </row>
    <row r="7" spans="2:31" x14ac:dyDescent="0.3">
      <c r="B7" s="1">
        <v>552</v>
      </c>
      <c r="C7" s="12">
        <f t="shared" si="0"/>
        <v>3468.3182895631317</v>
      </c>
      <c r="D7" s="10">
        <f t="shared" ref="D7:D29" si="3">LOG(C7)</f>
        <v>3.5401189460873139</v>
      </c>
      <c r="E7" s="22">
        <v>0.40400000000000003</v>
      </c>
      <c r="F7" s="22">
        <f t="shared" ref="F7:F29" si="4">E7*SQRT(2)</f>
        <v>0.57134227919873048</v>
      </c>
      <c r="G7" s="10">
        <v>0.30619999999999997</v>
      </c>
      <c r="H7" s="10">
        <f t="shared" ref="H7:H29" si="5">G7*SQRT(2)</f>
        <v>0.43303219279864169</v>
      </c>
      <c r="I7" s="10">
        <f t="shared" si="1"/>
        <v>0.43415834946854892</v>
      </c>
      <c r="J7" s="10">
        <f t="shared" ref="J7:J29" si="6">H7-I7</f>
        <v>-1.1261566699072301E-3</v>
      </c>
      <c r="K7" s="10">
        <f t="shared" ref="K7:K29" si="7">LOG(H7)</f>
        <v>-0.36347981580576721</v>
      </c>
      <c r="L7" s="11">
        <v>0.31</v>
      </c>
      <c r="M7" s="11">
        <f t="shared" ref="M7:M29" si="8">L7*SQRT(2)</f>
        <v>0.43840620433565947</v>
      </c>
      <c r="N7" s="11">
        <f t="shared" si="2"/>
        <v>0.43970621256448528</v>
      </c>
      <c r="O7" s="31">
        <f t="shared" ref="O7:O29" si="9">M7-N7</f>
        <v>-1.3000082288258108E-3</v>
      </c>
      <c r="P7" s="11">
        <f t="shared" ref="P7:P29" si="10">LOG(M7)</f>
        <v>-0.35812330833373673</v>
      </c>
      <c r="R7" s="4" t="s">
        <v>3</v>
      </c>
      <c r="S7" s="29">
        <f t="array" ref="S7:T9">LINEST(H6:H29,C6:C29,1,1)</f>
        <v>1.1986135545813963E-4</v>
      </c>
      <c r="T7" s="22">
        <v>1.8441018121255537E-2</v>
      </c>
      <c r="U7" s="4" t="s">
        <v>5</v>
      </c>
      <c r="AB7" s="4" t="s">
        <v>3</v>
      </c>
      <c r="AC7" s="29">
        <f t="array" ref="AC7:AD9">LINEST(M6:M29,C6:C29,1,1)</f>
        <v>1.208005989042684E-4</v>
      </c>
      <c r="AD7" s="22">
        <v>2.0731285994631143E-2</v>
      </c>
      <c r="AE7" s="4" t="s">
        <v>5</v>
      </c>
    </row>
    <row r="8" spans="2:31" x14ac:dyDescent="0.3">
      <c r="B8" s="1">
        <v>600</v>
      </c>
      <c r="C8" s="12">
        <f t="shared" si="0"/>
        <v>3769.9111843077517</v>
      </c>
      <c r="D8" s="10">
        <f t="shared" si="3"/>
        <v>3.5763311187417588</v>
      </c>
      <c r="E8" s="22">
        <v>0.40799999999999997</v>
      </c>
      <c r="F8" s="22">
        <f t="shared" si="4"/>
        <v>0.57699913344822273</v>
      </c>
      <c r="G8" s="10">
        <v>0.33529999999999999</v>
      </c>
      <c r="H8" s="10">
        <f t="shared" si="5"/>
        <v>0.47418580746369876</v>
      </c>
      <c r="I8" s="10">
        <f t="shared" si="1"/>
        <v>0.4703076826291831</v>
      </c>
      <c r="J8" s="10">
        <f t="shared" si="6"/>
        <v>3.8781248345156616E-3</v>
      </c>
      <c r="K8" s="10">
        <f t="shared" si="7"/>
        <v>-0.32405144873918934</v>
      </c>
      <c r="L8" s="11">
        <v>0.34</v>
      </c>
      <c r="M8" s="11">
        <f t="shared" si="8"/>
        <v>0.48083261120685239</v>
      </c>
      <c r="N8" s="11">
        <f t="shared" si="2"/>
        <v>0.47613881487490733</v>
      </c>
      <c r="O8" s="31">
        <f t="shared" si="9"/>
        <v>4.6937963319450549E-3</v>
      </c>
      <c r="P8" s="11">
        <f t="shared" si="10"/>
        <v>-0.31800608512575423</v>
      </c>
      <c r="R8" s="4" t="s">
        <v>2</v>
      </c>
      <c r="S8" s="29">
        <v>4.6971483995484586E-7</v>
      </c>
      <c r="T8" s="22">
        <v>3.3328483633934037E-3</v>
      </c>
      <c r="U8" s="4" t="s">
        <v>6</v>
      </c>
      <c r="AB8" s="4" t="s">
        <v>2</v>
      </c>
      <c r="AC8" s="29">
        <v>4.6062798044099605E-7</v>
      </c>
      <c r="AD8" s="22">
        <v>3.2683728086886992E-3</v>
      </c>
      <c r="AE8" s="4" t="s">
        <v>6</v>
      </c>
    </row>
    <row r="9" spans="2:31" x14ac:dyDescent="0.3">
      <c r="B9" s="1">
        <v>646</v>
      </c>
      <c r="C9" s="12">
        <f t="shared" si="0"/>
        <v>4058.9377084380126</v>
      </c>
      <c r="D9" s="10">
        <f t="shared" si="3"/>
        <v>3.6084123863531992</v>
      </c>
      <c r="E9" s="22">
        <v>0.40100000000000002</v>
      </c>
      <c r="F9" s="22">
        <f t="shared" si="4"/>
        <v>0.56709963851161116</v>
      </c>
      <c r="G9" s="10">
        <v>0.35449999999999998</v>
      </c>
      <c r="H9" s="10">
        <f t="shared" si="5"/>
        <v>0.50133870786126222</v>
      </c>
      <c r="I9" s="10">
        <f t="shared" si="1"/>
        <v>0.50495079357479089</v>
      </c>
      <c r="J9" s="10">
        <f t="shared" si="6"/>
        <v>-3.6120857135286677E-3</v>
      </c>
      <c r="K9" s="10">
        <f t="shared" si="7"/>
        <v>-0.29986876264892404</v>
      </c>
      <c r="L9" s="11">
        <v>0.35899999999999999</v>
      </c>
      <c r="M9" s="11">
        <f t="shared" si="8"/>
        <v>0.50770266889194116</v>
      </c>
      <c r="N9" s="11">
        <f t="shared" si="2"/>
        <v>0.51105339208906186</v>
      </c>
      <c r="O9" s="31">
        <f t="shared" si="9"/>
        <v>-3.3507231971207085E-3</v>
      </c>
      <c r="P9" s="11">
        <f t="shared" si="10"/>
        <v>-0.29439055358969024</v>
      </c>
      <c r="R9" s="4" t="s">
        <v>4</v>
      </c>
      <c r="S9" s="10">
        <v>0.99966225714554147</v>
      </c>
      <c r="T9" s="22">
        <v>5.0142452239357828E-3</v>
      </c>
      <c r="U9" s="4" t="s">
        <v>7</v>
      </c>
      <c r="AB9" s="4" t="s">
        <v>4</v>
      </c>
      <c r="AC9" s="10">
        <v>0.99968022372647714</v>
      </c>
      <c r="AD9" s="22">
        <v>4.9172422382045321E-3</v>
      </c>
      <c r="AE9" s="4" t="s">
        <v>7</v>
      </c>
    </row>
    <row r="10" spans="2:31" x14ac:dyDescent="0.3">
      <c r="B10" s="1">
        <v>697</v>
      </c>
      <c r="C10" s="12">
        <f t="shared" si="0"/>
        <v>4379.380159104172</v>
      </c>
      <c r="D10" s="10">
        <f t="shared" si="3"/>
        <v>3.6414126464561245</v>
      </c>
      <c r="E10" s="22">
        <v>0.40100000000000002</v>
      </c>
      <c r="F10" s="22">
        <f t="shared" si="4"/>
        <v>0.56709963851161116</v>
      </c>
      <c r="G10" s="10">
        <v>0.38130000000000003</v>
      </c>
      <c r="H10" s="10">
        <f t="shared" si="5"/>
        <v>0.53923963133286124</v>
      </c>
      <c r="I10" s="10">
        <f t="shared" si="1"/>
        <v>0.54335946005796476</v>
      </c>
      <c r="J10" s="10">
        <f t="shared" si="6"/>
        <v>-4.1198287251035248E-3</v>
      </c>
      <c r="K10" s="10">
        <f t="shared" si="7"/>
        <v>-0.26821819689433873</v>
      </c>
      <c r="L10" s="11">
        <v>0.38700000000000001</v>
      </c>
      <c r="M10" s="11">
        <f t="shared" si="8"/>
        <v>0.54730064863838779</v>
      </c>
      <c r="N10" s="11">
        <f t="shared" si="2"/>
        <v>0.54976303204388532</v>
      </c>
      <c r="O10" s="31">
        <f t="shared" si="9"/>
        <v>-2.4623834054975369E-3</v>
      </c>
      <c r="P10" s="11">
        <f t="shared" si="10"/>
        <v>-0.26177403714909797</v>
      </c>
    </row>
    <row r="11" spans="2:31" x14ac:dyDescent="0.3">
      <c r="B11" s="1">
        <v>750</v>
      </c>
      <c r="C11" s="12">
        <f t="shared" si="0"/>
        <v>4712.3889803846896</v>
      </c>
      <c r="D11" s="10">
        <f t="shared" si="3"/>
        <v>3.673241131749815</v>
      </c>
      <c r="E11" s="22">
        <v>0.40600000000000003</v>
      </c>
      <c r="F11" s="22">
        <f t="shared" si="4"/>
        <v>0.57417070632347667</v>
      </c>
      <c r="G11" s="10">
        <v>0.4158</v>
      </c>
      <c r="H11" s="10">
        <f t="shared" si="5"/>
        <v>0.58802999923473298</v>
      </c>
      <c r="I11" s="10">
        <f t="shared" si="1"/>
        <v>0.58327434875616502</v>
      </c>
      <c r="J11" s="10">
        <f t="shared" si="6"/>
        <v>4.7556504785679632E-3</v>
      </c>
      <c r="K11" s="10">
        <f t="shared" si="7"/>
        <v>-0.23060051717255897</v>
      </c>
      <c r="L11" s="11">
        <v>0.42</v>
      </c>
      <c r="M11" s="11">
        <f t="shared" si="8"/>
        <v>0.59396969619669993</v>
      </c>
      <c r="N11" s="11">
        <f t="shared" si="2"/>
        <v>0.58999069709497642</v>
      </c>
      <c r="O11" s="31">
        <f t="shared" si="9"/>
        <v>3.9789991017235016E-3</v>
      </c>
      <c r="P11" s="11">
        <f t="shared" si="10"/>
        <v>-0.22623571177010893</v>
      </c>
    </row>
    <row r="12" spans="2:31" x14ac:dyDescent="0.3">
      <c r="B12" s="1">
        <v>796</v>
      </c>
      <c r="C12" s="12">
        <f t="shared" si="0"/>
        <v>5001.415504514951</v>
      </c>
      <c r="D12" s="10">
        <f t="shared" si="3"/>
        <v>3.6990929360957843</v>
      </c>
      <c r="E12" s="22">
        <v>0.40799999999999997</v>
      </c>
      <c r="F12" s="22">
        <f t="shared" si="4"/>
        <v>0.57699913344822273</v>
      </c>
      <c r="G12" s="10">
        <v>0.44310000000000005</v>
      </c>
      <c r="H12" s="10">
        <f t="shared" si="5"/>
        <v>0.62663802948751857</v>
      </c>
      <c r="I12" s="10">
        <f t="shared" si="1"/>
        <v>0.61791745970177281</v>
      </c>
      <c r="J12" s="10">
        <f t="shared" si="6"/>
        <v>8.7205697857457576E-3</v>
      </c>
      <c r="K12" s="10">
        <f t="shared" si="7"/>
        <v>-0.20298325213639737</v>
      </c>
      <c r="L12" s="11">
        <v>0.44900000000000001</v>
      </c>
      <c r="M12" s="11">
        <f t="shared" si="8"/>
        <v>0.6349818895055197</v>
      </c>
      <c r="N12" s="11">
        <f t="shared" si="2"/>
        <v>0.6249052743091309</v>
      </c>
      <c r="O12" s="31">
        <f t="shared" si="9"/>
        <v>1.0076615196388805E-2</v>
      </c>
      <c r="P12" s="11">
        <f t="shared" si="10"/>
        <v>-0.19723866116468622</v>
      </c>
    </row>
    <row r="13" spans="2:31" x14ac:dyDescent="0.3">
      <c r="B13" s="1">
        <v>847</v>
      </c>
      <c r="C13" s="12">
        <f t="shared" si="0"/>
        <v>5321.8579551811099</v>
      </c>
      <c r="D13" s="10">
        <f t="shared" si="3"/>
        <v>3.7260632786888221</v>
      </c>
      <c r="E13" s="22">
        <v>0.40600000000000003</v>
      </c>
      <c r="F13" s="22">
        <f t="shared" si="4"/>
        <v>0.57417070632347667</v>
      </c>
      <c r="G13" s="10">
        <v>0.47010000000000002</v>
      </c>
      <c r="H13" s="10">
        <f t="shared" si="5"/>
        <v>0.66482179567159205</v>
      </c>
      <c r="I13" s="10">
        <f t="shared" si="1"/>
        <v>0.65632612618494668</v>
      </c>
      <c r="J13" s="10">
        <f t="shared" si="6"/>
        <v>8.4956694866453741E-3</v>
      </c>
      <c r="K13" s="10">
        <f t="shared" si="7"/>
        <v>-0.17729475097975678</v>
      </c>
      <c r="L13" s="11">
        <v>0.47399999999999998</v>
      </c>
      <c r="M13" s="11">
        <f t="shared" si="8"/>
        <v>0.67033722856484712</v>
      </c>
      <c r="N13" s="11">
        <f t="shared" si="2"/>
        <v>0.66361491426395447</v>
      </c>
      <c r="O13" s="31">
        <f t="shared" si="9"/>
        <v>6.7223143008926511E-3</v>
      </c>
      <c r="P13" s="11">
        <f t="shared" si="10"/>
        <v>-0.1737066604939243</v>
      </c>
    </row>
    <row r="14" spans="2:31" x14ac:dyDescent="0.3">
      <c r="B14" s="1">
        <v>898</v>
      </c>
      <c r="C14" s="12">
        <f t="shared" si="0"/>
        <v>5642.3004058472688</v>
      </c>
      <c r="D14" s="10">
        <f t="shared" si="3"/>
        <v>3.7514562050254194</v>
      </c>
      <c r="E14" s="22">
        <v>0.40100000000000002</v>
      </c>
      <c r="F14" s="22">
        <f t="shared" si="4"/>
        <v>0.56709963851161116</v>
      </c>
      <c r="G14" s="10">
        <v>0.4879</v>
      </c>
      <c r="H14" s="10">
        <f t="shared" si="5"/>
        <v>0.68999479708183309</v>
      </c>
      <c r="I14" s="10">
        <f t="shared" si="1"/>
        <v>0.69473479266812055</v>
      </c>
      <c r="J14" s="10">
        <f t="shared" si="6"/>
        <v>-4.7399955862874599E-3</v>
      </c>
      <c r="K14" s="10">
        <f t="shared" si="7"/>
        <v>-0.16115418405574314</v>
      </c>
      <c r="L14" s="11">
        <v>0.49299999999999999</v>
      </c>
      <c r="M14" s="11">
        <f t="shared" si="8"/>
        <v>0.69720728624993589</v>
      </c>
      <c r="N14" s="11">
        <f t="shared" si="2"/>
        <v>0.70232455421877793</v>
      </c>
      <c r="O14" s="31">
        <f t="shared" si="9"/>
        <v>-5.117267968842043E-3</v>
      </c>
      <c r="P14" s="11">
        <f t="shared" si="10"/>
        <v>-0.15663808289077938</v>
      </c>
    </row>
    <row r="15" spans="2:31" x14ac:dyDescent="0.3">
      <c r="B15" s="1">
        <v>952</v>
      </c>
      <c r="C15" s="12">
        <f t="shared" si="0"/>
        <v>5981.5924124349658</v>
      </c>
      <c r="D15" s="10">
        <f t="shared" si="3"/>
        <v>3.7768168167425893</v>
      </c>
      <c r="E15" s="22">
        <v>0.40300000000000002</v>
      </c>
      <c r="F15" s="22">
        <f t="shared" si="4"/>
        <v>0.56992806563635734</v>
      </c>
      <c r="G15" s="10">
        <v>0.52010000000000001</v>
      </c>
      <c r="H15" s="10">
        <f t="shared" si="5"/>
        <v>0.73553247379024678</v>
      </c>
      <c r="I15" s="10">
        <f t="shared" si="1"/>
        <v>0.73540279247383389</v>
      </c>
      <c r="J15" s="10">
        <f t="shared" si="6"/>
        <v>1.2968131641288849E-4</v>
      </c>
      <c r="K15" s="10">
        <f t="shared" si="7"/>
        <v>-0.13339814839317726</v>
      </c>
      <c r="L15" s="11">
        <v>0.52500000000000002</v>
      </c>
      <c r="M15" s="11">
        <f t="shared" si="8"/>
        <v>0.74246212024587499</v>
      </c>
      <c r="N15" s="11">
        <f t="shared" si="2"/>
        <v>0.74331123181800263</v>
      </c>
      <c r="O15" s="31">
        <f t="shared" si="9"/>
        <v>-8.4911157212763655E-4</v>
      </c>
      <c r="P15" s="11">
        <f t="shared" si="10"/>
        <v>-0.12932569876205247</v>
      </c>
    </row>
    <row r="16" spans="2:31" x14ac:dyDescent="0.3">
      <c r="B16" s="1">
        <v>1003</v>
      </c>
      <c r="C16" s="12">
        <f t="shared" si="0"/>
        <v>6302.0348631011248</v>
      </c>
      <c r="D16" s="10">
        <f t="shared" si="3"/>
        <v>3.7994808013785333</v>
      </c>
      <c r="E16" s="22">
        <v>0.40200000000000002</v>
      </c>
      <c r="F16" s="22">
        <f t="shared" si="4"/>
        <v>0.5685138520739843</v>
      </c>
      <c r="G16" s="10">
        <v>0.54430000000000001</v>
      </c>
      <c r="H16" s="10">
        <f t="shared" si="5"/>
        <v>0.76975644199967574</v>
      </c>
      <c r="I16" s="10">
        <f t="shared" si="1"/>
        <v>0.77381145895700776</v>
      </c>
      <c r="J16" s="10">
        <f t="shared" si="6"/>
        <v>-4.0550169573320138E-3</v>
      </c>
      <c r="K16" s="10">
        <f t="shared" si="7"/>
        <v>-0.11364666785093558</v>
      </c>
      <c r="L16" s="11">
        <v>0.55000000000000004</v>
      </c>
      <c r="M16" s="11">
        <f t="shared" si="8"/>
        <v>0.77781745930520241</v>
      </c>
      <c r="N16" s="11">
        <f t="shared" si="2"/>
        <v>0.7820208717728262</v>
      </c>
      <c r="O16" s="31">
        <f t="shared" si="9"/>
        <v>-4.2034124676237905E-3</v>
      </c>
      <c r="P16" s="11">
        <f t="shared" si="10"/>
        <v>-0.10912231267376549</v>
      </c>
    </row>
    <row r="17" spans="2:16" x14ac:dyDescent="0.3">
      <c r="B17" s="1">
        <v>1046</v>
      </c>
      <c r="C17" s="12">
        <f t="shared" si="0"/>
        <v>6572.2118313098472</v>
      </c>
      <c r="D17" s="10">
        <f t="shared" si="3"/>
        <v>3.8177115528893704</v>
      </c>
      <c r="E17" s="22">
        <v>0.40200000000000002</v>
      </c>
      <c r="F17" s="22">
        <f t="shared" si="4"/>
        <v>0.5685138520739843</v>
      </c>
      <c r="G17" s="10">
        <v>0.56920000000000004</v>
      </c>
      <c r="H17" s="10">
        <f t="shared" si="5"/>
        <v>0.80497035970276576</v>
      </c>
      <c r="I17" s="10">
        <f t="shared" si="1"/>
        <v>0.80619523658007597</v>
      </c>
      <c r="J17" s="10">
        <f t="shared" si="6"/>
        <v>-1.2248768773102103E-3</v>
      </c>
      <c r="K17" s="10">
        <f t="shared" si="7"/>
        <v>-9.4220110755762643E-2</v>
      </c>
      <c r="L17" s="11">
        <v>0.57499999999999996</v>
      </c>
      <c r="M17" s="11">
        <f t="shared" si="8"/>
        <v>0.8131727983645296</v>
      </c>
      <c r="N17" s="11">
        <f t="shared" si="2"/>
        <v>0.81465841134257932</v>
      </c>
      <c r="O17" s="31">
        <f t="shared" si="9"/>
        <v>-1.4856129780497218E-3</v>
      </c>
      <c r="P17" s="11">
        <f t="shared" si="10"/>
        <v>-8.9817157478378942E-2</v>
      </c>
    </row>
    <row r="18" spans="2:16" x14ac:dyDescent="0.3">
      <c r="B18" s="1">
        <v>1099</v>
      </c>
      <c r="C18" s="12">
        <f t="shared" si="0"/>
        <v>6905.2206525903657</v>
      </c>
      <c r="D18" s="10">
        <f t="shared" si="3"/>
        <v>3.8391775607816054</v>
      </c>
      <c r="E18" s="22">
        <v>0.40400000000000003</v>
      </c>
      <c r="F18" s="22">
        <f t="shared" si="4"/>
        <v>0.57134227919873048</v>
      </c>
      <c r="G18" s="10">
        <v>0.59929999999999994</v>
      </c>
      <c r="H18" s="10">
        <f t="shared" si="5"/>
        <v>0.84753818793019586</v>
      </c>
      <c r="I18" s="10">
        <f t="shared" si="1"/>
        <v>0.84611012527827623</v>
      </c>
      <c r="J18" s="10">
        <f t="shared" si="6"/>
        <v>1.4280626519196371E-3</v>
      </c>
      <c r="K18" s="10">
        <f t="shared" si="7"/>
        <v>-7.1840724471524495E-2</v>
      </c>
      <c r="L18" s="11">
        <v>0.60599999999999998</v>
      </c>
      <c r="M18" s="11">
        <f t="shared" si="8"/>
        <v>0.85701341879809567</v>
      </c>
      <c r="N18" s="11">
        <f t="shared" si="2"/>
        <v>0.85488607639367042</v>
      </c>
      <c r="O18" s="31">
        <f t="shared" si="9"/>
        <v>2.1273424044252476E-3</v>
      </c>
      <c r="P18" s="11">
        <f t="shared" si="10"/>
        <v>-6.7012378001723161E-2</v>
      </c>
    </row>
    <row r="19" spans="2:16" x14ac:dyDescent="0.3">
      <c r="B19" s="1">
        <v>1149</v>
      </c>
      <c r="C19" s="12">
        <f t="shared" si="0"/>
        <v>7219.3799179493444</v>
      </c>
      <c r="D19" s="10">
        <f t="shared" si="3"/>
        <v>3.8584998970464004</v>
      </c>
      <c r="E19" s="22">
        <v>0.40300000000000002</v>
      </c>
      <c r="F19" s="22">
        <f t="shared" si="4"/>
        <v>0.56992806563635734</v>
      </c>
      <c r="G19" s="10">
        <v>0.62309999999999999</v>
      </c>
      <c r="H19" s="10">
        <f t="shared" si="5"/>
        <v>0.88119647071467555</v>
      </c>
      <c r="I19" s="10">
        <f t="shared" si="1"/>
        <v>0.88376568065393679</v>
      </c>
      <c r="J19" s="10">
        <f t="shared" si="6"/>
        <v>-2.5692099392612411E-3</v>
      </c>
      <c r="K19" s="10">
        <f t="shared" si="7"/>
        <v>-5.4927250913247835E-2</v>
      </c>
      <c r="L19" s="11">
        <v>0.63</v>
      </c>
      <c r="M19" s="11">
        <f t="shared" si="8"/>
        <v>0.89095454429504994</v>
      </c>
      <c r="N19" s="11">
        <f t="shared" si="2"/>
        <v>0.89283670380036007</v>
      </c>
      <c r="O19" s="31">
        <f t="shared" si="9"/>
        <v>-1.8821595053101214E-3</v>
      </c>
      <c r="P19" s="11">
        <f t="shared" si="10"/>
        <v>-5.0144452714427669E-2</v>
      </c>
    </row>
    <row r="20" spans="2:16" x14ac:dyDescent="0.3">
      <c r="B20" s="1">
        <v>1204</v>
      </c>
      <c r="C20" s="12">
        <f t="shared" si="0"/>
        <v>7564.9551098442216</v>
      </c>
      <c r="D20" s="10">
        <f t="shared" si="3"/>
        <v>3.8788063552799206</v>
      </c>
      <c r="E20" s="22">
        <v>0.40300000000000002</v>
      </c>
      <c r="F20" s="22">
        <f t="shared" si="4"/>
        <v>0.56992806563635734</v>
      </c>
      <c r="G20" s="10">
        <v>0.65310000000000001</v>
      </c>
      <c r="H20" s="10">
        <f t="shared" si="5"/>
        <v>0.92362287758586847</v>
      </c>
      <c r="I20" s="10">
        <f t="shared" si="1"/>
        <v>0.92518679156716355</v>
      </c>
      <c r="J20" s="10">
        <f t="shared" si="6"/>
        <v>-1.5639139812950731E-3</v>
      </c>
      <c r="K20" s="10">
        <f t="shared" si="7"/>
        <v>-3.4505318407252586E-2</v>
      </c>
      <c r="L20" s="11">
        <v>0.65900000000000003</v>
      </c>
      <c r="M20" s="11">
        <f t="shared" si="8"/>
        <v>0.93196673760386972</v>
      </c>
      <c r="N20" s="11">
        <f t="shared" si="2"/>
        <v>0.93458239394771869</v>
      </c>
      <c r="O20" s="31">
        <f t="shared" si="9"/>
        <v>-2.6156563438489711E-3</v>
      </c>
      <c r="P20" s="11">
        <f t="shared" si="10"/>
        <v>-3.0599587573999502E-2</v>
      </c>
    </row>
    <row r="21" spans="2:16" x14ac:dyDescent="0.3">
      <c r="B21" s="1">
        <v>1252</v>
      </c>
      <c r="C21" s="12">
        <f t="shared" si="0"/>
        <v>7866.5480045888416</v>
      </c>
      <c r="D21" s="10">
        <f t="shared" si="3"/>
        <v>3.8957841972325258</v>
      </c>
      <c r="E21" s="22">
        <v>0.40699999999999997</v>
      </c>
      <c r="F21" s="22">
        <f t="shared" si="4"/>
        <v>0.5755849198858497</v>
      </c>
      <c r="G21" s="10">
        <v>0.68470000000000009</v>
      </c>
      <c r="H21" s="10">
        <f t="shared" si="5"/>
        <v>0.96831202615685841</v>
      </c>
      <c r="I21" s="10">
        <f t="shared" si="1"/>
        <v>0.96133612472779773</v>
      </c>
      <c r="J21" s="10">
        <f t="shared" si="6"/>
        <v>6.9759014290606824E-3</v>
      </c>
      <c r="K21" s="10">
        <f t="shared" si="7"/>
        <v>-1.3984674300690525E-2</v>
      </c>
      <c r="L21" s="11">
        <v>0.69099999999999995</v>
      </c>
      <c r="M21" s="11">
        <f t="shared" si="8"/>
        <v>0.97722157159980871</v>
      </c>
      <c r="N21" s="11">
        <f t="shared" si="2"/>
        <v>0.97101499625814081</v>
      </c>
      <c r="O21" s="31">
        <f t="shared" si="9"/>
        <v>6.2065753416679081E-3</v>
      </c>
      <c r="P21" s="11">
        <f t="shared" si="10"/>
        <v>-1.0006954793810979E-2</v>
      </c>
    </row>
    <row r="22" spans="2:16" x14ac:dyDescent="0.3">
      <c r="B22" s="1">
        <v>1303</v>
      </c>
      <c r="C22" s="12">
        <f t="shared" si="0"/>
        <v>8186.9904552550006</v>
      </c>
      <c r="D22" s="10">
        <f t="shared" si="3"/>
        <v>3.9131242840706997</v>
      </c>
      <c r="E22" s="22">
        <v>0.40100000000000002</v>
      </c>
      <c r="F22" s="22">
        <f t="shared" si="4"/>
        <v>0.56709963851161116</v>
      </c>
      <c r="G22" s="10">
        <v>0.70029999999999992</v>
      </c>
      <c r="H22" s="10">
        <f t="shared" si="5"/>
        <v>0.99037375772987846</v>
      </c>
      <c r="I22" s="10">
        <f t="shared" si="1"/>
        <v>0.9997447912109716</v>
      </c>
      <c r="J22" s="10">
        <f t="shared" si="6"/>
        <v>-9.3710334810931384E-3</v>
      </c>
      <c r="K22" s="10">
        <f t="shared" si="7"/>
        <v>-4.2008758200179023E-3</v>
      </c>
      <c r="L22" s="11">
        <v>0.70699999999999996</v>
      </c>
      <c r="M22" s="11">
        <f t="shared" si="8"/>
        <v>0.99984898859777827</v>
      </c>
      <c r="N22" s="11">
        <f t="shared" si="2"/>
        <v>1.0097246362129644</v>
      </c>
      <c r="O22" s="31">
        <f t="shared" si="9"/>
        <v>-9.8756476151861117E-3</v>
      </c>
      <c r="P22" s="11">
        <f t="shared" si="10"/>
        <v>-6.5588371109968774E-5</v>
      </c>
    </row>
    <row r="23" spans="2:16" x14ac:dyDescent="0.3">
      <c r="B23" s="1">
        <v>1350</v>
      </c>
      <c r="C23" s="12">
        <f t="shared" si="0"/>
        <v>8482.3001646924422</v>
      </c>
      <c r="D23" s="10">
        <f t="shared" si="3"/>
        <v>3.928513636853121</v>
      </c>
      <c r="E23" s="22">
        <v>0.40400000000000003</v>
      </c>
      <c r="F23" s="22">
        <f t="shared" si="4"/>
        <v>0.57134227919873048</v>
      </c>
      <c r="G23" s="10">
        <v>0.73089999999999999</v>
      </c>
      <c r="H23" s="10">
        <f t="shared" si="5"/>
        <v>1.0336486927384951</v>
      </c>
      <c r="I23" s="10">
        <f t="shared" si="1"/>
        <v>1.0351410132640926</v>
      </c>
      <c r="J23" s="10">
        <f t="shared" si="6"/>
        <v>-1.4923205255974459E-3</v>
      </c>
      <c r="K23" s="10">
        <f t="shared" si="7"/>
        <v>1.4372959715963545E-2</v>
      </c>
      <c r="L23" s="11">
        <v>0.73799999999999999</v>
      </c>
      <c r="M23" s="11">
        <f t="shared" si="8"/>
        <v>1.0436896090313441</v>
      </c>
      <c r="N23" s="11">
        <f t="shared" si="2"/>
        <v>1.0453982259752528</v>
      </c>
      <c r="O23" s="31">
        <f t="shared" si="9"/>
        <v>-1.7086169439086696E-3</v>
      </c>
      <c r="P23" s="11">
        <f t="shared" si="10"/>
        <v>1.8571359655032149E-2</v>
      </c>
    </row>
    <row r="24" spans="2:16" x14ac:dyDescent="0.3">
      <c r="B24" s="1">
        <v>1400</v>
      </c>
      <c r="C24" s="12">
        <f t="shared" si="0"/>
        <v>8796.45943005142</v>
      </c>
      <c r="D24" s="10">
        <f t="shared" si="3"/>
        <v>3.9443079040363531</v>
      </c>
      <c r="E24" s="22">
        <v>0.40400000000000003</v>
      </c>
      <c r="F24" s="22">
        <f t="shared" si="4"/>
        <v>0.57134227919873048</v>
      </c>
      <c r="G24" s="10">
        <v>0.75860000000000005</v>
      </c>
      <c r="H24" s="10">
        <f t="shared" si="5"/>
        <v>1.0728224084162301</v>
      </c>
      <c r="I24" s="10">
        <f t="shared" si="1"/>
        <v>1.0727965686397531</v>
      </c>
      <c r="J24" s="10">
        <f t="shared" si="6"/>
        <v>2.5839776476965781E-5</v>
      </c>
      <c r="K24" s="10">
        <f t="shared" si="7"/>
        <v>3.0527836198762419E-2</v>
      </c>
      <c r="L24" s="11">
        <v>0.76600000000000001</v>
      </c>
      <c r="M24" s="11">
        <f t="shared" si="8"/>
        <v>1.0832875887777909</v>
      </c>
      <c r="N24" s="11">
        <f t="shared" si="2"/>
        <v>1.0833488533819422</v>
      </c>
      <c r="O24" s="31">
        <f t="shared" si="9"/>
        <v>-6.1264604151345381E-5</v>
      </c>
      <c r="P24" s="11">
        <f t="shared" si="10"/>
        <v>3.4743767464594552E-2</v>
      </c>
    </row>
    <row r="25" spans="2:16" x14ac:dyDescent="0.3">
      <c r="B25" s="1">
        <v>1448</v>
      </c>
      <c r="C25" s="12">
        <f t="shared" si="0"/>
        <v>9098.0523247960409</v>
      </c>
      <c r="D25" s="10">
        <f t="shared" si="3"/>
        <v>3.9589484302192433</v>
      </c>
      <c r="E25" s="22">
        <v>0.40100000000000002</v>
      </c>
      <c r="F25" s="22">
        <f t="shared" si="4"/>
        <v>0.56709963851161116</v>
      </c>
      <c r="G25" s="10">
        <v>0.77749999999999997</v>
      </c>
      <c r="H25" s="10">
        <f t="shared" si="5"/>
        <v>1.0995510447450814</v>
      </c>
      <c r="I25" s="10">
        <f t="shared" si="1"/>
        <v>1.1089459018003873</v>
      </c>
      <c r="J25" s="10">
        <f t="shared" si="6"/>
        <v>-9.3948570553059607E-3</v>
      </c>
      <c r="K25" s="10">
        <f t="shared" si="7"/>
        <v>4.1215395530865701E-2</v>
      </c>
      <c r="L25" s="11">
        <v>0.78600000000000003</v>
      </c>
      <c r="M25" s="11">
        <f t="shared" si="8"/>
        <v>1.1115718600252529</v>
      </c>
      <c r="N25" s="11">
        <f t="shared" si="2"/>
        <v>1.1197814556923644</v>
      </c>
      <c r="O25" s="31">
        <f t="shared" si="9"/>
        <v>-8.2095956671115466E-3</v>
      </c>
      <c r="P25" s="11">
        <f t="shared" si="10"/>
        <v>4.5937543871398555E-2</v>
      </c>
    </row>
    <row r="26" spans="2:16" x14ac:dyDescent="0.3">
      <c r="B26" s="1">
        <v>1500</v>
      </c>
      <c r="C26" s="12">
        <f t="shared" si="0"/>
        <v>9424.7779607693792</v>
      </c>
      <c r="D26" s="10">
        <f t="shared" si="3"/>
        <v>3.9742711274137963</v>
      </c>
      <c r="E26" s="22">
        <v>0.40500000000000003</v>
      </c>
      <c r="F26" s="22">
        <f t="shared" si="4"/>
        <v>0.57275649276110352</v>
      </c>
      <c r="G26" s="10">
        <v>0.81420000000000003</v>
      </c>
      <c r="H26" s="10">
        <f t="shared" si="5"/>
        <v>1.1514526824841742</v>
      </c>
      <c r="I26" s="10">
        <f t="shared" si="1"/>
        <v>1.1481076793910745</v>
      </c>
      <c r="J26" s="10">
        <f t="shared" si="6"/>
        <v>3.3450030930997077E-3</v>
      </c>
      <c r="K26" s="10">
        <f t="shared" si="7"/>
        <v>6.124609587537138E-2</v>
      </c>
      <c r="L26" s="11">
        <v>0.82199999999999995</v>
      </c>
      <c r="M26" s="11">
        <f t="shared" si="8"/>
        <v>1.1624835482706841</v>
      </c>
      <c r="N26" s="11">
        <f t="shared" si="2"/>
        <v>1.1592501081953217</v>
      </c>
      <c r="O26" s="31">
        <f t="shared" si="9"/>
        <v>3.2334400753624148E-3</v>
      </c>
      <c r="P26" s="11">
        <f t="shared" si="10"/>
        <v>6.5386815372040996E-2</v>
      </c>
    </row>
    <row r="27" spans="2:16" x14ac:dyDescent="0.3">
      <c r="B27" s="1">
        <v>1552</v>
      </c>
      <c r="C27" s="12">
        <f t="shared" si="0"/>
        <v>9751.5035967427175</v>
      </c>
      <c r="D27" s="10">
        <f t="shared" si="3"/>
        <v>3.9890715852802847</v>
      </c>
      <c r="E27" s="22">
        <v>0.40500000000000003</v>
      </c>
      <c r="F27" s="22">
        <f t="shared" si="4"/>
        <v>0.57275649276110352</v>
      </c>
      <c r="G27" s="10">
        <v>0.84029999999999994</v>
      </c>
      <c r="H27" s="10">
        <f t="shared" si="5"/>
        <v>1.1883636564621118</v>
      </c>
      <c r="I27" s="10">
        <f t="shared" si="1"/>
        <v>1.1872694569817615</v>
      </c>
      <c r="J27" s="10">
        <f t="shared" si="6"/>
        <v>1.0941994803503885E-3</v>
      </c>
      <c r="K27" s="10">
        <f t="shared" si="7"/>
        <v>7.4949361375221263E-2</v>
      </c>
      <c r="L27" s="11">
        <v>0.84899999999999998</v>
      </c>
      <c r="M27" s="11">
        <f t="shared" si="8"/>
        <v>1.2006673144547577</v>
      </c>
      <c r="N27" s="11">
        <f t="shared" si="2"/>
        <v>1.1987187606982788</v>
      </c>
      <c r="O27" s="31">
        <f t="shared" si="9"/>
        <v>1.9485537564789546E-3</v>
      </c>
      <c r="P27" s="11">
        <f t="shared" si="10"/>
        <v>7.9422688075943285E-2</v>
      </c>
    </row>
    <row r="28" spans="2:16" x14ac:dyDescent="0.3">
      <c r="B28" s="1">
        <v>1600</v>
      </c>
      <c r="C28" s="12">
        <f t="shared" si="0"/>
        <v>10053.096491487338</v>
      </c>
      <c r="D28" s="10">
        <f t="shared" si="3"/>
        <v>4.0022998510140395</v>
      </c>
      <c r="E28" s="22">
        <v>0.40500000000000003</v>
      </c>
      <c r="F28" s="22">
        <f t="shared" si="4"/>
        <v>0.57275649276110352</v>
      </c>
      <c r="G28" s="10">
        <v>0.86660000000000004</v>
      </c>
      <c r="H28" s="10">
        <f>G28*SQRT(2)</f>
        <v>1.2255574731525243</v>
      </c>
      <c r="I28" s="10">
        <f t="shared" si="1"/>
        <v>1.2234187901423959</v>
      </c>
      <c r="J28" s="10">
        <f t="shared" si="6"/>
        <v>2.1386830101284282E-3</v>
      </c>
      <c r="K28" s="10">
        <f t="shared" si="7"/>
        <v>8.8333682530346638E-2</v>
      </c>
      <c r="L28" s="11">
        <v>0.875</v>
      </c>
      <c r="M28" s="11">
        <f t="shared" si="8"/>
        <v>1.2374368670764582</v>
      </c>
      <c r="N28" s="11">
        <f t="shared" si="2"/>
        <v>1.235151363008701</v>
      </c>
      <c r="O28" s="31">
        <f t="shared" si="9"/>
        <v>2.2855040677571825E-3</v>
      </c>
      <c r="P28" s="11">
        <f t="shared" si="10"/>
        <v>9.2523050854303845E-2</v>
      </c>
    </row>
    <row r="29" spans="2:16" x14ac:dyDescent="0.3">
      <c r="B29" s="1">
        <v>1650</v>
      </c>
      <c r="C29" s="12">
        <f t="shared" si="0"/>
        <v>10367.255756846318</v>
      </c>
      <c r="D29" s="10">
        <f t="shared" si="3"/>
        <v>4.0156638125720212</v>
      </c>
      <c r="E29" s="22">
        <v>0.40500000000000003</v>
      </c>
      <c r="F29" s="22">
        <f t="shared" si="4"/>
        <v>0.57275649276110352</v>
      </c>
      <c r="G29" s="10">
        <v>0.89560000000000006</v>
      </c>
      <c r="H29" s="10">
        <f t="shared" si="5"/>
        <v>1.2665696664613442</v>
      </c>
      <c r="I29" s="10">
        <f t="shared" si="1"/>
        <v>1.2610743455180564</v>
      </c>
      <c r="J29" s="10">
        <f t="shared" si="6"/>
        <v>5.4953209432877514E-3</v>
      </c>
      <c r="K29" s="10">
        <f t="shared" si="7"/>
        <v>0.10262908273898334</v>
      </c>
      <c r="L29" s="11">
        <v>0.90400000000000003</v>
      </c>
      <c r="M29" s="11">
        <f t="shared" si="8"/>
        <v>1.2784490603852781</v>
      </c>
      <c r="N29" s="11">
        <f t="shared" si="2"/>
        <v>1.2731019904153908</v>
      </c>
      <c r="O29" s="31">
        <f t="shared" si="9"/>
        <v>5.3470699698872082E-3</v>
      </c>
      <c r="P29" s="11">
        <f t="shared" si="10"/>
        <v>0.10668342830735394</v>
      </c>
    </row>
    <row r="32" spans="2:16" ht="15.6" x14ac:dyDescent="0.3">
      <c r="L32" s="4" t="s">
        <v>38</v>
      </c>
      <c r="M32" s="1">
        <f>AVERAGE(F6:F29)</f>
        <v>0.57110657693833489</v>
      </c>
    </row>
    <row r="33" spans="12:23" ht="15.6" x14ac:dyDescent="0.3">
      <c r="L33" s="4" t="s">
        <v>39</v>
      </c>
      <c r="M33" s="1">
        <f>_xlfn.STDEV.P(F6:F29)/SQRT(24)</f>
        <v>6.1614091702274164E-4</v>
      </c>
    </row>
    <row r="46" spans="12:23" x14ac:dyDescent="0.3">
      <c r="L46" s="3" t="s">
        <v>26</v>
      </c>
      <c r="M46" s="3" t="s">
        <v>65</v>
      </c>
    </row>
    <row r="47" spans="12:23" ht="15.6" x14ac:dyDescent="0.3">
      <c r="L47" s="1">
        <f t="shared" ref="L47:L70" si="11">M6-H6</f>
        <v>4.9497474683057874E-3</v>
      </c>
      <c r="M47" s="1">
        <f>SQRT((T4^2)+(T2^2))</f>
        <v>2.0000000000000001E-4</v>
      </c>
      <c r="S47" s="70" t="s">
        <v>28</v>
      </c>
      <c r="T47" s="70"/>
      <c r="U47" s="70"/>
      <c r="V47" s="70"/>
      <c r="W47" s="70"/>
    </row>
    <row r="48" spans="12:23" x14ac:dyDescent="0.3">
      <c r="L48" s="1">
        <f t="shared" si="11"/>
        <v>5.3740115370177755E-3</v>
      </c>
      <c r="M48" s="1">
        <f>$M$47</f>
        <v>2.0000000000000001E-4</v>
      </c>
      <c r="S48" s="71" t="s">
        <v>29</v>
      </c>
      <c r="T48" s="71"/>
      <c r="V48" s="68" t="s">
        <v>14</v>
      </c>
      <c r="W48" s="68"/>
    </row>
    <row r="49" spans="12:23" ht="15.6" x14ac:dyDescent="0.3">
      <c r="L49" s="1">
        <f t="shared" si="11"/>
        <v>6.6468037431536287E-3</v>
      </c>
      <c r="M49" s="1">
        <f t="shared" ref="M49:M69" si="12">$M$47</f>
        <v>2.0000000000000001E-4</v>
      </c>
      <c r="S49" s="27" t="s">
        <v>30</v>
      </c>
      <c r="T49" s="30">
        <f>4*PI()*10^-7</f>
        <v>1.2566370614359173E-6</v>
      </c>
      <c r="V49" s="26" t="s">
        <v>30</v>
      </c>
      <c r="W49" s="30">
        <f>T49</f>
        <v>1.2566370614359173E-6</v>
      </c>
    </row>
    <row r="50" spans="12:23" ht="15.6" x14ac:dyDescent="0.3">
      <c r="L50" s="1">
        <f t="shared" si="11"/>
        <v>6.3639610306789329E-3</v>
      </c>
      <c r="M50" s="1">
        <f t="shared" si="12"/>
        <v>2.0000000000000001E-4</v>
      </c>
      <c r="S50" s="27" t="s">
        <v>31</v>
      </c>
      <c r="T50" s="1">
        <f>(S7*T54)/(T55*W56*W55*M32)</f>
        <v>1.0917999077141359E-6</v>
      </c>
      <c r="V50" s="26" t="s">
        <v>31</v>
      </c>
      <c r="W50" s="1">
        <f>(AC7*T54)/(T55*W56*W55*M32)</f>
        <v>1.1003553416476577E-6</v>
      </c>
    </row>
    <row r="51" spans="12:23" ht="15.6" x14ac:dyDescent="0.3">
      <c r="L51" s="1">
        <f t="shared" si="11"/>
        <v>8.0610173055265522E-3</v>
      </c>
      <c r="M51" s="1">
        <f t="shared" si="12"/>
        <v>2.0000000000000001E-4</v>
      </c>
      <c r="S51" s="27" t="s">
        <v>33</v>
      </c>
      <c r="T51" s="1">
        <f>4.4*10^-9</f>
        <v>4.4000000000000005E-9</v>
      </c>
      <c r="V51" s="26" t="s">
        <v>32</v>
      </c>
      <c r="W51" s="1">
        <f>4.4*10^-9</f>
        <v>4.4000000000000005E-9</v>
      </c>
    </row>
    <row r="52" spans="12:23" x14ac:dyDescent="0.3">
      <c r="L52" s="1">
        <f t="shared" si="11"/>
        <v>5.9396969619669449E-3</v>
      </c>
      <c r="M52" s="1">
        <f t="shared" si="12"/>
        <v>2.0000000000000001E-4</v>
      </c>
      <c r="S52" s="27" t="s">
        <v>34</v>
      </c>
      <c r="T52" s="32">
        <f>(T50-T49)/T49</f>
        <v>-0.13117323910010062</v>
      </c>
      <c r="V52" s="26" t="s">
        <v>34</v>
      </c>
      <c r="W52" s="32">
        <f>(W50-W49)/W49</f>
        <v>-0.12436504109601997</v>
      </c>
    </row>
    <row r="53" spans="12:23" x14ac:dyDescent="0.3">
      <c r="L53" s="1">
        <f t="shared" si="11"/>
        <v>8.3438600180011369E-3</v>
      </c>
      <c r="M53" s="1">
        <f t="shared" si="12"/>
        <v>2.0000000000000001E-4</v>
      </c>
    </row>
    <row r="54" spans="12:23" x14ac:dyDescent="0.3">
      <c r="L54" s="1">
        <f t="shared" si="11"/>
        <v>5.5154328932550678E-3</v>
      </c>
      <c r="M54" s="1">
        <f t="shared" si="12"/>
        <v>2.0000000000000001E-4</v>
      </c>
      <c r="S54" s="28" t="s">
        <v>19</v>
      </c>
      <c r="T54" s="1">
        <v>0.75</v>
      </c>
      <c r="U54" s="69" t="s">
        <v>36</v>
      </c>
      <c r="V54" s="69"/>
      <c r="W54" s="1">
        <v>4.1000000000000002E-2</v>
      </c>
    </row>
    <row r="55" spans="12:23" ht="16.2" x14ac:dyDescent="0.3">
      <c r="L55" s="1">
        <f t="shared" si="11"/>
        <v>7.2124891681027981E-3</v>
      </c>
      <c r="M55" s="1">
        <f t="shared" si="12"/>
        <v>2.0000000000000001E-4</v>
      </c>
      <c r="S55" s="28" t="s">
        <v>17</v>
      </c>
      <c r="T55" s="1">
        <v>364</v>
      </c>
      <c r="U55" s="69" t="s">
        <v>37</v>
      </c>
      <c r="V55" s="69"/>
      <c r="W55" s="22">
        <f>W54^2*PI()/4</f>
        <v>1.3202543126711107E-3</v>
      </c>
    </row>
    <row r="56" spans="12:23" x14ac:dyDescent="0.3">
      <c r="L56" s="1">
        <f t="shared" si="11"/>
        <v>6.9296464556282134E-3</v>
      </c>
      <c r="M56" s="1">
        <f t="shared" si="12"/>
        <v>2.0000000000000001E-4</v>
      </c>
      <c r="U56" s="69" t="s">
        <v>35</v>
      </c>
      <c r="V56" s="69"/>
      <c r="W56" s="1">
        <v>300</v>
      </c>
    </row>
    <row r="57" spans="12:23" x14ac:dyDescent="0.3">
      <c r="L57" s="1">
        <f t="shared" si="11"/>
        <v>8.0610173055266632E-3</v>
      </c>
      <c r="M57" s="1">
        <f t="shared" si="12"/>
        <v>2.0000000000000001E-4</v>
      </c>
    </row>
    <row r="58" spans="12:23" x14ac:dyDescent="0.3">
      <c r="L58" s="1">
        <f t="shared" si="11"/>
        <v>8.2024386617638445E-3</v>
      </c>
      <c r="M58" s="1">
        <f t="shared" si="12"/>
        <v>2.0000000000000001E-4</v>
      </c>
    </row>
    <row r="59" spans="12:23" x14ac:dyDescent="0.3">
      <c r="L59" s="1">
        <f t="shared" si="11"/>
        <v>9.4752308678998087E-3</v>
      </c>
      <c r="M59" s="1">
        <f t="shared" si="12"/>
        <v>2.0000000000000001E-4</v>
      </c>
    </row>
    <row r="60" spans="12:23" x14ac:dyDescent="0.3">
      <c r="L60" s="1">
        <f t="shared" si="11"/>
        <v>9.7580735803743934E-3</v>
      </c>
      <c r="M60" s="1">
        <f t="shared" si="12"/>
        <v>2.0000000000000001E-4</v>
      </c>
    </row>
    <row r="61" spans="12:23" x14ac:dyDescent="0.3">
      <c r="L61" s="1">
        <f t="shared" si="11"/>
        <v>8.3438600180012479E-3</v>
      </c>
      <c r="M61" s="1">
        <f t="shared" si="12"/>
        <v>2.0000000000000001E-4</v>
      </c>
    </row>
    <row r="62" spans="12:23" x14ac:dyDescent="0.3">
      <c r="L62" s="1">
        <f t="shared" si="11"/>
        <v>8.9095454429503063E-3</v>
      </c>
      <c r="M62" s="1">
        <f t="shared" si="12"/>
        <v>2.0000000000000001E-4</v>
      </c>
    </row>
    <row r="63" spans="12:23" x14ac:dyDescent="0.3">
      <c r="L63" s="1">
        <f t="shared" si="11"/>
        <v>9.4752308678998087E-3</v>
      </c>
      <c r="M63" s="1">
        <f t="shared" si="12"/>
        <v>2.0000000000000001E-4</v>
      </c>
    </row>
    <row r="64" spans="12:23" x14ac:dyDescent="0.3">
      <c r="L64" s="1">
        <f t="shared" si="11"/>
        <v>1.0040916292848978E-2</v>
      </c>
      <c r="M64" s="1">
        <f t="shared" si="12"/>
        <v>2.0000000000000001E-4</v>
      </c>
    </row>
    <row r="65" spans="12:28" x14ac:dyDescent="0.3">
      <c r="L65" s="1">
        <f t="shared" si="11"/>
        <v>1.0465180361560744E-2</v>
      </c>
      <c r="M65" s="1">
        <f t="shared" si="12"/>
        <v>2.0000000000000001E-4</v>
      </c>
    </row>
    <row r="66" spans="12:28" x14ac:dyDescent="0.3">
      <c r="L66" s="1">
        <f t="shared" si="11"/>
        <v>1.2020815280171515E-2</v>
      </c>
      <c r="M66" s="1">
        <f t="shared" si="12"/>
        <v>2.0000000000000001E-4</v>
      </c>
    </row>
    <row r="67" spans="12:28" x14ac:dyDescent="0.3">
      <c r="L67" s="1">
        <f t="shared" si="11"/>
        <v>1.1030865786509914E-2</v>
      </c>
      <c r="M67" s="1">
        <f t="shared" si="12"/>
        <v>2.0000000000000001E-4</v>
      </c>
    </row>
    <row r="68" spans="12:28" x14ac:dyDescent="0.3">
      <c r="L68" s="1">
        <f t="shared" si="11"/>
        <v>1.2303657992645878E-2</v>
      </c>
      <c r="M68" s="1">
        <f t="shared" si="12"/>
        <v>2.0000000000000001E-4</v>
      </c>
    </row>
    <row r="69" spans="12:28" x14ac:dyDescent="0.3">
      <c r="L69" s="1">
        <f t="shared" si="11"/>
        <v>1.187939392393389E-2</v>
      </c>
      <c r="M69" s="1">
        <f t="shared" si="12"/>
        <v>2.0000000000000001E-4</v>
      </c>
    </row>
    <row r="70" spans="12:28" x14ac:dyDescent="0.3">
      <c r="L70" s="1">
        <f t="shared" si="11"/>
        <v>1.187939392393389E-2</v>
      </c>
      <c r="M70" s="1">
        <f>$M$47</f>
        <v>2.0000000000000001E-4</v>
      </c>
    </row>
    <row r="74" spans="12:28" ht="15.6" x14ac:dyDescent="0.3">
      <c r="Q74" s="65" t="s">
        <v>86</v>
      </c>
      <c r="R74" s="66"/>
      <c r="S74" s="66"/>
      <c r="T74" s="67"/>
      <c r="Y74" s="65" t="s">
        <v>95</v>
      </c>
      <c r="Z74" s="66"/>
      <c r="AA74" s="66"/>
      <c r="AB74" s="67"/>
    </row>
    <row r="75" spans="12:28" x14ac:dyDescent="0.3">
      <c r="Q75" s="4" t="s">
        <v>3</v>
      </c>
      <c r="R75" s="22">
        <f t="array" ref="R75:S77">LINEST(K6:K29,D6:D29,1,1)</f>
        <v>0.9742187358704657</v>
      </c>
      <c r="S75" s="11">
        <v>-3.8122425676262557</v>
      </c>
      <c r="T75" s="4" t="s">
        <v>5</v>
      </c>
      <c r="Y75" s="4" t="s">
        <v>3</v>
      </c>
      <c r="Z75" s="22">
        <f t="array" ref="Z75:AA77">LINEST(P6:P29,D6:D29,1,1)</f>
        <v>0.97100385320806937</v>
      </c>
      <c r="AA75" s="11">
        <v>-3.795360938392732</v>
      </c>
      <c r="AB75" s="4" t="s">
        <v>5</v>
      </c>
    </row>
    <row r="76" spans="12:28" x14ac:dyDescent="0.3">
      <c r="Q76" s="4" t="s">
        <v>2</v>
      </c>
      <c r="R76" s="22">
        <v>3.8909864121383616E-3</v>
      </c>
      <c r="S76" s="11">
        <v>1.4814583329665145E-2</v>
      </c>
      <c r="T76" s="4" t="s">
        <v>6</v>
      </c>
      <c r="Y76" s="4" t="s">
        <v>2</v>
      </c>
      <c r="Z76" s="22">
        <v>3.8416290529148015E-3</v>
      </c>
      <c r="AA76" s="11">
        <v>1.4626659591646281E-2</v>
      </c>
      <c r="AB76" s="4" t="s">
        <v>6</v>
      </c>
    </row>
    <row r="77" spans="12:28" x14ac:dyDescent="0.3">
      <c r="Q77" s="4" t="s">
        <v>4</v>
      </c>
      <c r="R77" s="10">
        <v>0.99964918611764197</v>
      </c>
      <c r="S77" s="22">
        <v>2.8998488648865803E-3</v>
      </c>
      <c r="T77" s="4" t="s">
        <v>7</v>
      </c>
      <c r="Y77" s="4" t="s">
        <v>4</v>
      </c>
      <c r="Z77" s="10">
        <v>0.99965575939134466</v>
      </c>
      <c r="AA77" s="22">
        <v>2.8630641355254769E-3</v>
      </c>
      <c r="AB77" s="4" t="s">
        <v>7</v>
      </c>
    </row>
  </sheetData>
  <mergeCells count="21">
    <mergeCell ref="Q74:T74"/>
    <mergeCell ref="Y74:AB74"/>
    <mergeCell ref="M2:N2"/>
    <mergeCell ref="R3:S3"/>
    <mergeCell ref="R4:S4"/>
    <mergeCell ref="R2:S2"/>
    <mergeCell ref="R6:U6"/>
    <mergeCell ref="L4:P4"/>
    <mergeCell ref="U56:V56"/>
    <mergeCell ref="S47:W47"/>
    <mergeCell ref="S48:T48"/>
    <mergeCell ref="V48:W48"/>
    <mergeCell ref="U54:V54"/>
    <mergeCell ref="U55:V55"/>
    <mergeCell ref="E4:E5"/>
    <mergeCell ref="C4:C5"/>
    <mergeCell ref="B4:B5"/>
    <mergeCell ref="AB6:AE6"/>
    <mergeCell ref="G4:K4"/>
    <mergeCell ref="D4:D5"/>
    <mergeCell ref="F4:F5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Y154"/>
  <sheetViews>
    <sheetView topLeftCell="V77" zoomScale="115" zoomScaleNormal="115" workbookViewId="0">
      <selection activeCell="AA85" sqref="AA85"/>
    </sheetView>
  </sheetViews>
  <sheetFormatPr defaultColWidth="8.88671875" defaultRowHeight="14.4" x14ac:dyDescent="0.3"/>
  <cols>
    <col min="1" max="1" width="6.6640625" style="2" customWidth="1"/>
    <col min="2" max="2" width="13" style="2" customWidth="1"/>
    <col min="3" max="3" width="8.88671875" style="2"/>
    <col min="4" max="4" width="10.44140625" style="2" customWidth="1"/>
    <col min="5" max="5" width="9.33203125" style="2" customWidth="1"/>
    <col min="6" max="6" width="14.5546875" style="2" bestFit="1" customWidth="1"/>
    <col min="7" max="7" width="13.33203125" style="2" bestFit="1" customWidth="1"/>
    <col min="8" max="8" width="13.33203125" style="2" customWidth="1"/>
    <col min="9" max="9" width="15.109375" style="2" bestFit="1" customWidth="1"/>
    <col min="10" max="10" width="14.109375" style="2" bestFit="1" customWidth="1"/>
    <col min="11" max="11" width="13.109375" style="2" bestFit="1" customWidth="1"/>
    <col min="12" max="12" width="11.109375" style="2" bestFit="1" customWidth="1"/>
    <col min="13" max="13" width="16.33203125" style="2" customWidth="1"/>
    <col min="14" max="14" width="14.88671875" style="2" customWidth="1"/>
    <col min="15" max="15" width="13.88671875" style="2" bestFit="1" customWidth="1"/>
    <col min="16" max="16" width="9.44140625" style="2" bestFit="1" customWidth="1"/>
    <col min="17" max="17" width="10.109375" style="2" bestFit="1" customWidth="1"/>
    <col min="18" max="18" width="10.109375" style="2" customWidth="1"/>
    <col min="19" max="21" width="8.88671875" style="2"/>
    <col min="22" max="22" width="9.6640625" style="2" bestFit="1" customWidth="1"/>
    <col min="23" max="23" width="10.44140625" style="2" bestFit="1" customWidth="1"/>
    <col min="24" max="24" width="10.88671875" style="2" bestFit="1" customWidth="1"/>
    <col min="25" max="25" width="11.44140625" style="2" bestFit="1" customWidth="1"/>
    <col min="26" max="28" width="8.88671875" style="2"/>
    <col min="29" max="29" width="9.6640625" style="2" customWidth="1"/>
    <col min="30" max="30" width="9" style="2" bestFit="1" customWidth="1"/>
    <col min="31" max="33" width="8.88671875" style="2"/>
    <col min="34" max="34" width="9.5546875" style="2" bestFit="1" customWidth="1"/>
    <col min="35" max="35" width="10.33203125" style="2" bestFit="1" customWidth="1"/>
    <col min="36" max="38" width="8.88671875" style="2"/>
    <col min="39" max="39" width="10.33203125" style="2" customWidth="1"/>
    <col min="40" max="41" width="8.88671875" style="2"/>
    <col min="42" max="43" width="10.88671875" style="2" customWidth="1"/>
    <col min="44" max="46" width="8.88671875" style="2"/>
    <col min="47" max="47" width="14" style="2" customWidth="1"/>
    <col min="48" max="48" width="13.44140625" style="2" bestFit="1" customWidth="1"/>
    <col min="49" max="49" width="12.88671875" style="2" bestFit="1" customWidth="1"/>
    <col min="50" max="50" width="15.109375" style="2" bestFit="1" customWidth="1"/>
    <col min="51" max="51" width="14.109375" style="2" bestFit="1" customWidth="1"/>
    <col min="52" max="52" width="8.88671875" style="2"/>
    <col min="53" max="53" width="9.5546875" style="2" bestFit="1" customWidth="1"/>
    <col min="54" max="54" width="16.88671875" style="2" bestFit="1" customWidth="1"/>
    <col min="55" max="55" width="12" style="2" bestFit="1" customWidth="1"/>
    <col min="56" max="56" width="9.6640625" style="2" bestFit="1" customWidth="1"/>
    <col min="57" max="57" width="10.44140625" style="2" bestFit="1" customWidth="1"/>
    <col min="58" max="61" width="8.88671875" style="2"/>
    <col min="62" max="62" width="9" style="2" bestFit="1" customWidth="1"/>
    <col min="63" max="63" width="9.44140625" style="2" bestFit="1" customWidth="1"/>
    <col min="64" max="70" width="8.88671875" style="2"/>
    <col min="71" max="71" width="9.6640625" style="2" bestFit="1" customWidth="1"/>
    <col min="72" max="72" width="10.44140625" style="2" bestFit="1" customWidth="1"/>
    <col min="73" max="16384" width="8.88671875" style="2"/>
  </cols>
  <sheetData>
    <row r="1" spans="1:77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  <c r="AQ1" s="13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5"/>
    </row>
    <row r="2" spans="1:77" ht="15.6" x14ac:dyDescent="0.3">
      <c r="A2" s="16"/>
      <c r="E2" s="75" t="s">
        <v>21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V2" s="59" t="s">
        <v>8</v>
      </c>
      <c r="W2" s="59"/>
      <c r="X2" s="59"/>
      <c r="Y2" s="59"/>
      <c r="AF2" s="59" t="s">
        <v>9</v>
      </c>
      <c r="AG2" s="59"/>
      <c r="AH2" s="59"/>
      <c r="AI2" s="59"/>
      <c r="AP2" s="17"/>
      <c r="AQ2" s="16"/>
      <c r="AT2" s="75" t="s">
        <v>20</v>
      </c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I2" s="59" t="s">
        <v>8</v>
      </c>
      <c r="BJ2" s="59"/>
      <c r="BK2" s="59"/>
      <c r="BL2" s="59"/>
      <c r="BR2" s="59" t="s">
        <v>9</v>
      </c>
      <c r="BS2" s="59"/>
      <c r="BT2" s="59"/>
      <c r="BU2" s="59"/>
      <c r="BY2" s="17"/>
    </row>
    <row r="3" spans="1:77" ht="17.25" customHeight="1" x14ac:dyDescent="0.3">
      <c r="A3" s="16"/>
      <c r="E3" s="59" t="s">
        <v>77</v>
      </c>
      <c r="F3" s="63" t="s">
        <v>74</v>
      </c>
      <c r="G3" s="63" t="s">
        <v>75</v>
      </c>
      <c r="H3" s="63" t="s">
        <v>101</v>
      </c>
      <c r="I3" s="71" t="s">
        <v>13</v>
      </c>
      <c r="J3" s="71"/>
      <c r="K3" s="71"/>
      <c r="L3" s="71"/>
      <c r="M3" s="68" t="s">
        <v>12</v>
      </c>
      <c r="N3" s="68"/>
      <c r="O3" s="68"/>
      <c r="P3" s="68"/>
      <c r="V3" s="4" t="s">
        <v>3</v>
      </c>
      <c r="W3" s="11">
        <f t="array" ref="W3:X5">LINEST(J5:J18,H5:H18,1,1)</f>
        <v>2.0569168522726002</v>
      </c>
      <c r="X3" s="11">
        <v>-1.9138154832750498E-2</v>
      </c>
      <c r="Y3" s="4" t="s">
        <v>5</v>
      </c>
      <c r="AF3" s="4" t="s">
        <v>3</v>
      </c>
      <c r="AG3" s="11">
        <f t="array" ref="AG3:AH5">LINEST(N5:N18,H5:H18,1,1)</f>
        <v>2.0588004291285094</v>
      </c>
      <c r="AH3" s="11">
        <v>9.9441503352100113E-3</v>
      </c>
      <c r="AI3" s="4" t="s">
        <v>5</v>
      </c>
      <c r="AP3" s="17"/>
      <c r="AQ3" s="16"/>
      <c r="AT3" s="59" t="s">
        <v>77</v>
      </c>
      <c r="AU3" s="59" t="s">
        <v>74</v>
      </c>
      <c r="AV3" s="59" t="s">
        <v>75</v>
      </c>
      <c r="AW3" s="59" t="s">
        <v>101</v>
      </c>
      <c r="AX3" s="76" t="s">
        <v>13</v>
      </c>
      <c r="AY3" s="77"/>
      <c r="AZ3" s="77"/>
      <c r="BA3" s="78"/>
      <c r="BB3" s="79" t="s">
        <v>12</v>
      </c>
      <c r="BC3" s="79"/>
      <c r="BD3" s="79"/>
      <c r="BE3" s="79"/>
      <c r="BI3" s="4" t="s">
        <v>3</v>
      </c>
      <c r="BJ3" s="11">
        <f t="array" ref="BJ3:BK5">LINEST(AY5:AY17,AW5:AW17,1,1)</f>
        <v>1.8560098755304553</v>
      </c>
      <c r="BK3" s="11">
        <v>-5.9278915393391807E-2</v>
      </c>
      <c r="BL3" s="4" t="s">
        <v>5</v>
      </c>
      <c r="BR3" s="4" t="s">
        <v>3</v>
      </c>
      <c r="BS3" s="11">
        <f t="array" ref="BS3:BT5">LINEST(BC5:BC17,AW5:AW17,1,1)</f>
        <v>1.8949176675281203</v>
      </c>
      <c r="BT3" s="11">
        <v>-5.0383473473315732E-2</v>
      </c>
      <c r="BU3" s="4" t="s">
        <v>5</v>
      </c>
      <c r="BY3" s="17"/>
    </row>
    <row r="4" spans="1:77" ht="15.6" x14ac:dyDescent="0.3">
      <c r="A4" s="16"/>
      <c r="E4" s="59"/>
      <c r="F4" s="64"/>
      <c r="G4" s="64"/>
      <c r="H4" s="64"/>
      <c r="I4" s="3" t="s">
        <v>80</v>
      </c>
      <c r="J4" s="3" t="s">
        <v>76</v>
      </c>
      <c r="K4" s="21" t="s">
        <v>0</v>
      </c>
      <c r="L4" s="21" t="s">
        <v>1</v>
      </c>
      <c r="M4" s="21" t="s">
        <v>79</v>
      </c>
      <c r="N4" s="3" t="s">
        <v>78</v>
      </c>
      <c r="O4" s="21" t="s">
        <v>0</v>
      </c>
      <c r="P4" s="21" t="s">
        <v>1</v>
      </c>
      <c r="V4" s="4" t="s">
        <v>2</v>
      </c>
      <c r="W4" s="11">
        <v>3.1949145292599096E-2</v>
      </c>
      <c r="X4" s="11">
        <v>1.8750404054763192E-2</v>
      </c>
      <c r="Y4" s="4" t="s">
        <v>6</v>
      </c>
      <c r="AF4" s="4" t="s">
        <v>2</v>
      </c>
      <c r="AG4" s="11">
        <v>2.4072986318655079E-2</v>
      </c>
      <c r="AH4" s="11">
        <v>1.4128021771653752E-2</v>
      </c>
      <c r="AI4" s="4" t="s">
        <v>6</v>
      </c>
      <c r="AP4" s="17"/>
      <c r="AQ4" s="16"/>
      <c r="AT4" s="59"/>
      <c r="AU4" s="59"/>
      <c r="AV4" s="59"/>
      <c r="AW4" s="59"/>
      <c r="AX4" s="3" t="s">
        <v>80</v>
      </c>
      <c r="AY4" s="3" t="s">
        <v>76</v>
      </c>
      <c r="AZ4" s="3" t="s">
        <v>0</v>
      </c>
      <c r="BA4" s="3" t="s">
        <v>1</v>
      </c>
      <c r="BB4" s="21" t="s">
        <v>79</v>
      </c>
      <c r="BC4" s="3" t="s">
        <v>78</v>
      </c>
      <c r="BD4" s="3" t="s">
        <v>0</v>
      </c>
      <c r="BE4" s="3" t="s">
        <v>1</v>
      </c>
      <c r="BI4" s="4" t="s">
        <v>2</v>
      </c>
      <c r="BJ4" s="11">
        <v>1.8268398517575203E-2</v>
      </c>
      <c r="BK4" s="11">
        <v>1.0344600014045822E-2</v>
      </c>
      <c r="BL4" s="4" t="s">
        <v>6</v>
      </c>
      <c r="BR4" s="4" t="s">
        <v>2</v>
      </c>
      <c r="BS4" s="11">
        <v>2.3215211311644401E-2</v>
      </c>
      <c r="BT4" s="11">
        <v>1.3145765077845982E-2</v>
      </c>
      <c r="BU4" s="4" t="s">
        <v>6</v>
      </c>
      <c r="BY4" s="17"/>
    </row>
    <row r="5" spans="1:77" x14ac:dyDescent="0.3">
      <c r="A5" s="16"/>
      <c r="E5" s="1">
        <v>1501</v>
      </c>
      <c r="F5" s="12">
        <f t="shared" ref="F5:F18" si="0">2*PI()*E5</f>
        <v>9431.0611460765595</v>
      </c>
      <c r="G5" s="22">
        <v>0.308</v>
      </c>
      <c r="H5" s="22">
        <f t="shared" ref="H5:H18" si="1">G5*SQRT(2)</f>
        <v>0.43557777721091329</v>
      </c>
      <c r="I5" s="10">
        <v>0.63239999999999996</v>
      </c>
      <c r="J5" s="10">
        <f t="shared" ref="J5:J17" si="2">I5*SQRT(2)</f>
        <v>0.89434865684474529</v>
      </c>
      <c r="K5" s="10">
        <f t="shared" ref="K5:K18" si="3">H5*W$3+X$3</f>
        <v>0.87680911558781716</v>
      </c>
      <c r="L5" s="10">
        <f>J5-K5</f>
        <v>1.7539541256928137E-2</v>
      </c>
      <c r="M5" s="11">
        <v>1.84</v>
      </c>
      <c r="N5" s="11">
        <f>M5/2</f>
        <v>0.92</v>
      </c>
      <c r="O5" s="11">
        <f t="shared" ref="O5:O18" si="4">H5*AG$3+AH$3</f>
        <v>0.90671186497588052</v>
      </c>
      <c r="P5" s="31">
        <f t="shared" ref="P5:P18" si="5">N5-O5</f>
        <v>1.3288135024119518E-2</v>
      </c>
      <c r="R5" s="45"/>
      <c r="V5" s="4" t="s">
        <v>4</v>
      </c>
      <c r="W5" s="22">
        <v>0.99711323956182729</v>
      </c>
      <c r="X5" s="11">
        <v>1.0209282122496003E-2</v>
      </c>
      <c r="Y5" s="4" t="s">
        <v>7</v>
      </c>
      <c r="AF5" s="4" t="s">
        <v>4</v>
      </c>
      <c r="AG5" s="22">
        <v>0.99836204959469066</v>
      </c>
      <c r="AH5" s="11">
        <v>7.692472102377881E-3</v>
      </c>
      <c r="AI5" s="4" t="s">
        <v>7</v>
      </c>
      <c r="AP5" s="17"/>
      <c r="AQ5" s="16"/>
      <c r="AT5" s="1">
        <v>1302</v>
      </c>
      <c r="AU5" s="12">
        <f>2*PI()*AT5</f>
        <v>8180.7072699478213</v>
      </c>
      <c r="AV5" s="22">
        <v>0.498</v>
      </c>
      <c r="AW5" s="10">
        <f t="shared" ref="AW5:AW17" si="6">AV5*SQRT(2)</f>
        <v>0.70427835406180139</v>
      </c>
      <c r="AX5" s="10">
        <v>0.88570000000000004</v>
      </c>
      <c r="AY5" s="10">
        <f t="shared" ref="AY5:AY17" si="7">AX5*SQRT(2)</f>
        <v>1.2525689521938503</v>
      </c>
      <c r="AZ5" s="10">
        <f t="shared" ref="AZ5:AZ17" si="8">AW5*BJ$3+BK$3</f>
        <v>1.2478686648676462</v>
      </c>
      <c r="BA5" s="10">
        <f>AY5-AZ5</f>
        <v>4.700287326204089E-3</v>
      </c>
      <c r="BB5" s="11">
        <v>2.58</v>
      </c>
      <c r="BC5" s="11">
        <f>BB5/2</f>
        <v>1.29</v>
      </c>
      <c r="BD5" s="11">
        <f t="shared" ref="BD5:BD17" si="9">AW5*BS$3+BT$3</f>
        <v>1.2841660224960165</v>
      </c>
      <c r="BE5" s="31">
        <f>BC5-BD5</f>
        <v>5.8339775039835118E-3</v>
      </c>
      <c r="BI5" s="4" t="s">
        <v>4</v>
      </c>
      <c r="BJ5" s="10">
        <v>0.99893543914034943</v>
      </c>
      <c r="BK5" s="22">
        <v>5.7049356353866456E-3</v>
      </c>
      <c r="BL5" s="4" t="s">
        <v>7</v>
      </c>
      <c r="BR5" s="4" t="s">
        <v>4</v>
      </c>
      <c r="BS5" s="22">
        <v>0.99835168264397656</v>
      </c>
      <c r="BT5" s="22">
        <v>7.2497480371591138E-3</v>
      </c>
      <c r="BU5" s="4" t="s">
        <v>7</v>
      </c>
      <c r="BY5" s="17"/>
    </row>
    <row r="6" spans="1:77" x14ac:dyDescent="0.3">
      <c r="A6" s="16"/>
      <c r="E6" s="1">
        <v>1501</v>
      </c>
      <c r="F6" s="12">
        <f t="shared" si="0"/>
        <v>9431.0611460765595</v>
      </c>
      <c r="G6" s="22">
        <v>0.32</v>
      </c>
      <c r="H6" s="22">
        <f t="shared" si="1"/>
        <v>0.45254833995939048</v>
      </c>
      <c r="I6" s="10">
        <v>0.65459999999999996</v>
      </c>
      <c r="J6" s="10">
        <f t="shared" si="2"/>
        <v>0.92574419792942797</v>
      </c>
      <c r="K6" s="10">
        <f t="shared" si="3"/>
        <v>0.91171615209770951</v>
      </c>
      <c r="L6" s="10">
        <f t="shared" ref="L6:L18" si="10">J6-K6</f>
        <v>1.4028045831718461E-2</v>
      </c>
      <c r="M6" s="11">
        <v>1.9</v>
      </c>
      <c r="N6" s="11">
        <f t="shared" ref="N6:N18" si="11">M6/2</f>
        <v>0.95</v>
      </c>
      <c r="O6" s="11">
        <f t="shared" si="4"/>
        <v>0.94165086684499766</v>
      </c>
      <c r="P6" s="31">
        <f t="shared" si="5"/>
        <v>8.3491331550022974E-3</v>
      </c>
      <c r="R6" s="45"/>
      <c r="AP6" s="17"/>
      <c r="AQ6" s="16"/>
      <c r="AT6" s="1">
        <v>1302</v>
      </c>
      <c r="AU6" s="12">
        <f t="shared" ref="AU6:AU17" si="12">2*PI()*AT6</f>
        <v>8180.7072699478213</v>
      </c>
      <c r="AV6" s="22">
        <v>0.48</v>
      </c>
      <c r="AW6" s="10">
        <f t="shared" si="6"/>
        <v>0.67882250993908566</v>
      </c>
      <c r="AX6" s="10">
        <v>0.85040000000000004</v>
      </c>
      <c r="AY6" s="10">
        <f t="shared" si="7"/>
        <v>1.2026472134420803</v>
      </c>
      <c r="AZ6" s="10">
        <f t="shared" si="8"/>
        <v>1.2006223667859217</v>
      </c>
      <c r="BA6" s="10">
        <f t="shared" ref="BA6:BA17" si="13">AY6-AZ6</f>
        <v>2.024846656158541E-3</v>
      </c>
      <c r="BB6" s="11">
        <v>2.46</v>
      </c>
      <c r="BC6" s="11">
        <f t="shared" ref="BC6:BC17" si="14">BB6/2</f>
        <v>1.23</v>
      </c>
      <c r="BD6" s="11">
        <f t="shared" si="9"/>
        <v>1.2359292937260407</v>
      </c>
      <c r="BE6" s="31">
        <f t="shared" ref="BE6:BE17" si="15">BC6-BD6</f>
        <v>-5.9292937260406742E-3</v>
      </c>
      <c r="BY6" s="17"/>
    </row>
    <row r="7" spans="1:77" x14ac:dyDescent="0.3">
      <c r="A7" s="16"/>
      <c r="E7" s="1">
        <v>1501</v>
      </c>
      <c r="F7" s="12">
        <f t="shared" si="0"/>
        <v>9431.0611460765595</v>
      </c>
      <c r="G7" s="22">
        <v>0.34399999999999997</v>
      </c>
      <c r="H7" s="22">
        <f t="shared" si="1"/>
        <v>0.48648946545634469</v>
      </c>
      <c r="I7" s="10">
        <v>0.69110000000000005</v>
      </c>
      <c r="J7" s="10">
        <f t="shared" si="2"/>
        <v>0.97736299295604612</v>
      </c>
      <c r="K7" s="10">
        <f t="shared" si="3"/>
        <v>0.98153022511749399</v>
      </c>
      <c r="L7" s="10">
        <f t="shared" si="10"/>
        <v>-4.1672321614478758E-3</v>
      </c>
      <c r="M7" s="11">
        <v>2.02</v>
      </c>
      <c r="N7" s="11">
        <f t="shared" si="11"/>
        <v>1.01</v>
      </c>
      <c r="O7" s="11">
        <f t="shared" si="4"/>
        <v>1.0115288705832315</v>
      </c>
      <c r="P7" s="31">
        <f t="shared" si="5"/>
        <v>-1.5288705832314786E-3</v>
      </c>
      <c r="R7" s="45"/>
      <c r="AP7" s="17"/>
      <c r="AQ7" s="16"/>
      <c r="AT7" s="1">
        <v>1302</v>
      </c>
      <c r="AU7" s="12">
        <f t="shared" si="12"/>
        <v>8180.7072699478213</v>
      </c>
      <c r="AV7" s="22">
        <v>0.46700000000000003</v>
      </c>
      <c r="AW7" s="10">
        <f t="shared" si="6"/>
        <v>0.66043773362823543</v>
      </c>
      <c r="AX7" s="10">
        <v>0.82809999999999995</v>
      </c>
      <c r="AY7" s="10">
        <f t="shared" si="7"/>
        <v>1.17111025100116</v>
      </c>
      <c r="AZ7" s="10">
        <f t="shared" si="8"/>
        <v>1.1665000403935655</v>
      </c>
      <c r="BA7" s="10">
        <f t="shared" si="13"/>
        <v>4.6102106075944782E-3</v>
      </c>
      <c r="BB7" s="11">
        <v>2.41</v>
      </c>
      <c r="BC7" s="11">
        <f t="shared" si="14"/>
        <v>1.2050000000000001</v>
      </c>
      <c r="BD7" s="11">
        <f t="shared" si="9"/>
        <v>1.2010916562810581</v>
      </c>
      <c r="BE7" s="31">
        <f t="shared" si="15"/>
        <v>3.9083437189419978E-3</v>
      </c>
      <c r="BY7" s="17"/>
    </row>
    <row r="8" spans="1:77" x14ac:dyDescent="0.3">
      <c r="A8" s="16"/>
      <c r="E8" s="1">
        <v>1501</v>
      </c>
      <c r="F8" s="12">
        <f t="shared" si="0"/>
        <v>9431.0611460765595</v>
      </c>
      <c r="G8" s="22">
        <v>0.35699999999999998</v>
      </c>
      <c r="H8" s="22">
        <f t="shared" si="1"/>
        <v>0.50487424176719498</v>
      </c>
      <c r="I8" s="10">
        <v>0.71550000000000002</v>
      </c>
      <c r="J8" s="10">
        <f t="shared" si="2"/>
        <v>1.0118698038779497</v>
      </c>
      <c r="K8" s="10">
        <f t="shared" si="3"/>
        <v>1.0193461813365439</v>
      </c>
      <c r="L8" s="10">
        <f t="shared" si="10"/>
        <v>-7.4763774585941967E-3</v>
      </c>
      <c r="M8" s="11">
        <v>2.08</v>
      </c>
      <c r="N8" s="11">
        <f t="shared" si="11"/>
        <v>1.04</v>
      </c>
      <c r="O8" s="11">
        <f t="shared" si="4"/>
        <v>1.0493794559414418</v>
      </c>
      <c r="P8" s="31">
        <f t="shared" si="5"/>
        <v>-9.3794559414417389E-3</v>
      </c>
      <c r="R8" s="45"/>
      <c r="AP8" s="17"/>
      <c r="AQ8" s="16"/>
      <c r="AT8" s="1">
        <v>1302</v>
      </c>
      <c r="AU8" s="12">
        <f t="shared" si="12"/>
        <v>8180.7072699478213</v>
      </c>
      <c r="AV8" s="22">
        <v>0.439</v>
      </c>
      <c r="AW8" s="10">
        <f t="shared" si="6"/>
        <v>0.6208397538817888</v>
      </c>
      <c r="AX8" s="10">
        <v>0.77380000000000004</v>
      </c>
      <c r="AY8" s="10">
        <f t="shared" si="7"/>
        <v>1.094318454564301</v>
      </c>
      <c r="AZ8" s="10">
        <f t="shared" si="8"/>
        <v>1.0930057989331057</v>
      </c>
      <c r="BA8" s="10">
        <f t="shared" si="13"/>
        <v>1.3126556311953141E-3</v>
      </c>
      <c r="BB8" s="11">
        <v>2.2599999999999998</v>
      </c>
      <c r="BC8" s="11">
        <f t="shared" si="14"/>
        <v>1.1299999999999999</v>
      </c>
      <c r="BD8" s="11">
        <f t="shared" si="9"/>
        <v>1.1260567448610959</v>
      </c>
      <c r="BE8" s="31">
        <f t="shared" si="15"/>
        <v>3.9432551389040338E-3</v>
      </c>
      <c r="BY8" s="17"/>
    </row>
    <row r="9" spans="1:77" x14ac:dyDescent="0.3">
      <c r="A9" s="16"/>
      <c r="E9" s="1">
        <v>1501</v>
      </c>
      <c r="F9" s="12">
        <f t="shared" si="0"/>
        <v>9431.0611460765595</v>
      </c>
      <c r="G9" s="22">
        <v>0.372</v>
      </c>
      <c r="H9" s="22">
        <f t="shared" si="1"/>
        <v>0.52608744520279138</v>
      </c>
      <c r="I9" s="10">
        <v>0.74339999999999995</v>
      </c>
      <c r="J9" s="10">
        <f t="shared" si="2"/>
        <v>1.0513263622681588</v>
      </c>
      <c r="K9" s="10">
        <f t="shared" si="3"/>
        <v>1.0629799769739092</v>
      </c>
      <c r="L9" s="10">
        <f t="shared" si="10"/>
        <v>-1.1653614705750437E-2</v>
      </c>
      <c r="M9" s="11">
        <v>2.1800000000000002</v>
      </c>
      <c r="N9" s="11">
        <f t="shared" si="11"/>
        <v>1.0900000000000001</v>
      </c>
      <c r="O9" s="11">
        <f t="shared" si="4"/>
        <v>1.0930532082778381</v>
      </c>
      <c r="P9" s="31">
        <f t="shared" si="5"/>
        <v>-3.0532082778380598E-3</v>
      </c>
      <c r="R9" s="45"/>
      <c r="AP9" s="17"/>
      <c r="AQ9" s="16"/>
      <c r="AT9" s="1">
        <v>1302</v>
      </c>
      <c r="AU9" s="12">
        <f t="shared" si="12"/>
        <v>8180.7072699478213</v>
      </c>
      <c r="AV9" s="22">
        <v>0.42099999999999999</v>
      </c>
      <c r="AW9" s="10">
        <f t="shared" si="6"/>
        <v>0.59538390975907307</v>
      </c>
      <c r="AX9" s="10">
        <v>0.73729999999999996</v>
      </c>
      <c r="AY9" s="10">
        <f t="shared" si="7"/>
        <v>1.042699659537683</v>
      </c>
      <c r="AZ9" s="10">
        <f t="shared" si="8"/>
        <v>1.0457595008513811</v>
      </c>
      <c r="BA9" s="10">
        <f t="shared" si="13"/>
        <v>-3.0598413136981861E-3</v>
      </c>
      <c r="BB9" s="11">
        <v>2.16</v>
      </c>
      <c r="BC9" s="11">
        <f t="shared" si="14"/>
        <v>1.08</v>
      </c>
      <c r="BD9" s="11">
        <f t="shared" si="9"/>
        <v>1.0778200160911198</v>
      </c>
      <c r="BE9" s="31">
        <f t="shared" si="15"/>
        <v>2.1799839088803008E-3</v>
      </c>
      <c r="BY9" s="17"/>
    </row>
    <row r="10" spans="1:77" x14ac:dyDescent="0.3">
      <c r="A10" s="16"/>
      <c r="E10" s="1">
        <v>1501</v>
      </c>
      <c r="F10" s="12">
        <f t="shared" si="0"/>
        <v>9431.0611460765595</v>
      </c>
      <c r="G10" s="22">
        <v>0.39300000000000002</v>
      </c>
      <c r="H10" s="22">
        <f t="shared" si="1"/>
        <v>0.55578593001262644</v>
      </c>
      <c r="I10" s="10">
        <v>0.78510000000000002</v>
      </c>
      <c r="J10" s="10">
        <f t="shared" si="2"/>
        <v>1.1102990678191171</v>
      </c>
      <c r="K10" s="10">
        <f t="shared" si="3"/>
        <v>1.1240672908662208</v>
      </c>
      <c r="L10" s="10">
        <f t="shared" si="10"/>
        <v>-1.3768223047103678E-2</v>
      </c>
      <c r="M10" s="11">
        <v>2.29</v>
      </c>
      <c r="N10" s="11">
        <f t="shared" si="11"/>
        <v>1.145</v>
      </c>
      <c r="O10" s="11">
        <f t="shared" si="4"/>
        <v>1.154196461548793</v>
      </c>
      <c r="P10" s="31">
        <f t="shared" si="5"/>
        <v>-9.1964615487929446E-3</v>
      </c>
      <c r="R10" s="45"/>
      <c r="AP10" s="17"/>
      <c r="AQ10" s="16"/>
      <c r="AT10" s="1">
        <v>1302</v>
      </c>
      <c r="AU10" s="12">
        <f t="shared" si="12"/>
        <v>8180.7072699478213</v>
      </c>
      <c r="AV10" s="22">
        <v>0.41</v>
      </c>
      <c r="AW10" s="10">
        <f t="shared" si="6"/>
        <v>0.57982756057296903</v>
      </c>
      <c r="AX10" s="10">
        <v>0.7167</v>
      </c>
      <c r="AY10" s="10">
        <f t="shared" si="7"/>
        <v>1.0135668601527974</v>
      </c>
      <c r="AZ10" s="10">
        <f t="shared" si="8"/>
        <v>1.0168867631347718</v>
      </c>
      <c r="BA10" s="10">
        <f t="shared" si="13"/>
        <v>-3.3199029819743764E-3</v>
      </c>
      <c r="BB10" s="11">
        <v>2.1</v>
      </c>
      <c r="BC10" s="11">
        <f t="shared" si="14"/>
        <v>1.05</v>
      </c>
      <c r="BD10" s="11">
        <f t="shared" si="9"/>
        <v>1.0483420151761347</v>
      </c>
      <c r="BE10" s="31">
        <f t="shared" si="15"/>
        <v>1.6579848238653661E-3</v>
      </c>
      <c r="BY10" s="17"/>
    </row>
    <row r="11" spans="1:77" x14ac:dyDescent="0.3">
      <c r="A11" s="16"/>
      <c r="E11" s="1">
        <v>1501</v>
      </c>
      <c r="F11" s="12">
        <f t="shared" si="0"/>
        <v>9431.0611460765595</v>
      </c>
      <c r="G11" s="22">
        <v>0.41199999999999998</v>
      </c>
      <c r="H11" s="22">
        <f t="shared" si="1"/>
        <v>0.58265598769771521</v>
      </c>
      <c r="I11" s="10">
        <v>0.82720000000000005</v>
      </c>
      <c r="J11" s="10">
        <f t="shared" si="2"/>
        <v>1.1698374587950244</v>
      </c>
      <c r="K11" s="10">
        <f t="shared" si="3"/>
        <v>1.1793367653402167</v>
      </c>
      <c r="L11" s="10">
        <f t="shared" si="10"/>
        <v>-9.4993065451922654E-3</v>
      </c>
      <c r="M11" s="11">
        <v>2.4</v>
      </c>
      <c r="N11" s="11">
        <f t="shared" si="11"/>
        <v>1.2</v>
      </c>
      <c r="O11" s="11">
        <f t="shared" si="4"/>
        <v>1.2095165478415615</v>
      </c>
      <c r="P11" s="31">
        <f t="shared" si="5"/>
        <v>-9.516547841561529E-3</v>
      </c>
      <c r="R11" s="45"/>
      <c r="AP11" s="17"/>
      <c r="AQ11" s="16"/>
      <c r="AT11" s="1">
        <v>1302</v>
      </c>
      <c r="AU11" s="12">
        <f t="shared" si="12"/>
        <v>8180.7072699478213</v>
      </c>
      <c r="AV11" s="22">
        <v>0.39500000000000002</v>
      </c>
      <c r="AW11" s="10">
        <f t="shared" si="6"/>
        <v>0.55861435713737262</v>
      </c>
      <c r="AX11" s="10">
        <v>0.68769999999999998</v>
      </c>
      <c r="AY11" s="10">
        <f t="shared" si="7"/>
        <v>0.97255466684397751</v>
      </c>
      <c r="AZ11" s="10">
        <f t="shared" si="8"/>
        <v>0.97751484806666833</v>
      </c>
      <c r="BA11" s="10">
        <f t="shared" si="13"/>
        <v>-4.9601812226908182E-3</v>
      </c>
      <c r="BB11" s="11">
        <v>2.0099999999999998</v>
      </c>
      <c r="BC11" s="11">
        <f t="shared" si="14"/>
        <v>1.0049999999999999</v>
      </c>
      <c r="BD11" s="11">
        <f t="shared" si="9"/>
        <v>1.0081447412011548</v>
      </c>
      <c r="BE11" s="31">
        <f t="shared" si="15"/>
        <v>-3.1447412011549325E-3</v>
      </c>
      <c r="BY11" s="17"/>
    </row>
    <row r="12" spans="1:77" x14ac:dyDescent="0.3">
      <c r="A12" s="16"/>
      <c r="E12" s="1">
        <v>1501</v>
      </c>
      <c r="F12" s="12">
        <f t="shared" si="0"/>
        <v>9431.0611460765595</v>
      </c>
      <c r="G12" s="22">
        <v>0.42799999999999999</v>
      </c>
      <c r="H12" s="22">
        <f t="shared" si="1"/>
        <v>0.60528340469568476</v>
      </c>
      <c r="I12" s="10">
        <v>0.86240000000000006</v>
      </c>
      <c r="J12" s="10">
        <f t="shared" si="2"/>
        <v>1.2196177761905573</v>
      </c>
      <c r="K12" s="10">
        <f t="shared" si="3"/>
        <v>1.2258794806867399</v>
      </c>
      <c r="L12" s="10">
        <f t="shared" si="10"/>
        <v>-6.2617044961825741E-3</v>
      </c>
      <c r="M12" s="11">
        <v>2.5</v>
      </c>
      <c r="N12" s="11">
        <f t="shared" si="11"/>
        <v>1.25</v>
      </c>
      <c r="O12" s="11">
        <f t="shared" si="4"/>
        <v>1.256101883667051</v>
      </c>
      <c r="P12" s="31">
        <f t="shared" si="5"/>
        <v>-6.1018836670510002E-3</v>
      </c>
      <c r="R12" s="45"/>
      <c r="AP12" s="17"/>
      <c r="AQ12" s="16"/>
      <c r="AT12" s="1">
        <v>1302</v>
      </c>
      <c r="AU12" s="12">
        <f t="shared" si="12"/>
        <v>8180.7072699478213</v>
      </c>
      <c r="AV12" s="22">
        <v>0.378</v>
      </c>
      <c r="AW12" s="10">
        <f t="shared" si="6"/>
        <v>0.53457272657702992</v>
      </c>
      <c r="AX12" s="10">
        <v>0.65459999999999996</v>
      </c>
      <c r="AY12" s="10">
        <f t="shared" si="7"/>
        <v>0.92574419792942797</v>
      </c>
      <c r="AZ12" s="10">
        <f t="shared" si="8"/>
        <v>0.93289334432281756</v>
      </c>
      <c r="BA12" s="10">
        <f t="shared" si="13"/>
        <v>-7.1491463933895938E-3</v>
      </c>
      <c r="BB12" s="11">
        <v>1.9</v>
      </c>
      <c r="BC12" s="11">
        <f t="shared" si="14"/>
        <v>0.95</v>
      </c>
      <c r="BD12" s="11">
        <f t="shared" si="9"/>
        <v>0.96258783069617748</v>
      </c>
      <c r="BE12" s="31">
        <f t="shared" si="15"/>
        <v>-1.2587830696177527E-2</v>
      </c>
      <c r="BY12" s="17"/>
    </row>
    <row r="13" spans="1:77" x14ac:dyDescent="0.3">
      <c r="A13" s="16"/>
      <c r="E13" s="1">
        <v>1501</v>
      </c>
      <c r="F13" s="12">
        <f t="shared" si="0"/>
        <v>9431.0611460765595</v>
      </c>
      <c r="G13" s="22">
        <v>0.439</v>
      </c>
      <c r="H13" s="22">
        <f t="shared" si="1"/>
        <v>0.6208397538817888</v>
      </c>
      <c r="I13" s="10">
        <v>0.88680000000000003</v>
      </c>
      <c r="J13" s="10">
        <f t="shared" si="2"/>
        <v>1.2541245871124609</v>
      </c>
      <c r="K13" s="10">
        <f t="shared" si="3"/>
        <v>1.2578775974874743</v>
      </c>
      <c r="L13" s="10">
        <f t="shared" si="10"/>
        <v>-3.7530103750134103E-3</v>
      </c>
      <c r="M13" s="11">
        <v>2.58</v>
      </c>
      <c r="N13" s="11">
        <f t="shared" si="11"/>
        <v>1.29</v>
      </c>
      <c r="O13" s="11">
        <f t="shared" si="4"/>
        <v>1.288129302047075</v>
      </c>
      <c r="P13" s="31">
        <f t="shared" si="5"/>
        <v>1.8706979529250489E-3</v>
      </c>
      <c r="R13" s="45"/>
      <c r="AP13" s="17"/>
      <c r="AQ13" s="16"/>
      <c r="AT13" s="1">
        <v>1302</v>
      </c>
      <c r="AU13" s="12">
        <f t="shared" si="12"/>
        <v>8180.7072699478213</v>
      </c>
      <c r="AV13" s="22">
        <v>0.36299999999999999</v>
      </c>
      <c r="AW13" s="10">
        <f t="shared" si="6"/>
        <v>0.51335952314143352</v>
      </c>
      <c r="AX13" s="10">
        <v>0.62680000000000002</v>
      </c>
      <c r="AY13" s="10">
        <f t="shared" si="7"/>
        <v>0.88642906089545603</v>
      </c>
      <c r="AZ13" s="10">
        <f t="shared" si="8"/>
        <v>0.89352142925471412</v>
      </c>
      <c r="BA13" s="10">
        <f t="shared" si="13"/>
        <v>-7.0923683592580833E-3</v>
      </c>
      <c r="BB13" s="11">
        <v>1.84</v>
      </c>
      <c r="BC13" s="11">
        <f t="shared" si="14"/>
        <v>0.92</v>
      </c>
      <c r="BD13" s="11">
        <f t="shared" si="9"/>
        <v>0.92239055672119752</v>
      </c>
      <c r="BE13" s="31">
        <f t="shared" si="15"/>
        <v>-2.3905567211974788E-3</v>
      </c>
      <c r="BY13" s="17"/>
    </row>
    <row r="14" spans="1:77" x14ac:dyDescent="0.3">
      <c r="A14" s="16"/>
      <c r="E14" s="1">
        <v>1501</v>
      </c>
      <c r="F14" s="12">
        <f t="shared" si="0"/>
        <v>9431.0611460765595</v>
      </c>
      <c r="G14" s="22">
        <v>0.44800000000000001</v>
      </c>
      <c r="H14" s="22">
        <f t="shared" si="1"/>
        <v>0.63356767594314667</v>
      </c>
      <c r="I14" s="10">
        <v>0.90659999999999996</v>
      </c>
      <c r="J14" s="10">
        <f t="shared" si="2"/>
        <v>1.2821260156474481</v>
      </c>
      <c r="K14" s="10">
        <f t="shared" si="3"/>
        <v>1.2840578748698936</v>
      </c>
      <c r="L14" s="10">
        <f t="shared" si="10"/>
        <v>-1.9318592224455422E-3</v>
      </c>
      <c r="M14" s="11">
        <v>2.62</v>
      </c>
      <c r="N14" s="11">
        <f t="shared" si="11"/>
        <v>1.31</v>
      </c>
      <c r="O14" s="11">
        <f t="shared" si="4"/>
        <v>1.3143335534489127</v>
      </c>
      <c r="P14" s="31">
        <f t="shared" si="5"/>
        <v>-4.3335534489126193E-3</v>
      </c>
      <c r="R14" s="45"/>
      <c r="AP14" s="17"/>
      <c r="AQ14" s="16"/>
      <c r="AT14" s="1">
        <v>1302</v>
      </c>
      <c r="AU14" s="12">
        <f t="shared" si="12"/>
        <v>8180.7072699478213</v>
      </c>
      <c r="AV14" s="22">
        <v>0.34599999999999997</v>
      </c>
      <c r="AW14" s="10">
        <f t="shared" si="6"/>
        <v>0.48931789258109087</v>
      </c>
      <c r="AX14" s="10">
        <v>0.59809999999999997</v>
      </c>
      <c r="AY14" s="10">
        <f t="shared" si="7"/>
        <v>0.84584113165534813</v>
      </c>
      <c r="AZ14" s="10">
        <f t="shared" si="8"/>
        <v>0.84889992551086335</v>
      </c>
      <c r="BA14" s="10">
        <f t="shared" si="13"/>
        <v>-3.0587938555152183E-3</v>
      </c>
      <c r="BB14" s="11">
        <v>1.74</v>
      </c>
      <c r="BC14" s="11">
        <f t="shared" si="14"/>
        <v>0.87</v>
      </c>
      <c r="BD14" s="11">
        <f t="shared" si="9"/>
        <v>0.87683364621622029</v>
      </c>
      <c r="BE14" s="31">
        <f t="shared" si="15"/>
        <v>-6.8336462162202904E-3</v>
      </c>
      <c r="BY14" s="17"/>
    </row>
    <row r="15" spans="1:77" x14ac:dyDescent="0.3">
      <c r="A15" s="16"/>
      <c r="E15" s="1">
        <v>1501</v>
      </c>
      <c r="F15" s="12">
        <f t="shared" si="0"/>
        <v>9431.0611460765595</v>
      </c>
      <c r="G15" s="22">
        <v>0.46700000000000003</v>
      </c>
      <c r="H15" s="22">
        <f t="shared" si="1"/>
        <v>0.66043773362823543</v>
      </c>
      <c r="I15" s="10">
        <v>0.95020000000000004</v>
      </c>
      <c r="J15" s="10">
        <f t="shared" si="2"/>
        <v>1.3437857269669151</v>
      </c>
      <c r="K15" s="10">
        <f t="shared" si="3"/>
        <v>1.3393273493438895</v>
      </c>
      <c r="L15" s="10">
        <f t="shared" si="10"/>
        <v>4.4583776230255889E-3</v>
      </c>
      <c r="M15" s="11">
        <v>2.74</v>
      </c>
      <c r="N15" s="11">
        <f t="shared" si="11"/>
        <v>1.37</v>
      </c>
      <c r="O15" s="11">
        <f t="shared" si="4"/>
        <v>1.3696536397416812</v>
      </c>
      <c r="P15" s="31">
        <f t="shared" si="5"/>
        <v>3.4636025831891182E-4</v>
      </c>
      <c r="R15" s="45"/>
      <c r="AP15" s="17"/>
      <c r="AQ15" s="16"/>
      <c r="AT15" s="1">
        <v>1302</v>
      </c>
      <c r="AU15" s="12">
        <f t="shared" si="12"/>
        <v>8180.7072699478213</v>
      </c>
      <c r="AV15" s="22">
        <v>0.32900000000000001</v>
      </c>
      <c r="AW15" s="10">
        <f t="shared" si="6"/>
        <v>0.46527626202074834</v>
      </c>
      <c r="AX15" s="10">
        <v>0.56799999999999995</v>
      </c>
      <c r="AY15" s="10">
        <f t="shared" si="7"/>
        <v>0.80327330342791792</v>
      </c>
      <c r="AZ15" s="10">
        <f t="shared" si="8"/>
        <v>0.80427842176701281</v>
      </c>
      <c r="BA15" s="10">
        <f t="shared" si="13"/>
        <v>-1.0051183390948903E-3</v>
      </c>
      <c r="BB15" s="11">
        <v>1.66</v>
      </c>
      <c r="BC15" s="11">
        <f t="shared" si="14"/>
        <v>0.83</v>
      </c>
      <c r="BD15" s="11">
        <f t="shared" si="9"/>
        <v>0.83127673571124328</v>
      </c>
      <c r="BE15" s="31">
        <f t="shared" si="15"/>
        <v>-1.2767357112433153E-3</v>
      </c>
      <c r="BY15" s="17"/>
    </row>
    <row r="16" spans="1:77" x14ac:dyDescent="0.3">
      <c r="A16" s="16"/>
      <c r="E16" s="1">
        <v>1501</v>
      </c>
      <c r="F16" s="12">
        <f t="shared" si="0"/>
        <v>9431.0611460765595</v>
      </c>
      <c r="G16" s="22">
        <v>0.47799999999999998</v>
      </c>
      <c r="H16" s="22">
        <f t="shared" si="1"/>
        <v>0.67599408281433948</v>
      </c>
      <c r="I16" s="10">
        <v>0.97399999999999998</v>
      </c>
      <c r="J16" s="10">
        <f t="shared" si="2"/>
        <v>1.3774440097513947</v>
      </c>
      <c r="K16" s="10">
        <f t="shared" si="3"/>
        <v>1.3713254661446241</v>
      </c>
      <c r="L16" s="10">
        <f t="shared" si="10"/>
        <v>6.1185436067705545E-3</v>
      </c>
      <c r="M16" s="11">
        <v>2.82</v>
      </c>
      <c r="N16" s="11">
        <f t="shared" si="11"/>
        <v>1.41</v>
      </c>
      <c r="O16" s="11">
        <f t="shared" si="4"/>
        <v>1.4016810581217052</v>
      </c>
      <c r="P16" s="31">
        <f t="shared" si="5"/>
        <v>8.3189418782947389E-3</v>
      </c>
      <c r="R16" s="45"/>
      <c r="AP16" s="17"/>
      <c r="AQ16" s="16"/>
      <c r="AT16" s="1">
        <v>1302</v>
      </c>
      <c r="AU16" s="12">
        <f t="shared" si="12"/>
        <v>8180.7072699478213</v>
      </c>
      <c r="AV16" s="22">
        <v>0.314</v>
      </c>
      <c r="AW16" s="10">
        <f t="shared" si="6"/>
        <v>0.44406305858515188</v>
      </c>
      <c r="AX16" s="10">
        <v>0.54549999999999998</v>
      </c>
      <c r="AY16" s="10">
        <f t="shared" si="7"/>
        <v>0.77145349827452336</v>
      </c>
      <c r="AZ16" s="10">
        <f t="shared" si="8"/>
        <v>0.76490650669890925</v>
      </c>
      <c r="BA16" s="10">
        <f t="shared" si="13"/>
        <v>6.5469915756141139E-3</v>
      </c>
      <c r="BB16" s="11">
        <v>1.58</v>
      </c>
      <c r="BC16" s="11">
        <f t="shared" si="14"/>
        <v>0.79</v>
      </c>
      <c r="BD16" s="11">
        <f t="shared" si="9"/>
        <v>0.79107946173626331</v>
      </c>
      <c r="BE16" s="31">
        <f t="shared" si="15"/>
        <v>-1.0794617362632764E-3</v>
      </c>
      <c r="BY16" s="17"/>
    </row>
    <row r="17" spans="1:77" x14ac:dyDescent="0.3">
      <c r="A17" s="16"/>
      <c r="E17" s="1">
        <v>1501</v>
      </c>
      <c r="F17" s="12">
        <f t="shared" si="0"/>
        <v>9431.0611460765595</v>
      </c>
      <c r="G17" s="22">
        <v>0.48599999999999999</v>
      </c>
      <c r="H17" s="22">
        <f t="shared" si="1"/>
        <v>0.6873077913133242</v>
      </c>
      <c r="I17" s="10">
        <v>0.99039999999999995</v>
      </c>
      <c r="J17" s="10">
        <f t="shared" si="2"/>
        <v>1.4006371121743133</v>
      </c>
      <c r="K17" s="10">
        <f t="shared" si="3"/>
        <v>1.3945968238178856</v>
      </c>
      <c r="L17" s="10">
        <f t="shared" si="10"/>
        <v>6.0402883564276699E-3</v>
      </c>
      <c r="M17" s="11">
        <v>2.86</v>
      </c>
      <c r="N17" s="11">
        <f t="shared" si="11"/>
        <v>1.43</v>
      </c>
      <c r="O17" s="11">
        <f t="shared" si="4"/>
        <v>1.4249737260344499</v>
      </c>
      <c r="P17" s="31">
        <f t="shared" si="5"/>
        <v>5.0262739655499988E-3</v>
      </c>
      <c r="R17" s="45"/>
      <c r="AP17" s="17"/>
      <c r="AQ17" s="16"/>
      <c r="AT17" s="1">
        <v>1302</v>
      </c>
      <c r="AU17" s="12">
        <f t="shared" si="12"/>
        <v>8180.7072699478213</v>
      </c>
      <c r="AV17" s="22">
        <v>0.30399999999999999</v>
      </c>
      <c r="AW17" s="10">
        <f t="shared" si="6"/>
        <v>0.42992092296142093</v>
      </c>
      <c r="AX17" s="10">
        <v>0.52969999999999995</v>
      </c>
      <c r="AY17" s="10">
        <f t="shared" si="7"/>
        <v>0.7491089239890284</v>
      </c>
      <c r="AZ17" s="10">
        <f t="shared" si="8"/>
        <v>0.73865856332017354</v>
      </c>
      <c r="BA17" s="10">
        <f t="shared" si="13"/>
        <v>1.0450360668854852E-2</v>
      </c>
      <c r="BB17" s="11">
        <v>1.56</v>
      </c>
      <c r="BC17" s="11">
        <f t="shared" si="14"/>
        <v>0.78</v>
      </c>
      <c r="BD17" s="11">
        <f t="shared" si="9"/>
        <v>0.76428127908627674</v>
      </c>
      <c r="BE17" s="31">
        <f t="shared" si="15"/>
        <v>1.5718720913723283E-2</v>
      </c>
      <c r="BY17" s="17"/>
    </row>
    <row r="18" spans="1:77" x14ac:dyDescent="0.3">
      <c r="A18" s="16"/>
      <c r="E18" s="1">
        <v>1501</v>
      </c>
      <c r="F18" s="12">
        <f t="shared" si="0"/>
        <v>9431.0611460765595</v>
      </c>
      <c r="G18" s="22">
        <v>0.496</v>
      </c>
      <c r="H18" s="22">
        <f t="shared" si="1"/>
        <v>0.70144992693705521</v>
      </c>
      <c r="I18" s="10">
        <v>1.014</v>
      </c>
      <c r="J18" s="10">
        <f>I18*SQRT(2)</f>
        <v>1.4340125522463185</v>
      </c>
      <c r="K18" s="10">
        <f t="shared" si="3"/>
        <v>1.4236860209094626</v>
      </c>
      <c r="L18" s="10">
        <f t="shared" si="10"/>
        <v>1.0326531336855904E-2</v>
      </c>
      <c r="M18" s="11">
        <v>2.92</v>
      </c>
      <c r="N18" s="11">
        <f t="shared" si="11"/>
        <v>1.46</v>
      </c>
      <c r="O18" s="11">
        <f t="shared" si="4"/>
        <v>1.4540895609253808</v>
      </c>
      <c r="P18" s="31">
        <f t="shared" si="5"/>
        <v>5.9104390746191893E-3</v>
      </c>
      <c r="R18" s="45"/>
      <c r="AP18" s="17"/>
      <c r="AQ18" s="16"/>
      <c r="BY18" s="17"/>
    </row>
    <row r="19" spans="1:77" x14ac:dyDescent="0.3">
      <c r="A19" s="16"/>
      <c r="AP19" s="17"/>
      <c r="AQ19" s="16"/>
      <c r="BY19" s="17"/>
    </row>
    <row r="20" spans="1:77" x14ac:dyDescent="0.3">
      <c r="A20" s="16"/>
      <c r="B20" s="59" t="s">
        <v>16</v>
      </c>
      <c r="C20" s="59"/>
      <c r="D20" s="1">
        <f>ω!C1</f>
        <v>1E-3</v>
      </c>
      <c r="AP20" s="17"/>
      <c r="AQ20" s="16"/>
      <c r="BY20" s="17"/>
    </row>
    <row r="21" spans="1:77" x14ac:dyDescent="0.3">
      <c r="A21" s="16"/>
      <c r="B21" s="59" t="s">
        <v>15</v>
      </c>
      <c r="C21" s="59"/>
      <c r="D21" s="1">
        <f>ω!F2</f>
        <v>0</v>
      </c>
      <c r="AP21" s="17"/>
      <c r="AQ21" s="16"/>
      <c r="BY21" s="17"/>
    </row>
    <row r="22" spans="1:77" x14ac:dyDescent="0.3">
      <c r="A22" s="16"/>
      <c r="B22" s="59" t="s">
        <v>59</v>
      </c>
      <c r="C22" s="59"/>
      <c r="D22" s="1">
        <f>ω!C2</f>
        <v>6.2831853071795862</v>
      </c>
      <c r="AP22" s="17"/>
      <c r="AQ22" s="16"/>
      <c r="BY22" s="17"/>
    </row>
    <row r="23" spans="1:77" x14ac:dyDescent="0.3">
      <c r="A23" s="16"/>
      <c r="B23" s="59" t="s">
        <v>18</v>
      </c>
      <c r="C23" s="59"/>
      <c r="D23" s="1">
        <f>ω!J2</f>
        <v>1</v>
      </c>
      <c r="AP23" s="17"/>
      <c r="AQ23" s="16"/>
      <c r="BY23" s="17"/>
    </row>
    <row r="24" spans="1:77" x14ac:dyDescent="0.3">
      <c r="A24" s="16"/>
      <c r="B24" s="59" t="s">
        <v>60</v>
      </c>
      <c r="C24" s="59"/>
      <c r="D24" s="1">
        <f>ω!O2</f>
        <v>1E-4</v>
      </c>
      <c r="AP24" s="17"/>
      <c r="AQ24" s="16"/>
      <c r="BY24" s="17"/>
    </row>
    <row r="25" spans="1:77" ht="15.6" x14ac:dyDescent="0.3">
      <c r="A25" s="16"/>
      <c r="B25" s="59" t="s">
        <v>66</v>
      </c>
      <c r="C25" s="59"/>
      <c r="D25" s="1">
        <f>ω!T2</f>
        <v>1.4142135623730951E-4</v>
      </c>
      <c r="AP25" s="17"/>
      <c r="AQ25" s="16"/>
      <c r="BY25" s="17"/>
    </row>
    <row r="26" spans="1:77" x14ac:dyDescent="0.3">
      <c r="A26" s="16"/>
      <c r="B26" s="59" t="s">
        <v>62</v>
      </c>
      <c r="C26" s="59"/>
      <c r="D26" s="1">
        <f>ω!T3</f>
        <v>1E-4</v>
      </c>
      <c r="AP26" s="17"/>
      <c r="AQ26" s="16"/>
      <c r="BY26" s="17"/>
    </row>
    <row r="27" spans="1:77" ht="15.6" x14ac:dyDescent="0.3">
      <c r="A27" s="16"/>
      <c r="B27" s="59" t="s">
        <v>67</v>
      </c>
      <c r="C27" s="59"/>
      <c r="D27" s="29">
        <f>ω!T4</f>
        <v>1.4142135623730951E-4</v>
      </c>
      <c r="AP27" s="17"/>
      <c r="AQ27" s="16"/>
      <c r="BY27" s="17"/>
    </row>
    <row r="28" spans="1:77" x14ac:dyDescent="0.3">
      <c r="A28" s="16"/>
      <c r="B28" s="59" t="s">
        <v>63</v>
      </c>
      <c r="C28" s="59"/>
      <c r="D28" s="1">
        <f>ω!W2</f>
        <v>1E-3</v>
      </c>
      <c r="AP28" s="17"/>
      <c r="AQ28" s="16"/>
      <c r="BY28" s="17"/>
    </row>
    <row r="29" spans="1:77" x14ac:dyDescent="0.3">
      <c r="A29" s="16"/>
      <c r="B29" s="59" t="s">
        <v>64</v>
      </c>
      <c r="C29" s="59"/>
      <c r="D29" s="1">
        <f>ω!W3</f>
        <v>1.4142135623730952E-3</v>
      </c>
      <c r="AP29" s="17"/>
      <c r="AQ29" s="16"/>
      <c r="BY29" s="17"/>
    </row>
    <row r="30" spans="1:77" x14ac:dyDescent="0.3">
      <c r="A30" s="16"/>
      <c r="AP30" s="17"/>
      <c r="AQ30" s="16"/>
      <c r="BY30" s="17"/>
    </row>
    <row r="31" spans="1:77" x14ac:dyDescent="0.3">
      <c r="A31" s="16"/>
      <c r="AP31" s="17"/>
      <c r="AQ31" s="16"/>
      <c r="BY31" s="17"/>
    </row>
    <row r="32" spans="1:77" x14ac:dyDescent="0.3">
      <c r="A32" s="16"/>
      <c r="AP32" s="17"/>
      <c r="AQ32" s="16"/>
      <c r="BY32" s="17"/>
    </row>
    <row r="33" spans="1:77" x14ac:dyDescent="0.3">
      <c r="A33" s="16"/>
      <c r="AP33" s="17"/>
      <c r="AQ33" s="16"/>
      <c r="BY33" s="17"/>
    </row>
    <row r="34" spans="1:77" x14ac:dyDescent="0.3">
      <c r="A34" s="16"/>
      <c r="AP34" s="17"/>
      <c r="AQ34" s="16"/>
      <c r="BY34" s="17"/>
    </row>
    <row r="35" spans="1:77" x14ac:dyDescent="0.3">
      <c r="A35" s="16"/>
      <c r="AP35" s="17"/>
      <c r="AQ35" s="16"/>
      <c r="BY35" s="17"/>
    </row>
    <row r="36" spans="1:77" x14ac:dyDescent="0.3">
      <c r="A36" s="16"/>
      <c r="AP36" s="17"/>
      <c r="AQ36" s="16"/>
      <c r="BY36" s="17"/>
    </row>
    <row r="37" spans="1:77" x14ac:dyDescent="0.3">
      <c r="A37" s="16"/>
      <c r="AP37" s="17"/>
      <c r="AQ37" s="16"/>
      <c r="BY37" s="17"/>
    </row>
    <row r="38" spans="1:77" x14ac:dyDescent="0.3">
      <c r="A38" s="16"/>
      <c r="AP38" s="17"/>
      <c r="AQ38" s="16"/>
      <c r="BY38" s="17"/>
    </row>
    <row r="39" spans="1:77" x14ac:dyDescent="0.3">
      <c r="A39" s="16"/>
      <c r="AP39" s="17"/>
      <c r="AQ39" s="16"/>
      <c r="BY39" s="17"/>
    </row>
    <row r="40" spans="1:77" x14ac:dyDescent="0.3">
      <c r="A40" s="16"/>
      <c r="AP40" s="17"/>
      <c r="AQ40" s="16"/>
      <c r="BY40" s="17"/>
    </row>
    <row r="41" spans="1:77" x14ac:dyDescent="0.3">
      <c r="A41" s="16"/>
      <c r="AP41" s="17"/>
      <c r="AQ41" s="16"/>
      <c r="BY41" s="17"/>
    </row>
    <row r="42" spans="1:77" x14ac:dyDescent="0.3">
      <c r="A42" s="16"/>
      <c r="AP42" s="17"/>
      <c r="AQ42" s="16"/>
      <c r="BY42" s="17"/>
    </row>
    <row r="43" spans="1:77" x14ac:dyDescent="0.3">
      <c r="A43" s="16"/>
      <c r="AP43" s="17"/>
      <c r="AQ43" s="16"/>
      <c r="BY43" s="17"/>
    </row>
    <row r="44" spans="1:77" x14ac:dyDescent="0.3">
      <c r="A44" s="16"/>
      <c r="AP44" s="17"/>
      <c r="AQ44" s="16"/>
      <c r="BY44" s="17"/>
    </row>
    <row r="45" spans="1:77" x14ac:dyDescent="0.3">
      <c r="A45" s="16"/>
      <c r="AP45" s="17"/>
      <c r="AQ45" s="16"/>
      <c r="BY45" s="17"/>
    </row>
    <row r="46" spans="1:77" x14ac:dyDescent="0.3">
      <c r="A46" s="16"/>
      <c r="AP46" s="17"/>
      <c r="AQ46" s="16"/>
      <c r="BY46" s="17"/>
    </row>
    <row r="47" spans="1:77" x14ac:dyDescent="0.3">
      <c r="A47" s="16"/>
      <c r="AP47" s="17"/>
      <c r="AQ47" s="16"/>
      <c r="BY47" s="17"/>
    </row>
    <row r="48" spans="1:77" x14ac:dyDescent="0.3">
      <c r="A48" s="16"/>
      <c r="AP48" s="17"/>
      <c r="AQ48" s="16"/>
      <c r="BY48" s="17"/>
    </row>
    <row r="49" spans="1:77" ht="15" thickBot="1" x14ac:dyDescent="0.3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0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20"/>
    </row>
    <row r="50" spans="1:77" x14ac:dyDescent="0.3">
      <c r="AQ50" s="16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5"/>
    </row>
    <row r="51" spans="1:77" x14ac:dyDescent="0.3">
      <c r="AQ51" s="16"/>
      <c r="BY51" s="17"/>
    </row>
    <row r="52" spans="1:77" x14ac:dyDescent="0.3">
      <c r="AQ52" s="16"/>
      <c r="BY52" s="17"/>
    </row>
    <row r="53" spans="1:77" x14ac:dyDescent="0.3">
      <c r="AQ53" s="16"/>
      <c r="BY53" s="17"/>
    </row>
    <row r="54" spans="1:77" x14ac:dyDescent="0.3">
      <c r="AQ54" s="16"/>
      <c r="BY54" s="17"/>
    </row>
    <row r="55" spans="1:77" x14ac:dyDescent="0.3">
      <c r="AQ55" s="16"/>
      <c r="BY55" s="17"/>
    </row>
    <row r="56" spans="1:77" x14ac:dyDescent="0.3">
      <c r="AQ56" s="16"/>
      <c r="BY56" s="17"/>
    </row>
    <row r="57" spans="1:77" x14ac:dyDescent="0.3">
      <c r="AQ57" s="16"/>
      <c r="BY57" s="17"/>
    </row>
    <row r="58" spans="1:77" x14ac:dyDescent="0.3">
      <c r="AQ58" s="16"/>
      <c r="BY58" s="17"/>
    </row>
    <row r="59" spans="1:77" ht="15.6" x14ac:dyDescent="0.3">
      <c r="E59" s="72" t="s">
        <v>100</v>
      </c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AQ59" s="16"/>
      <c r="AT59" s="75" t="s">
        <v>102</v>
      </c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I59" s="59" t="s">
        <v>8</v>
      </c>
      <c r="BJ59" s="59"/>
      <c r="BK59" s="59"/>
      <c r="BL59" s="59"/>
      <c r="BR59" s="59" t="s">
        <v>9</v>
      </c>
      <c r="BS59" s="59"/>
      <c r="BT59" s="59"/>
      <c r="BU59" s="59"/>
      <c r="BY59" s="17"/>
    </row>
    <row r="60" spans="1:77" ht="15.6" customHeight="1" x14ac:dyDescent="0.3">
      <c r="E60" s="59" t="s">
        <v>77</v>
      </c>
      <c r="F60" s="63" t="s">
        <v>74</v>
      </c>
      <c r="G60" s="63" t="s">
        <v>75</v>
      </c>
      <c r="H60" s="63" t="s">
        <v>101</v>
      </c>
      <c r="I60" s="76" t="s">
        <v>13</v>
      </c>
      <c r="J60" s="77"/>
      <c r="K60" s="77"/>
      <c r="L60" s="78"/>
      <c r="M60" s="80" t="s">
        <v>12</v>
      </c>
      <c r="N60" s="81"/>
      <c r="O60" s="81"/>
      <c r="P60" s="82"/>
      <c r="U60" s="59" t="s">
        <v>8</v>
      </c>
      <c r="V60" s="59"/>
      <c r="W60" s="59"/>
      <c r="X60" s="59"/>
      <c r="AA60" s="59" t="s">
        <v>8</v>
      </c>
      <c r="AB60" s="59"/>
      <c r="AC60" s="59"/>
      <c r="AD60" s="59"/>
      <c r="AQ60" s="16"/>
      <c r="AT60" s="59" t="s">
        <v>77</v>
      </c>
      <c r="AU60" s="59" t="s">
        <v>74</v>
      </c>
      <c r="AV60" s="59" t="s">
        <v>75</v>
      </c>
      <c r="AW60" s="59" t="s">
        <v>101</v>
      </c>
      <c r="AX60" s="76" t="s">
        <v>13</v>
      </c>
      <c r="AY60" s="77"/>
      <c r="AZ60" s="77"/>
      <c r="BA60" s="78"/>
      <c r="BB60" s="79" t="s">
        <v>12</v>
      </c>
      <c r="BC60" s="79"/>
      <c r="BD60" s="79"/>
      <c r="BE60" s="79"/>
      <c r="BI60" s="4" t="s">
        <v>3</v>
      </c>
      <c r="BJ60" s="11">
        <f t="array" ref="BJ60:BK62">LINEST(AY62:AY81,AW62:AW81,1,1)</f>
        <v>2.0119451002590227</v>
      </c>
      <c r="BK60" s="10">
        <v>8.8361325153019088E-4</v>
      </c>
      <c r="BL60" s="4" t="s">
        <v>5</v>
      </c>
      <c r="BR60" s="4" t="s">
        <v>3</v>
      </c>
      <c r="BS60" s="11">
        <f t="array" ref="BS60:BT62">LINEST(BC62:BC81,AW62:AW81,1,1)</f>
        <v>2.0446100989716602</v>
      </c>
      <c r="BT60" s="11">
        <v>1.4345534469972554E-2</v>
      </c>
      <c r="BU60" s="4" t="s">
        <v>5</v>
      </c>
      <c r="BY60" s="17"/>
    </row>
    <row r="61" spans="1:77" ht="15.6" x14ac:dyDescent="0.3">
      <c r="E61" s="59"/>
      <c r="F61" s="64"/>
      <c r="G61" s="64"/>
      <c r="H61" s="64"/>
      <c r="I61" s="3" t="s">
        <v>80</v>
      </c>
      <c r="J61" s="3" t="s">
        <v>76</v>
      </c>
      <c r="K61" s="3" t="s">
        <v>0</v>
      </c>
      <c r="L61" s="3" t="s">
        <v>1</v>
      </c>
      <c r="M61" s="21" t="s">
        <v>79</v>
      </c>
      <c r="N61" s="3" t="s">
        <v>78</v>
      </c>
      <c r="O61" s="3" t="s">
        <v>0</v>
      </c>
      <c r="P61" s="3" t="s">
        <v>1</v>
      </c>
      <c r="U61" s="4" t="s">
        <v>3</v>
      </c>
      <c r="V61" s="10">
        <f t="array" ref="V61:W63">LINEST(J62:J65,H62:H65,1,1)</f>
        <v>1.8344644557611889</v>
      </c>
      <c r="W61" s="10">
        <v>-4.8402880529161196E-2</v>
      </c>
      <c r="X61" s="4" t="s">
        <v>5</v>
      </c>
      <c r="AA61" s="4" t="s">
        <v>3</v>
      </c>
      <c r="AB61" s="10">
        <f t="array" ref="AB61:AC63">LINEST(N62:N65,H62:H65,1,1)</f>
        <v>1.8528385571148345</v>
      </c>
      <c r="AC61" s="10">
        <v>-2.716791564884935E-2</v>
      </c>
      <c r="AD61" s="4" t="s">
        <v>5</v>
      </c>
      <c r="AQ61" s="16"/>
      <c r="AT61" s="59"/>
      <c r="AU61" s="59"/>
      <c r="AV61" s="59"/>
      <c r="AW61" s="59"/>
      <c r="AX61" s="3" t="s">
        <v>80</v>
      </c>
      <c r="AY61" s="3" t="s">
        <v>76</v>
      </c>
      <c r="AZ61" s="3" t="s">
        <v>0</v>
      </c>
      <c r="BA61" s="3" t="s">
        <v>1</v>
      </c>
      <c r="BB61" s="21" t="s">
        <v>79</v>
      </c>
      <c r="BC61" s="3" t="s">
        <v>78</v>
      </c>
      <c r="BD61" s="3" t="s">
        <v>0</v>
      </c>
      <c r="BE61" s="3" t="s">
        <v>1</v>
      </c>
      <c r="BI61" s="4" t="s">
        <v>2</v>
      </c>
      <c r="BJ61" s="11">
        <v>3.0114964400467292E-2</v>
      </c>
      <c r="BK61" s="10">
        <v>1.7104485913794602E-2</v>
      </c>
      <c r="BL61" s="4" t="s">
        <v>6</v>
      </c>
      <c r="BR61" s="4" t="s">
        <v>2</v>
      </c>
      <c r="BS61" s="11">
        <v>3.2074919895328922E-2</v>
      </c>
      <c r="BT61" s="11">
        <v>1.8217687666508775E-2</v>
      </c>
      <c r="BU61" s="4" t="s">
        <v>6</v>
      </c>
      <c r="BY61" s="17"/>
    </row>
    <row r="62" spans="1:77" x14ac:dyDescent="0.3">
      <c r="E62" s="1">
        <v>1302</v>
      </c>
      <c r="F62" s="12">
        <f>2*PI()*E62</f>
        <v>8180.7072699478213</v>
      </c>
      <c r="G62" s="22">
        <v>0.47799999999999998</v>
      </c>
      <c r="H62" s="22">
        <f>G62*SQRT(2)</f>
        <v>0.67599408281433948</v>
      </c>
      <c r="I62" s="10">
        <v>0.8448</v>
      </c>
      <c r="J62" s="10">
        <f>I62*SQRT(2)</f>
        <v>1.1947276174927908</v>
      </c>
      <c r="K62" s="10">
        <f>H62*V$61+W$61</f>
        <v>1.1916842366986302</v>
      </c>
      <c r="L62" s="10">
        <f>J62-K62</f>
        <v>3.0433807941605551E-3</v>
      </c>
      <c r="M62" s="11">
        <v>2.46</v>
      </c>
      <c r="N62" s="11">
        <f>M62/2</f>
        <v>1.23</v>
      </c>
      <c r="O62" s="11">
        <f>H62*AB$61+AC$61</f>
        <v>1.2253399853710374</v>
      </c>
      <c r="P62" s="31">
        <f>N62-O62</f>
        <v>4.6600146289625943E-3</v>
      </c>
      <c r="R62" s="45"/>
      <c r="U62" s="4" t="s">
        <v>2</v>
      </c>
      <c r="V62" s="10">
        <v>4.2507302139920163E-2</v>
      </c>
      <c r="W62" s="10">
        <v>2.4220677917410099E-2</v>
      </c>
      <c r="X62" s="4" t="s">
        <v>6</v>
      </c>
      <c r="AA62" s="4" t="s">
        <v>2</v>
      </c>
      <c r="AB62" s="10">
        <v>3.5727030039375308E-2</v>
      </c>
      <c r="AC62" s="10">
        <v>2.0357276137661039E-2</v>
      </c>
      <c r="AD62" s="4" t="s">
        <v>6</v>
      </c>
      <c r="AQ62" s="16"/>
      <c r="AT62" s="1">
        <v>1501</v>
      </c>
      <c r="AU62" s="12">
        <f t="shared" ref="AU62:AU81" si="16">2*PI()*AT62</f>
        <v>9431.0611460765595</v>
      </c>
      <c r="AV62" s="22">
        <v>0.497</v>
      </c>
      <c r="AW62" s="10">
        <f t="shared" ref="AW62:AW81" si="17">AV62*SQRT(2)</f>
        <v>0.70286414049942825</v>
      </c>
      <c r="AX62" s="10">
        <v>1.0111000000000001</v>
      </c>
      <c r="AY62" s="10">
        <f t="shared" ref="AY62:AY81" si="18">AX62*SQRT(2)</f>
        <v>1.4299113329154367</v>
      </c>
      <c r="AZ62" s="10">
        <f t="shared" ref="AZ62:AZ81" si="19">AW62*BJ$60+BK$60</f>
        <v>1.4150076768771243</v>
      </c>
      <c r="BA62" s="10">
        <f t="shared" ref="BA62:BA81" si="20">AY62-AZ62</f>
        <v>1.4903656038312452E-2</v>
      </c>
      <c r="BB62" s="11">
        <v>2.92</v>
      </c>
      <c r="BC62" s="11">
        <f t="shared" ref="BC62:BC81" si="21">BB62/2</f>
        <v>1.46</v>
      </c>
      <c r="BD62" s="11">
        <f t="shared" ref="BD62:BD81" si="22">AW62*BS$60+BT$60</f>
        <v>1.4514286543401393</v>
      </c>
      <c r="BE62" s="31">
        <f t="shared" ref="BE62:BE81" si="23">BC62-BD62</f>
        <v>8.5713456598606186E-3</v>
      </c>
      <c r="BI62" s="4" t="s">
        <v>4</v>
      </c>
      <c r="BJ62" s="22">
        <v>0.99598341402394097</v>
      </c>
      <c r="BK62" s="11">
        <v>1.1250408198417088E-2</v>
      </c>
      <c r="BL62" s="4" t="s">
        <v>7</v>
      </c>
      <c r="BR62" s="4" t="s">
        <v>4</v>
      </c>
      <c r="BS62" s="22">
        <v>0.99558975130535743</v>
      </c>
      <c r="BT62" s="11">
        <v>1.1982612263967364E-2</v>
      </c>
      <c r="BU62" s="4" t="s">
        <v>7</v>
      </c>
      <c r="BY62" s="17"/>
    </row>
    <row r="63" spans="1:77" x14ac:dyDescent="0.3">
      <c r="E63" s="1">
        <v>1302</v>
      </c>
      <c r="F63" s="12">
        <f t="shared" ref="F63:F65" si="24">2*PI()*E63</f>
        <v>8180.7072699478213</v>
      </c>
      <c r="G63" s="22">
        <v>0.44500000000000001</v>
      </c>
      <c r="H63" s="22">
        <f>G63*SQRT(2)</f>
        <v>0.62932503525602734</v>
      </c>
      <c r="I63" s="10">
        <v>0.78156000000000003</v>
      </c>
      <c r="J63" s="10">
        <f>I63*SQRT(2)</f>
        <v>1.1052927518083162</v>
      </c>
      <c r="K63" s="10">
        <f>H63*V$61+W$61</f>
        <v>1.1060715277686781</v>
      </c>
      <c r="L63" s="10">
        <f>J63-K63</f>
        <v>-7.7877596036191044E-4</v>
      </c>
      <c r="M63" s="11">
        <v>2.27</v>
      </c>
      <c r="N63" s="11">
        <f>M63/2</f>
        <v>1.135</v>
      </c>
      <c r="O63" s="11">
        <f>H63*AB$61+AC$61</f>
        <v>1.1388697746311707</v>
      </c>
      <c r="P63" s="31">
        <f>N63-O63</f>
        <v>-3.8697746311706638E-3</v>
      </c>
      <c r="R63" s="45"/>
      <c r="U63" s="4" t="s">
        <v>4</v>
      </c>
      <c r="V63" s="10">
        <v>0.99892731461017292</v>
      </c>
      <c r="W63" s="1">
        <v>8.0908604796679287E-3</v>
      </c>
      <c r="X63" s="4" t="s">
        <v>7</v>
      </c>
      <c r="AA63" s="4" t="s">
        <v>4</v>
      </c>
      <c r="AB63" s="10">
        <v>0.99925693665501336</v>
      </c>
      <c r="AC63" s="10">
        <v>6.8003002037153879E-3</v>
      </c>
      <c r="AD63" s="4" t="s">
        <v>7</v>
      </c>
      <c r="AQ63" s="16"/>
      <c r="AT63" s="1">
        <v>1501</v>
      </c>
      <c r="AU63" s="12">
        <f t="shared" si="16"/>
        <v>9431.0611460765595</v>
      </c>
      <c r="AV63" s="22">
        <v>0.48099999999999998</v>
      </c>
      <c r="AW63" s="10">
        <f t="shared" si="17"/>
        <v>0.6802367235014587</v>
      </c>
      <c r="AX63" s="10">
        <v>0.97489999999999999</v>
      </c>
      <c r="AY63" s="10">
        <f t="shared" si="18"/>
        <v>1.3787168019575304</v>
      </c>
      <c r="AZ63" s="10">
        <f t="shared" si="19"/>
        <v>1.3694825561165416</v>
      </c>
      <c r="BA63" s="10">
        <f t="shared" si="20"/>
        <v>9.2342458409888639E-3</v>
      </c>
      <c r="BB63" s="11">
        <v>2.82</v>
      </c>
      <c r="BC63" s="11">
        <f t="shared" si="21"/>
        <v>1.41</v>
      </c>
      <c r="BD63" s="11">
        <f t="shared" si="22"/>
        <v>1.405164409032448</v>
      </c>
      <c r="BE63" s="31">
        <f t="shared" si="23"/>
        <v>4.8355909675519282E-3</v>
      </c>
      <c r="BY63" s="17"/>
    </row>
    <row r="64" spans="1:77" x14ac:dyDescent="0.3">
      <c r="E64" s="1">
        <v>1302</v>
      </c>
      <c r="F64" s="12">
        <f t="shared" si="24"/>
        <v>8180.7072699478213</v>
      </c>
      <c r="G64" s="22">
        <v>0.35599999999999998</v>
      </c>
      <c r="H64" s="22">
        <f>G64*SQRT(2)</f>
        <v>0.50346002820482183</v>
      </c>
      <c r="I64" s="10">
        <v>0.61260000000000003</v>
      </c>
      <c r="J64" s="10">
        <f>I64*SQRT(2)</f>
        <v>0.86634722830975819</v>
      </c>
      <c r="K64" s="10">
        <f>H64*V$61+W$61</f>
        <v>0.87517664610911006</v>
      </c>
      <c r="L64" s="10">
        <f>J64-K64</f>
        <v>-8.8294177993518685E-3</v>
      </c>
      <c r="M64" s="11">
        <v>1.8</v>
      </c>
      <c r="N64" s="11">
        <f>M64/2</f>
        <v>0.9</v>
      </c>
      <c r="O64" s="11">
        <f>H64*AB$61+AC$61</f>
        <v>0.90566223657516665</v>
      </c>
      <c r="P64" s="31">
        <f>N64-O64</f>
        <v>-5.6622365751666237E-3</v>
      </c>
      <c r="R64" s="45"/>
      <c r="AQ64" s="16"/>
      <c r="AT64" s="1">
        <v>1501</v>
      </c>
      <c r="AU64" s="12">
        <f t="shared" si="16"/>
        <v>9431.0611460765595</v>
      </c>
      <c r="AV64" s="22">
        <v>0.47499999999999998</v>
      </c>
      <c r="AW64" s="10">
        <f t="shared" si="17"/>
        <v>0.67175144212722016</v>
      </c>
      <c r="AX64" s="10">
        <v>0.96150000000000002</v>
      </c>
      <c r="AY64" s="10">
        <f t="shared" si="18"/>
        <v>1.359766340221731</v>
      </c>
      <c r="AZ64" s="10">
        <f t="shared" si="19"/>
        <v>1.3524106358313233</v>
      </c>
      <c r="BA64" s="10">
        <f t="shared" si="20"/>
        <v>7.3557043904077801E-3</v>
      </c>
      <c r="BB64" s="11">
        <v>2.78</v>
      </c>
      <c r="BC64" s="11">
        <f t="shared" si="21"/>
        <v>1.39</v>
      </c>
      <c r="BD64" s="11">
        <f t="shared" si="22"/>
        <v>1.3878153170420637</v>
      </c>
      <c r="BE64" s="31">
        <f t="shared" si="23"/>
        <v>2.1846829579361682E-3</v>
      </c>
      <c r="BY64" s="17"/>
    </row>
    <row r="65" spans="5:77" x14ac:dyDescent="0.3">
      <c r="E65" s="1">
        <v>1302</v>
      </c>
      <c r="F65" s="12">
        <f t="shared" si="24"/>
        <v>8180.7072699478213</v>
      </c>
      <c r="G65" s="22">
        <v>0.31</v>
      </c>
      <c r="H65" s="22">
        <f>G65*SQRT(2)</f>
        <v>0.43840620433565947</v>
      </c>
      <c r="I65" s="10">
        <v>0.53910000000000002</v>
      </c>
      <c r="J65" s="10">
        <f>I65*SQRT(2)</f>
        <v>0.76240253147533565</v>
      </c>
      <c r="K65" s="10">
        <f>H65*V$61+W$61</f>
        <v>0.75583771850978287</v>
      </c>
      <c r="L65" s="10">
        <f>J65-K65</f>
        <v>6.5648129655527798E-3</v>
      </c>
      <c r="M65" s="11">
        <v>1.58</v>
      </c>
      <c r="N65" s="11">
        <f>M65/2</f>
        <v>0.79</v>
      </c>
      <c r="O65" s="11">
        <f>H65*AB$61+AC$61</f>
        <v>0.78512800342262523</v>
      </c>
      <c r="P65" s="31">
        <f>N65-O65</f>
        <v>4.8719965773748042E-3</v>
      </c>
      <c r="R65" s="45"/>
      <c r="AQ65" s="16"/>
      <c r="AT65" s="1">
        <v>1501</v>
      </c>
      <c r="AU65" s="12">
        <f t="shared" si="16"/>
        <v>9431.0611460765595</v>
      </c>
      <c r="AV65" s="22">
        <v>0.46200000000000002</v>
      </c>
      <c r="AW65" s="10">
        <f t="shared" si="17"/>
        <v>0.65336666581637004</v>
      </c>
      <c r="AX65" s="10">
        <v>0.93489999999999995</v>
      </c>
      <c r="AY65" s="10">
        <f t="shared" si="18"/>
        <v>1.3221482594626066</v>
      </c>
      <c r="AZ65" s="10">
        <f t="shared" si="19"/>
        <v>1.3154214752133502</v>
      </c>
      <c r="BA65" s="10">
        <f t="shared" si="20"/>
        <v>6.7267842492564345E-3</v>
      </c>
      <c r="BB65" s="11">
        <v>2.74</v>
      </c>
      <c r="BC65" s="11">
        <f t="shared" si="21"/>
        <v>1.37</v>
      </c>
      <c r="BD65" s="11">
        <f t="shared" si="22"/>
        <v>1.3502256177295646</v>
      </c>
      <c r="BE65" s="31">
        <f t="shared" si="23"/>
        <v>1.9774382270435487E-2</v>
      </c>
      <c r="BY65" s="17"/>
    </row>
    <row r="66" spans="5:77" x14ac:dyDescent="0.3">
      <c r="AQ66" s="16"/>
      <c r="AT66" s="1">
        <v>1501</v>
      </c>
      <c r="AU66" s="12">
        <f t="shared" si="16"/>
        <v>9431.0611460765595</v>
      </c>
      <c r="AV66" s="22">
        <v>0.45300000000000001</v>
      </c>
      <c r="AW66" s="10">
        <f t="shared" si="17"/>
        <v>0.64063874375501217</v>
      </c>
      <c r="AX66" s="10">
        <v>0.9143</v>
      </c>
      <c r="AY66" s="10">
        <f t="shared" si="18"/>
        <v>1.2930154600777208</v>
      </c>
      <c r="AZ66" s="10">
        <f t="shared" si="19"/>
        <v>1.2898135947855225</v>
      </c>
      <c r="BA66" s="10">
        <f t="shared" si="20"/>
        <v>3.201865292198347E-3</v>
      </c>
      <c r="BB66" s="11">
        <v>2.66</v>
      </c>
      <c r="BC66" s="11">
        <f t="shared" si="21"/>
        <v>1.33</v>
      </c>
      <c r="BD66" s="11">
        <f t="shared" si="22"/>
        <v>1.3242019797439881</v>
      </c>
      <c r="BE66" s="31">
        <f t="shared" si="23"/>
        <v>5.7980202560119487E-3</v>
      </c>
      <c r="BY66" s="17"/>
    </row>
    <row r="67" spans="5:77" x14ac:dyDescent="0.3">
      <c r="AQ67" s="16"/>
      <c r="AT67" s="1">
        <v>1501</v>
      </c>
      <c r="AU67" s="12">
        <f t="shared" si="16"/>
        <v>9431.0611460765595</v>
      </c>
      <c r="AV67" s="22">
        <v>0.44400000000000001</v>
      </c>
      <c r="AW67" s="10">
        <f t="shared" si="17"/>
        <v>0.6279108216936542</v>
      </c>
      <c r="AX67" s="10">
        <v>0.89419999999999999</v>
      </c>
      <c r="AY67" s="10">
        <f t="shared" si="18"/>
        <v>1.2645897674740216</v>
      </c>
      <c r="AZ67" s="10">
        <f t="shared" si="19"/>
        <v>1.2642057143576946</v>
      </c>
      <c r="BA67" s="10">
        <f t="shared" si="20"/>
        <v>3.8405311632705441E-4</v>
      </c>
      <c r="BB67" s="11">
        <v>2.6</v>
      </c>
      <c r="BC67" s="11">
        <f t="shared" si="21"/>
        <v>1.3</v>
      </c>
      <c r="BD67" s="11">
        <f t="shared" si="22"/>
        <v>1.2981783417584114</v>
      </c>
      <c r="BE67" s="31">
        <f t="shared" si="23"/>
        <v>1.8216582415886418E-3</v>
      </c>
      <c r="BY67" s="17"/>
    </row>
    <row r="68" spans="5:77" x14ac:dyDescent="0.3">
      <c r="AQ68" s="16"/>
      <c r="AT68" s="1">
        <v>1501</v>
      </c>
      <c r="AU68" s="12">
        <f t="shared" si="16"/>
        <v>9431.0611460765595</v>
      </c>
      <c r="AV68" s="22">
        <v>0.43099999999999999</v>
      </c>
      <c r="AW68" s="10">
        <f t="shared" si="17"/>
        <v>0.60952604538280397</v>
      </c>
      <c r="AX68" s="10">
        <v>0.86409999999999998</v>
      </c>
      <c r="AY68" s="10">
        <f t="shared" si="18"/>
        <v>1.2220219392465914</v>
      </c>
      <c r="AZ68" s="10">
        <f t="shared" si="19"/>
        <v>1.2272165537397213</v>
      </c>
      <c r="BA68" s="10">
        <f t="shared" si="20"/>
        <v>-5.1946144931298566E-3</v>
      </c>
      <c r="BB68" s="11">
        <v>2.5</v>
      </c>
      <c r="BC68" s="11">
        <f t="shared" si="21"/>
        <v>1.25</v>
      </c>
      <c r="BD68" s="11">
        <f t="shared" si="22"/>
        <v>1.2605886424459121</v>
      </c>
      <c r="BE68" s="31">
        <f t="shared" si="23"/>
        <v>-1.0588642445912066E-2</v>
      </c>
      <c r="BY68" s="17"/>
    </row>
    <row r="69" spans="5:77" x14ac:dyDescent="0.3">
      <c r="AQ69" s="16"/>
      <c r="AT69" s="1">
        <v>1501</v>
      </c>
      <c r="AU69" s="12">
        <f t="shared" si="16"/>
        <v>9431.0611460765595</v>
      </c>
      <c r="AV69" s="22">
        <v>0.42</v>
      </c>
      <c r="AW69" s="10">
        <f t="shared" si="17"/>
        <v>0.59396969619669993</v>
      </c>
      <c r="AX69" s="10">
        <v>0.84219999999999995</v>
      </c>
      <c r="AY69" s="10">
        <f t="shared" si="18"/>
        <v>1.1910506622306207</v>
      </c>
      <c r="AZ69" s="10">
        <f t="shared" si="19"/>
        <v>1.1959180332168209</v>
      </c>
      <c r="BA69" s="10">
        <f t="shared" si="20"/>
        <v>-4.8673709862001591E-3</v>
      </c>
      <c r="BB69" s="11">
        <v>2.46</v>
      </c>
      <c r="BC69" s="11">
        <f t="shared" si="21"/>
        <v>1.23</v>
      </c>
      <c r="BD69" s="11">
        <f t="shared" si="22"/>
        <v>1.2287819737968741</v>
      </c>
      <c r="BE69" s="31">
        <f t="shared" si="23"/>
        <v>1.2180262031258327E-3</v>
      </c>
      <c r="BY69" s="17"/>
    </row>
    <row r="70" spans="5:77" x14ac:dyDescent="0.3">
      <c r="AQ70" s="16"/>
      <c r="AT70" s="1">
        <v>1501</v>
      </c>
      <c r="AU70" s="12">
        <f t="shared" si="16"/>
        <v>9431.0611460765595</v>
      </c>
      <c r="AV70" s="22">
        <v>0.41099999999999998</v>
      </c>
      <c r="AW70" s="10">
        <f t="shared" si="17"/>
        <v>0.58124177413534206</v>
      </c>
      <c r="AX70" s="10">
        <v>0.82199999999999995</v>
      </c>
      <c r="AY70" s="10">
        <f t="shared" si="18"/>
        <v>1.1624835482706841</v>
      </c>
      <c r="AZ70" s="10">
        <f t="shared" si="19"/>
        <v>1.1703101527889932</v>
      </c>
      <c r="BA70" s="10">
        <f t="shared" si="20"/>
        <v>-7.8266045183090771E-3</v>
      </c>
      <c r="BB70" s="11">
        <v>2.38</v>
      </c>
      <c r="BC70" s="11">
        <f t="shared" si="21"/>
        <v>1.19</v>
      </c>
      <c r="BD70" s="11">
        <f t="shared" si="22"/>
        <v>1.2027583358112977</v>
      </c>
      <c r="BE70" s="31">
        <f t="shared" si="23"/>
        <v>-1.2758335811297705E-2</v>
      </c>
      <c r="BY70" s="17"/>
    </row>
    <row r="71" spans="5:77" x14ac:dyDescent="0.3">
      <c r="AQ71" s="16"/>
      <c r="AT71" s="1">
        <v>1501</v>
      </c>
      <c r="AU71" s="12">
        <f t="shared" si="16"/>
        <v>9431.0611460765595</v>
      </c>
      <c r="AV71" s="22">
        <v>0.40100000000000002</v>
      </c>
      <c r="AW71" s="10">
        <f t="shared" si="17"/>
        <v>0.56709963851161116</v>
      </c>
      <c r="AX71" s="10">
        <v>0.8</v>
      </c>
      <c r="AY71" s="10">
        <f t="shared" si="18"/>
        <v>1.1313708498984762</v>
      </c>
      <c r="AZ71" s="10">
        <f t="shared" si="19"/>
        <v>1.1418569523136293</v>
      </c>
      <c r="BA71" s="10">
        <f t="shared" si="20"/>
        <v>-1.048610241515302E-2</v>
      </c>
      <c r="BB71" s="11">
        <v>2.34</v>
      </c>
      <c r="BC71" s="11">
        <f t="shared" si="21"/>
        <v>1.17</v>
      </c>
      <c r="BD71" s="11">
        <f t="shared" si="22"/>
        <v>1.1738431824939906</v>
      </c>
      <c r="BE71" s="31">
        <f t="shared" si="23"/>
        <v>-3.8431824939906267E-3</v>
      </c>
      <c r="BY71" s="17"/>
    </row>
    <row r="72" spans="5:77" x14ac:dyDescent="0.3">
      <c r="AQ72" s="16"/>
      <c r="AT72" s="1">
        <v>1501</v>
      </c>
      <c r="AU72" s="12">
        <f t="shared" si="16"/>
        <v>9431.0611460765595</v>
      </c>
      <c r="AV72" s="22">
        <v>0.39500000000000002</v>
      </c>
      <c r="AW72" s="10">
        <f t="shared" si="17"/>
        <v>0.55861435713737262</v>
      </c>
      <c r="AX72" s="10">
        <v>0.78739999999999999</v>
      </c>
      <c r="AY72" s="10">
        <f t="shared" si="18"/>
        <v>1.1135517590125752</v>
      </c>
      <c r="AZ72" s="10">
        <f t="shared" si="19"/>
        <v>1.124785032028411</v>
      </c>
      <c r="BA72" s="10">
        <f t="shared" si="20"/>
        <v>-1.1233273015835765E-2</v>
      </c>
      <c r="BB72" s="11">
        <v>2.2999999999999998</v>
      </c>
      <c r="BC72" s="11">
        <f t="shared" si="21"/>
        <v>1.1499999999999999</v>
      </c>
      <c r="BD72" s="11">
        <f t="shared" si="22"/>
        <v>1.1564940905036063</v>
      </c>
      <c r="BE72" s="31">
        <f t="shared" si="23"/>
        <v>-6.4940905036063867E-3</v>
      </c>
      <c r="BY72" s="17"/>
    </row>
    <row r="73" spans="5:77" x14ac:dyDescent="0.3">
      <c r="AQ73" s="16"/>
      <c r="AT73" s="1">
        <v>1501</v>
      </c>
      <c r="AU73" s="12">
        <f t="shared" si="16"/>
        <v>9431.0611460765595</v>
      </c>
      <c r="AV73" s="22">
        <v>0.38300000000000001</v>
      </c>
      <c r="AW73" s="10">
        <f t="shared" si="17"/>
        <v>0.54164379438889543</v>
      </c>
      <c r="AX73" s="10">
        <v>0.76180000000000003</v>
      </c>
      <c r="AY73" s="10">
        <f t="shared" si="18"/>
        <v>1.0773478918158239</v>
      </c>
      <c r="AZ73" s="10">
        <f t="shared" si="19"/>
        <v>1.0906411914579739</v>
      </c>
      <c r="BA73" s="10">
        <f t="shared" si="20"/>
        <v>-1.329329964214998E-2</v>
      </c>
      <c r="BB73" s="11">
        <v>2.2000000000000002</v>
      </c>
      <c r="BC73" s="11">
        <f t="shared" si="21"/>
        <v>1.1000000000000001</v>
      </c>
      <c r="BD73" s="11">
        <f t="shared" si="22"/>
        <v>1.1217959065228376</v>
      </c>
      <c r="BE73" s="31">
        <f t="shared" si="23"/>
        <v>-2.1795906522837472E-2</v>
      </c>
      <c r="BY73" s="17"/>
    </row>
    <row r="74" spans="5:77" x14ac:dyDescent="0.3">
      <c r="AQ74" s="16"/>
      <c r="AT74" s="1">
        <v>1501</v>
      </c>
      <c r="AU74" s="12">
        <f t="shared" si="16"/>
        <v>9431.0611460765595</v>
      </c>
      <c r="AV74" s="22">
        <v>0.374</v>
      </c>
      <c r="AW74" s="10">
        <f t="shared" si="17"/>
        <v>0.52891587232753756</v>
      </c>
      <c r="AX74" s="10">
        <v>0.74529999999999996</v>
      </c>
      <c r="AY74" s="10">
        <f t="shared" si="18"/>
        <v>1.0540133680366677</v>
      </c>
      <c r="AZ74" s="10">
        <f t="shared" si="19"/>
        <v>1.0650333110301462</v>
      </c>
      <c r="BA74" s="10">
        <f t="shared" si="20"/>
        <v>-1.1019942993478526E-2</v>
      </c>
      <c r="BB74" s="11">
        <v>2.1800000000000002</v>
      </c>
      <c r="BC74" s="11">
        <f t="shared" si="21"/>
        <v>1.0900000000000001</v>
      </c>
      <c r="BD74" s="11">
        <f t="shared" si="22"/>
        <v>1.0957722685372611</v>
      </c>
      <c r="BE74" s="31">
        <f t="shared" si="23"/>
        <v>-5.7722685372609828E-3</v>
      </c>
      <c r="BY74" s="17"/>
    </row>
    <row r="75" spans="5:77" x14ac:dyDescent="0.3">
      <c r="AQ75" s="16"/>
      <c r="AT75" s="1">
        <v>1501</v>
      </c>
      <c r="AU75" s="12">
        <f t="shared" si="16"/>
        <v>9431.0611460765595</v>
      </c>
      <c r="AV75" s="22">
        <v>0.36699999999999999</v>
      </c>
      <c r="AW75" s="10">
        <f t="shared" si="17"/>
        <v>0.51901637739092588</v>
      </c>
      <c r="AX75" s="10">
        <v>0.73270000000000002</v>
      </c>
      <c r="AY75" s="10">
        <f t="shared" si="18"/>
        <v>1.0361942771507668</v>
      </c>
      <c r="AZ75" s="10">
        <f t="shared" si="19"/>
        <v>1.0451160706973914</v>
      </c>
      <c r="BA75" s="10">
        <f t="shared" si="20"/>
        <v>-8.9217935466245901E-3</v>
      </c>
      <c r="BB75" s="11">
        <v>2.14</v>
      </c>
      <c r="BC75" s="11">
        <f t="shared" si="21"/>
        <v>1.07</v>
      </c>
      <c r="BD75" s="11">
        <f t="shared" si="22"/>
        <v>1.075531661215146</v>
      </c>
      <c r="BE75" s="31">
        <f t="shared" si="23"/>
        <v>-5.5316612151459221E-3</v>
      </c>
      <c r="BY75" s="17"/>
    </row>
    <row r="76" spans="5:77" x14ac:dyDescent="0.3">
      <c r="AQ76" s="16"/>
      <c r="AT76" s="1">
        <v>1501</v>
      </c>
      <c r="AU76" s="12">
        <f t="shared" si="16"/>
        <v>9431.0611460765595</v>
      </c>
      <c r="AV76" s="22">
        <v>0.35399999999999998</v>
      </c>
      <c r="AW76" s="10">
        <f t="shared" si="17"/>
        <v>0.50063160108007565</v>
      </c>
      <c r="AX76" s="10">
        <v>0.70760000000000001</v>
      </c>
      <c r="AY76" s="10">
        <f t="shared" si="18"/>
        <v>1.0006975167352021</v>
      </c>
      <c r="AZ76" s="10">
        <f t="shared" si="19"/>
        <v>1.0081269100794181</v>
      </c>
      <c r="BA76" s="10">
        <f t="shared" si="20"/>
        <v>-7.4293933442159954E-3</v>
      </c>
      <c r="BB76" s="11">
        <v>2.06</v>
      </c>
      <c r="BC76" s="11">
        <f t="shared" si="21"/>
        <v>1.03</v>
      </c>
      <c r="BD76" s="11">
        <f t="shared" si="22"/>
        <v>1.0379419619026466</v>
      </c>
      <c r="BE76" s="31">
        <f t="shared" si="23"/>
        <v>-7.9419619026466215E-3</v>
      </c>
      <c r="BY76" s="17"/>
    </row>
    <row r="77" spans="5:77" x14ac:dyDescent="0.3">
      <c r="AQ77" s="16"/>
      <c r="AT77" s="1">
        <v>1501</v>
      </c>
      <c r="AU77" s="12">
        <f t="shared" si="16"/>
        <v>9431.0611460765595</v>
      </c>
      <c r="AV77" s="22">
        <v>0.34399999999999997</v>
      </c>
      <c r="AW77" s="10">
        <f t="shared" si="17"/>
        <v>0.48648946545634469</v>
      </c>
      <c r="AX77" s="10">
        <v>0.68830000000000002</v>
      </c>
      <c r="AY77" s="10">
        <f t="shared" si="18"/>
        <v>0.97340319498140138</v>
      </c>
      <c r="AZ77" s="10">
        <f t="shared" si="19"/>
        <v>0.97967370960405398</v>
      </c>
      <c r="BA77" s="10">
        <f t="shared" si="20"/>
        <v>-6.270514622652601E-3</v>
      </c>
      <c r="BB77" s="11">
        <v>2</v>
      </c>
      <c r="BC77" s="11">
        <f t="shared" si="21"/>
        <v>1</v>
      </c>
      <c r="BD77" s="11">
        <f t="shared" si="22"/>
        <v>1.0090268085853396</v>
      </c>
      <c r="BE77" s="31">
        <f t="shared" si="23"/>
        <v>-9.0268085853395519E-3</v>
      </c>
      <c r="BY77" s="17"/>
    </row>
    <row r="78" spans="5:77" x14ac:dyDescent="0.3">
      <c r="AQ78" s="16"/>
      <c r="AT78" s="1">
        <v>1501</v>
      </c>
      <c r="AU78" s="12">
        <f t="shared" si="16"/>
        <v>9431.0611460765595</v>
      </c>
      <c r="AV78" s="22">
        <v>0.33300000000000002</v>
      </c>
      <c r="AW78" s="10">
        <f t="shared" si="17"/>
        <v>0.4709331162702407</v>
      </c>
      <c r="AX78" s="10">
        <v>0.66790000000000005</v>
      </c>
      <c r="AY78" s="10">
        <f t="shared" si="18"/>
        <v>0.9445532383089903</v>
      </c>
      <c r="AZ78" s="10">
        <f t="shared" si="19"/>
        <v>0.94837518908115359</v>
      </c>
      <c r="BA78" s="10">
        <f t="shared" si="20"/>
        <v>-3.8219507721632962E-3</v>
      </c>
      <c r="BB78" s="11">
        <v>1.94</v>
      </c>
      <c r="BC78" s="11">
        <f t="shared" si="21"/>
        <v>0.97</v>
      </c>
      <c r="BD78" s="11">
        <f t="shared" si="22"/>
        <v>0.97722013993630175</v>
      </c>
      <c r="BE78" s="31">
        <f t="shared" si="23"/>
        <v>-7.2201399363017726E-3</v>
      </c>
      <c r="BY78" s="17"/>
    </row>
    <row r="79" spans="5:77" x14ac:dyDescent="0.3">
      <c r="AQ79" s="16"/>
      <c r="AT79" s="1">
        <v>1501</v>
      </c>
      <c r="AU79" s="12">
        <f t="shared" si="16"/>
        <v>9431.0611460765595</v>
      </c>
      <c r="AV79" s="22">
        <v>0.31900000000000001</v>
      </c>
      <c r="AW79" s="10">
        <f t="shared" si="17"/>
        <v>0.45113412639701733</v>
      </c>
      <c r="AX79" s="10">
        <v>0.64610000000000001</v>
      </c>
      <c r="AY79" s="10">
        <f t="shared" si="18"/>
        <v>0.91372338264925679</v>
      </c>
      <c r="AZ79" s="10">
        <f t="shared" si="19"/>
        <v>0.90854070841564383</v>
      </c>
      <c r="BA79" s="10">
        <f t="shared" si="20"/>
        <v>5.1826742336129605E-3</v>
      </c>
      <c r="BB79" s="11">
        <v>1.88</v>
      </c>
      <c r="BC79" s="11">
        <f t="shared" si="21"/>
        <v>0.94</v>
      </c>
      <c r="BD79" s="11">
        <f t="shared" si="22"/>
        <v>0.93673892529207159</v>
      </c>
      <c r="BE79" s="31">
        <f t="shared" si="23"/>
        <v>3.2610747079283575E-3</v>
      </c>
      <c r="BY79" s="17"/>
    </row>
    <row r="80" spans="5:77" x14ac:dyDescent="0.3">
      <c r="AQ80" s="16"/>
      <c r="AT80" s="1">
        <v>1501</v>
      </c>
      <c r="AU80" s="12">
        <f t="shared" si="16"/>
        <v>9431.0611460765595</v>
      </c>
      <c r="AV80" s="22">
        <v>0.307</v>
      </c>
      <c r="AW80" s="10">
        <f t="shared" si="17"/>
        <v>0.4341635636485402</v>
      </c>
      <c r="AX80" s="10">
        <v>0.62980000000000003</v>
      </c>
      <c r="AY80" s="10">
        <f t="shared" si="18"/>
        <v>0.89067170158257536</v>
      </c>
      <c r="AZ80" s="10">
        <f t="shared" si="19"/>
        <v>0.87439686784520698</v>
      </c>
      <c r="BA80" s="10">
        <f t="shared" si="20"/>
        <v>1.6274833737368377E-2</v>
      </c>
      <c r="BB80" s="11">
        <v>1.84</v>
      </c>
      <c r="BC80" s="11">
        <f t="shared" si="21"/>
        <v>0.92</v>
      </c>
      <c r="BD80" s="11">
        <f t="shared" si="22"/>
        <v>0.90204074131130307</v>
      </c>
      <c r="BE80" s="31">
        <f t="shared" si="23"/>
        <v>1.7959258688696966E-2</v>
      </c>
      <c r="BY80" s="17"/>
    </row>
    <row r="81" spans="3:77" x14ac:dyDescent="0.3">
      <c r="AQ81" s="16"/>
      <c r="AT81" s="1">
        <v>1501</v>
      </c>
      <c r="AU81" s="12">
        <f t="shared" si="16"/>
        <v>9431.0611460765595</v>
      </c>
      <c r="AV81" s="22">
        <v>0.29399999999999998</v>
      </c>
      <c r="AW81" s="10">
        <f t="shared" si="17"/>
        <v>0.41577878733768997</v>
      </c>
      <c r="AX81" s="10">
        <v>0.61129999999999995</v>
      </c>
      <c r="AY81" s="10">
        <f t="shared" si="18"/>
        <v>0.86450875067867294</v>
      </c>
      <c r="AZ81" s="10">
        <f t="shared" si="19"/>
        <v>0.83740770722723368</v>
      </c>
      <c r="BA81" s="10">
        <f t="shared" si="20"/>
        <v>2.7101043451439266E-2</v>
      </c>
      <c r="BB81" s="11">
        <v>1.78</v>
      </c>
      <c r="BC81" s="11">
        <f t="shared" si="21"/>
        <v>0.89</v>
      </c>
      <c r="BD81" s="11">
        <f t="shared" si="22"/>
        <v>0.86445104199880374</v>
      </c>
      <c r="BE81" s="31">
        <f t="shared" si="23"/>
        <v>2.5548958001196276E-2</v>
      </c>
      <c r="BY81" s="17"/>
    </row>
    <row r="82" spans="3:77" x14ac:dyDescent="0.3">
      <c r="AQ82" s="16"/>
      <c r="BY82" s="17"/>
    </row>
    <row r="83" spans="3:77" x14ac:dyDescent="0.3">
      <c r="AQ83" s="16"/>
      <c r="BY83" s="17"/>
    </row>
    <row r="84" spans="3:77" x14ac:dyDescent="0.3">
      <c r="AQ84" s="16"/>
      <c r="BY84" s="17"/>
    </row>
    <row r="85" spans="3:77" x14ac:dyDescent="0.3">
      <c r="AQ85" s="16"/>
      <c r="BY85" s="17"/>
    </row>
    <row r="86" spans="3:77" x14ac:dyDescent="0.3">
      <c r="AQ86" s="16"/>
      <c r="BY86" s="17"/>
    </row>
    <row r="87" spans="3:77" x14ac:dyDescent="0.3">
      <c r="AQ87" s="16"/>
      <c r="BY87" s="17"/>
    </row>
    <row r="88" spans="3:77" x14ac:dyDescent="0.3">
      <c r="AQ88" s="16"/>
      <c r="BY88" s="17"/>
    </row>
    <row r="89" spans="3:77" x14ac:dyDescent="0.3">
      <c r="AQ89" s="16"/>
      <c r="BY89" s="17"/>
    </row>
    <row r="90" spans="3:77" x14ac:dyDescent="0.3">
      <c r="AQ90" s="16"/>
      <c r="BY90" s="17"/>
    </row>
    <row r="91" spans="3:77" ht="15.6" x14ac:dyDescent="0.3">
      <c r="C91" s="85"/>
      <c r="D91" s="75" t="s">
        <v>22</v>
      </c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W91" s="59" t="s">
        <v>8</v>
      </c>
      <c r="X91" s="59"/>
      <c r="Y91" s="59"/>
      <c r="Z91" s="59"/>
      <c r="AG91" s="59" t="s">
        <v>104</v>
      </c>
      <c r="AH91" s="59"/>
      <c r="AI91" s="59"/>
      <c r="AJ91" s="59"/>
      <c r="AQ91" s="16"/>
      <c r="BY91" s="17"/>
    </row>
    <row r="92" spans="3:77" ht="17.25" customHeight="1" x14ac:dyDescent="0.3">
      <c r="C92" s="85"/>
      <c r="D92" s="59" t="s">
        <v>77</v>
      </c>
      <c r="E92" s="59" t="s">
        <v>74</v>
      </c>
      <c r="F92" s="59" t="s">
        <v>75</v>
      </c>
      <c r="G92" s="59" t="s">
        <v>101</v>
      </c>
      <c r="H92" s="63" t="s">
        <v>84</v>
      </c>
      <c r="I92" s="60" t="s">
        <v>13</v>
      </c>
      <c r="J92" s="61"/>
      <c r="K92" s="61"/>
      <c r="L92" s="61"/>
      <c r="M92" s="62"/>
      <c r="N92" s="68" t="s">
        <v>12</v>
      </c>
      <c r="O92" s="68"/>
      <c r="P92" s="68"/>
      <c r="Q92" s="68"/>
      <c r="R92" s="68"/>
      <c r="W92" s="4" t="s">
        <v>3</v>
      </c>
      <c r="X92" s="11">
        <f t="array" ref="X92:Y94">LINEST(J94:J113,G94:G113,1,1)</f>
        <v>2.2113284075702979</v>
      </c>
      <c r="Y92" s="10">
        <v>-0.12127697371437463</v>
      </c>
      <c r="Z92" s="4" t="s">
        <v>5</v>
      </c>
      <c r="AG92" s="4" t="s">
        <v>3</v>
      </c>
      <c r="AH92" s="11">
        <f t="array" ref="AH92:AI94">LINEST(O94:O113,G94:G113,1,1)</f>
        <v>2.1794523648412683</v>
      </c>
      <c r="AI92" s="11">
        <v>-6.8453815771531756E-2</v>
      </c>
      <c r="AJ92" s="4" t="s">
        <v>5</v>
      </c>
      <c r="AQ92" s="16"/>
      <c r="BY92" s="17"/>
    </row>
    <row r="93" spans="3:77" ht="15.6" x14ac:dyDescent="0.3">
      <c r="C93" s="86"/>
      <c r="D93" s="59"/>
      <c r="E93" s="59"/>
      <c r="F93" s="59"/>
      <c r="G93" s="59"/>
      <c r="H93" s="64"/>
      <c r="I93" s="3" t="s">
        <v>80</v>
      </c>
      <c r="J93" s="3" t="s">
        <v>76</v>
      </c>
      <c r="K93" s="21" t="s">
        <v>0</v>
      </c>
      <c r="L93" s="21" t="s">
        <v>1</v>
      </c>
      <c r="M93" s="21" t="s">
        <v>83</v>
      </c>
      <c r="N93" s="53" t="s">
        <v>107</v>
      </c>
      <c r="O93" s="3" t="s">
        <v>78</v>
      </c>
      <c r="P93" s="3" t="s">
        <v>0</v>
      </c>
      <c r="Q93" s="3" t="s">
        <v>1</v>
      </c>
      <c r="R93" s="21" t="s">
        <v>83</v>
      </c>
      <c r="W93" s="4" t="s">
        <v>2</v>
      </c>
      <c r="X93" s="11">
        <v>1.5093280260651334E-2</v>
      </c>
      <c r="Y93" s="10">
        <v>9.5425812700893863E-3</v>
      </c>
      <c r="Z93" s="4" t="s">
        <v>6</v>
      </c>
      <c r="AG93" s="4" t="s">
        <v>2</v>
      </c>
      <c r="AH93" s="11">
        <v>2.6208570025918657E-2</v>
      </c>
      <c r="AI93" s="11">
        <v>1.6570116311771497E-2</v>
      </c>
      <c r="AJ93" s="4" t="s">
        <v>6</v>
      </c>
      <c r="AQ93" s="16"/>
      <c r="BY93" s="17"/>
    </row>
    <row r="94" spans="3:77" x14ac:dyDescent="0.3">
      <c r="C94" s="84" t="s">
        <v>72</v>
      </c>
      <c r="D94" s="41">
        <v>1501</v>
      </c>
      <c r="E94" s="43">
        <f t="shared" ref="E94:E113" si="25">2*PI()*D94</f>
        <v>9431.0611460765595</v>
      </c>
      <c r="F94" s="42">
        <v>0.39300000000000002</v>
      </c>
      <c r="G94" s="42">
        <f t="shared" ref="G94:G113" si="26">F94*SQRT(2)</f>
        <v>0.55578593001262644</v>
      </c>
      <c r="H94" s="42">
        <f>LOG(G94)</f>
        <v>-0.25509245179258266</v>
      </c>
      <c r="I94" s="10">
        <v>0.78510000000000002</v>
      </c>
      <c r="J94" s="10">
        <f t="shared" ref="J94:J113" si="27">I94*SQRT(2)</f>
        <v>1.1102990678191171</v>
      </c>
      <c r="K94" s="10">
        <f t="shared" ref="K94:K113" si="28">G94*X$92+Y$92</f>
        <v>1.1077482418504236</v>
      </c>
      <c r="L94" s="10">
        <f>J94-K94</f>
        <v>2.5508259686934931E-3</v>
      </c>
      <c r="M94" s="10">
        <f>LOG(J94)</f>
        <v>4.5439975191534095E-2</v>
      </c>
      <c r="N94" s="11">
        <v>2.29</v>
      </c>
      <c r="O94" s="11">
        <f t="shared" ref="O94:O113" si="29">N94/2</f>
        <v>1.145</v>
      </c>
      <c r="P94" s="11">
        <f t="shared" ref="P94:P113" si="30">G94*AH$92+AI$92</f>
        <v>1.1428551437399905</v>
      </c>
      <c r="Q94" s="31">
        <f>O94-P94</f>
        <v>2.1448562600094867E-3</v>
      </c>
      <c r="R94" s="31">
        <f>LOG(O94)</f>
        <v>5.8805486675906807E-2</v>
      </c>
      <c r="W94" s="4" t="s">
        <v>4</v>
      </c>
      <c r="X94" s="10">
        <v>0.9991621442412334</v>
      </c>
      <c r="Y94" s="22">
        <v>3.139587326573579E-3</v>
      </c>
      <c r="Z94" s="4" t="s">
        <v>7</v>
      </c>
      <c r="AG94" s="4" t="s">
        <v>4</v>
      </c>
      <c r="AH94" s="22">
        <v>0.99740381629393904</v>
      </c>
      <c r="AI94" s="22">
        <v>5.4517038629109454E-3</v>
      </c>
      <c r="AJ94" s="4" t="s">
        <v>7</v>
      </c>
      <c r="AQ94" s="16"/>
      <c r="BY94" s="17"/>
    </row>
    <row r="95" spans="3:77" x14ac:dyDescent="0.3">
      <c r="C95" s="84"/>
      <c r="D95" s="1">
        <v>1501</v>
      </c>
      <c r="E95" s="12">
        <f t="shared" si="25"/>
        <v>9431.0611460765595</v>
      </c>
      <c r="F95" s="22">
        <v>0.41199999999999998</v>
      </c>
      <c r="G95" s="22">
        <f t="shared" si="26"/>
        <v>0.58265598769771521</v>
      </c>
      <c r="H95" s="42">
        <f t="shared" ref="H95:H113" si="31">LOG(G95)</f>
        <v>-0.23458778613487477</v>
      </c>
      <c r="I95" s="10">
        <v>0.82720000000000005</v>
      </c>
      <c r="J95" s="10">
        <f t="shared" si="27"/>
        <v>1.1698374587950244</v>
      </c>
      <c r="K95" s="10">
        <f t="shared" si="28"/>
        <v>1.1671667637225129</v>
      </c>
      <c r="L95" s="10">
        <f t="shared" ref="L95:L113" si="32">J95-K95</f>
        <v>2.6706950725114975E-3</v>
      </c>
      <c r="M95" s="10">
        <f t="shared" ref="M95:M113" si="33">LOG(J95)</f>
        <v>6.8125523581857958E-2</v>
      </c>
      <c r="N95" s="11">
        <v>2.4</v>
      </c>
      <c r="O95" s="11">
        <f t="shared" si="29"/>
        <v>1.2</v>
      </c>
      <c r="P95" s="11">
        <f t="shared" si="30"/>
        <v>1.2014171545051786</v>
      </c>
      <c r="Q95" s="31">
        <f t="shared" ref="Q95:Q113" si="34">O95-P95</f>
        <v>-1.4171545051786527E-3</v>
      </c>
      <c r="R95" s="31">
        <f t="shared" ref="R95:R113" si="35">LOG(O95)</f>
        <v>7.9181246047624818E-2</v>
      </c>
      <c r="AQ95" s="16"/>
      <c r="BY95" s="17"/>
    </row>
    <row r="96" spans="3:77" x14ac:dyDescent="0.3">
      <c r="C96" s="84"/>
      <c r="D96" s="1">
        <v>1501</v>
      </c>
      <c r="E96" s="12">
        <f t="shared" si="25"/>
        <v>9431.0611460765595</v>
      </c>
      <c r="F96" s="22">
        <v>0.42799999999999999</v>
      </c>
      <c r="G96" s="22">
        <f t="shared" si="26"/>
        <v>0.60528340469568476</v>
      </c>
      <c r="H96" s="42">
        <f t="shared" si="31"/>
        <v>-0.21804123315483731</v>
      </c>
      <c r="I96" s="10">
        <v>0.86240000000000006</v>
      </c>
      <c r="J96" s="10">
        <f t="shared" si="27"/>
        <v>1.2196177761905573</v>
      </c>
      <c r="K96" s="10">
        <f t="shared" si="28"/>
        <v>1.217203413720062</v>
      </c>
      <c r="L96" s="10">
        <f t="shared" si="32"/>
        <v>2.4143624704953126E-3</v>
      </c>
      <c r="M96" s="10">
        <f t="shared" si="33"/>
        <v>8.6223745674654143E-2</v>
      </c>
      <c r="N96" s="11">
        <v>2.5</v>
      </c>
      <c r="O96" s="11">
        <f t="shared" si="29"/>
        <v>1.25</v>
      </c>
      <c r="P96" s="11">
        <f t="shared" si="30"/>
        <v>1.2507325319916529</v>
      </c>
      <c r="Q96" s="31">
        <f t="shared" si="34"/>
        <v>-7.3253199165290717E-4</v>
      </c>
      <c r="R96" s="31">
        <f t="shared" si="35"/>
        <v>9.691001300805642E-2</v>
      </c>
      <c r="AQ96" s="16"/>
      <c r="BY96" s="17"/>
    </row>
    <row r="97" spans="3:77" x14ac:dyDescent="0.3">
      <c r="C97" s="84"/>
      <c r="D97" s="1">
        <v>1501</v>
      </c>
      <c r="E97" s="12">
        <f t="shared" si="25"/>
        <v>9431.0611460765595</v>
      </c>
      <c r="F97" s="22">
        <v>0.439</v>
      </c>
      <c r="G97" s="22">
        <f t="shared" si="26"/>
        <v>0.6208397538817888</v>
      </c>
      <c r="H97" s="42">
        <f t="shared" si="31"/>
        <v>-0.20702048192588798</v>
      </c>
      <c r="I97" s="10">
        <v>0.88680000000000003</v>
      </c>
      <c r="J97" s="10">
        <f t="shared" si="27"/>
        <v>1.2541245871124609</v>
      </c>
      <c r="K97" s="10">
        <f t="shared" si="28"/>
        <v>1.251603610593377</v>
      </c>
      <c r="L97" s="10">
        <f t="shared" si="32"/>
        <v>2.5209765190838951E-3</v>
      </c>
      <c r="M97" s="10">
        <f t="shared" si="33"/>
        <v>9.8340682274441232E-2</v>
      </c>
      <c r="N97" s="11">
        <v>2.58</v>
      </c>
      <c r="O97" s="11">
        <f t="shared" si="29"/>
        <v>1.29</v>
      </c>
      <c r="P97" s="11">
        <f t="shared" si="30"/>
        <v>1.2846368540136037</v>
      </c>
      <c r="Q97" s="31">
        <f t="shared" si="34"/>
        <v>5.3631459863963116E-3</v>
      </c>
      <c r="R97" s="31">
        <f t="shared" si="35"/>
        <v>0.11058971029924898</v>
      </c>
      <c r="AQ97" s="16"/>
      <c r="BY97" s="17"/>
    </row>
    <row r="98" spans="3:77" x14ac:dyDescent="0.3">
      <c r="C98" s="84"/>
      <c r="D98" s="1">
        <v>1501</v>
      </c>
      <c r="E98" s="12">
        <f t="shared" si="25"/>
        <v>9431.0611460765595</v>
      </c>
      <c r="F98" s="22">
        <v>0.44800000000000001</v>
      </c>
      <c r="G98" s="22">
        <f t="shared" si="26"/>
        <v>0.63356767594314667</v>
      </c>
      <c r="H98" s="42">
        <f t="shared" si="31"/>
        <v>-0.19820698816986534</v>
      </c>
      <c r="I98" s="10">
        <v>0.90659999999999996</v>
      </c>
      <c r="J98" s="10">
        <f t="shared" si="27"/>
        <v>1.2821260156474481</v>
      </c>
      <c r="K98" s="10">
        <f t="shared" si="28"/>
        <v>1.2797492262169985</v>
      </c>
      <c r="L98" s="10">
        <f t="shared" si="32"/>
        <v>2.3767894304496107E-3</v>
      </c>
      <c r="M98" s="10">
        <f t="shared" si="33"/>
        <v>0.10793071255465965</v>
      </c>
      <c r="N98" s="11">
        <v>2.62</v>
      </c>
      <c r="O98" s="11">
        <f t="shared" si="29"/>
        <v>1.31</v>
      </c>
      <c r="P98" s="11">
        <f t="shared" si="30"/>
        <v>1.3123767538497455</v>
      </c>
      <c r="Q98" s="31">
        <f t="shared" si="34"/>
        <v>-2.3767538497454499E-3</v>
      </c>
      <c r="R98" s="31">
        <f t="shared" si="35"/>
        <v>0.11727129565576427</v>
      </c>
      <c r="AQ98" s="16"/>
      <c r="BY98" s="17"/>
    </row>
    <row r="99" spans="3:77" x14ac:dyDescent="0.3">
      <c r="C99" s="84"/>
      <c r="D99" s="1">
        <v>1501</v>
      </c>
      <c r="E99" s="12">
        <f t="shared" si="25"/>
        <v>9431.0611460765595</v>
      </c>
      <c r="F99" s="22">
        <v>0.46700000000000003</v>
      </c>
      <c r="G99" s="22">
        <f t="shared" si="26"/>
        <v>0.66043773362823543</v>
      </c>
      <c r="H99" s="42">
        <f t="shared" si="31"/>
        <v>-0.18016812160189721</v>
      </c>
      <c r="I99" s="10">
        <v>0.95020000000000004</v>
      </c>
      <c r="J99" s="10">
        <f t="shared" si="27"/>
        <v>1.3437857269669151</v>
      </c>
      <c r="K99" s="10">
        <f t="shared" si="28"/>
        <v>1.3391677480890878</v>
      </c>
      <c r="L99" s="10">
        <f t="shared" si="32"/>
        <v>4.6179788778273334E-3</v>
      </c>
      <c r="M99" s="10">
        <f t="shared" si="33"/>
        <v>0.12833002391517734</v>
      </c>
      <c r="N99" s="11">
        <v>2.74</v>
      </c>
      <c r="O99" s="11">
        <f t="shared" si="29"/>
        <v>1.37</v>
      </c>
      <c r="P99" s="11">
        <f t="shared" si="30"/>
        <v>1.3709387646149336</v>
      </c>
      <c r="Q99" s="31">
        <f t="shared" si="34"/>
        <v>-9.3876461493347385E-4</v>
      </c>
      <c r="R99" s="31">
        <f t="shared" si="35"/>
        <v>0.13672056715640679</v>
      </c>
      <c r="AQ99" s="16"/>
      <c r="BY99" s="17"/>
    </row>
    <row r="100" spans="3:77" x14ac:dyDescent="0.3">
      <c r="C100" s="84"/>
      <c r="D100" s="1">
        <v>1501</v>
      </c>
      <c r="E100" s="12">
        <f t="shared" si="25"/>
        <v>9431.0611460765595</v>
      </c>
      <c r="F100" s="22">
        <v>0.47799999999999998</v>
      </c>
      <c r="G100" s="22">
        <f t="shared" si="26"/>
        <v>0.67599408281433948</v>
      </c>
      <c r="H100" s="42">
        <f t="shared" si="31"/>
        <v>-0.17005710555589049</v>
      </c>
      <c r="I100" s="10">
        <v>0.97399999999999998</v>
      </c>
      <c r="J100" s="10">
        <f t="shared" si="27"/>
        <v>1.3774440097513947</v>
      </c>
      <c r="K100" s="10">
        <f t="shared" si="28"/>
        <v>1.3735679449624028</v>
      </c>
      <c r="L100" s="10">
        <f t="shared" si="32"/>
        <v>3.8760647889919397E-3</v>
      </c>
      <c r="M100" s="10">
        <f t="shared" si="33"/>
        <v>0.13907395471060616</v>
      </c>
      <c r="N100" s="11">
        <v>2.82</v>
      </c>
      <c r="O100" s="11">
        <f t="shared" si="29"/>
        <v>1.41</v>
      </c>
      <c r="P100" s="11">
        <f t="shared" si="30"/>
        <v>1.4048430866368846</v>
      </c>
      <c r="Q100" s="31">
        <f t="shared" si="34"/>
        <v>5.1569133631153008E-3</v>
      </c>
      <c r="R100" s="31">
        <f t="shared" si="35"/>
        <v>0.14921911265537988</v>
      </c>
      <c r="AQ100" s="16"/>
      <c r="BY100" s="17"/>
    </row>
    <row r="101" spans="3:77" x14ac:dyDescent="0.3">
      <c r="C101" s="84"/>
      <c r="D101" s="1">
        <v>1501</v>
      </c>
      <c r="E101" s="12">
        <f t="shared" si="25"/>
        <v>9431.0611460765595</v>
      </c>
      <c r="F101" s="22">
        <v>0.48599999999999999</v>
      </c>
      <c r="G101" s="22">
        <f t="shared" si="26"/>
        <v>0.6873077913133242</v>
      </c>
      <c r="H101" s="42">
        <f t="shared" si="31"/>
        <v>-0.16284873290571603</v>
      </c>
      <c r="I101" s="10">
        <v>0.99039999999999995</v>
      </c>
      <c r="J101" s="10">
        <f t="shared" si="27"/>
        <v>1.4006371121743133</v>
      </c>
      <c r="K101" s="10">
        <f t="shared" si="28"/>
        <v>1.3985862699611773</v>
      </c>
      <c r="L101" s="10">
        <f t="shared" si="32"/>
        <v>2.050842213136006E-3</v>
      </c>
      <c r="M101" s="10">
        <f t="shared" si="33"/>
        <v>0.14632562950803335</v>
      </c>
      <c r="N101" s="11">
        <v>2.86</v>
      </c>
      <c r="O101" s="11">
        <f t="shared" si="29"/>
        <v>1.43</v>
      </c>
      <c r="P101" s="11">
        <f t="shared" si="30"/>
        <v>1.4295007753801217</v>
      </c>
      <c r="Q101" s="31">
        <f t="shared" si="34"/>
        <v>4.9922461987828015E-4</v>
      </c>
      <c r="R101" s="31">
        <f t="shared" si="35"/>
        <v>0.1553360374650618</v>
      </c>
      <c r="AQ101" s="16"/>
      <c r="BY101" s="17"/>
    </row>
    <row r="102" spans="3:77" x14ac:dyDescent="0.3">
      <c r="C102" s="84"/>
      <c r="D102" s="1">
        <v>1501</v>
      </c>
      <c r="E102" s="12">
        <f t="shared" si="25"/>
        <v>9431.0611460765595</v>
      </c>
      <c r="F102" s="22">
        <v>0.496</v>
      </c>
      <c r="G102" s="22">
        <f t="shared" si="26"/>
        <v>0.70144992693705521</v>
      </c>
      <c r="H102" s="42">
        <f t="shared" si="31"/>
        <v>-0.15400332567781189</v>
      </c>
      <c r="I102" s="10">
        <v>1.014</v>
      </c>
      <c r="J102" s="10">
        <f t="shared" si="27"/>
        <v>1.4340125522463185</v>
      </c>
      <c r="K102" s="10">
        <f t="shared" si="28"/>
        <v>1.4298591762096455</v>
      </c>
      <c r="L102" s="10">
        <f t="shared" si="32"/>
        <v>4.1533760366729844E-3</v>
      </c>
      <c r="M102" s="10">
        <f t="shared" si="33"/>
        <v>0.15655295282930781</v>
      </c>
      <c r="N102" s="11">
        <v>2.92</v>
      </c>
      <c r="O102" s="11">
        <f t="shared" si="29"/>
        <v>1.46</v>
      </c>
      <c r="P102" s="11">
        <f t="shared" si="30"/>
        <v>1.460322886309168</v>
      </c>
      <c r="Q102" s="31">
        <f t="shared" si="34"/>
        <v>-3.2288630916799121E-4</v>
      </c>
      <c r="R102" s="31">
        <f t="shared" si="35"/>
        <v>0.16435285578443709</v>
      </c>
      <c r="AQ102" s="16"/>
      <c r="BY102" s="17"/>
    </row>
    <row r="103" spans="3:77" x14ac:dyDescent="0.3">
      <c r="C103" s="83" t="s">
        <v>103</v>
      </c>
      <c r="D103" s="1">
        <v>1501</v>
      </c>
      <c r="E103" s="12">
        <f t="shared" si="25"/>
        <v>9431.0611460765595</v>
      </c>
      <c r="F103" s="22">
        <v>0.497</v>
      </c>
      <c r="G103" s="22">
        <f t="shared" si="26"/>
        <v>0.70286414049942825</v>
      </c>
      <c r="H103" s="42">
        <f t="shared" si="31"/>
        <v>-0.15312861343467729</v>
      </c>
      <c r="I103" s="10">
        <v>1.0111000000000001</v>
      </c>
      <c r="J103" s="10">
        <f t="shared" si="27"/>
        <v>1.4299113329154367</v>
      </c>
      <c r="K103" s="10">
        <f t="shared" si="28"/>
        <v>1.4329864668344923</v>
      </c>
      <c r="L103" s="10">
        <f t="shared" si="32"/>
        <v>-3.0751339190555615E-3</v>
      </c>
      <c r="M103" s="10">
        <f t="shared" si="33"/>
        <v>0.15530910822070276</v>
      </c>
      <c r="N103" s="11">
        <v>2.92</v>
      </c>
      <c r="O103" s="11">
        <f t="shared" si="29"/>
        <v>1.46</v>
      </c>
      <c r="P103" s="11">
        <f t="shared" si="30"/>
        <v>1.4634050974020725</v>
      </c>
      <c r="Q103" s="31">
        <f t="shared" si="34"/>
        <v>-3.40509740207251E-3</v>
      </c>
      <c r="R103" s="31">
        <f t="shared" si="35"/>
        <v>0.16435285578443709</v>
      </c>
      <c r="AQ103" s="16"/>
      <c r="BY103" s="17"/>
    </row>
    <row r="104" spans="3:77" x14ac:dyDescent="0.3">
      <c r="C104" s="83"/>
      <c r="D104" s="1">
        <v>1501</v>
      </c>
      <c r="E104" s="12">
        <f t="shared" si="25"/>
        <v>9431.0611460765595</v>
      </c>
      <c r="F104" s="22">
        <v>0.48099999999999998</v>
      </c>
      <c r="G104" s="22">
        <f t="shared" si="26"/>
        <v>0.6802367235014587</v>
      </c>
      <c r="H104" s="42">
        <f t="shared" si="31"/>
        <v>-0.16733992579417764</v>
      </c>
      <c r="I104" s="10">
        <v>0.97489999999999999</v>
      </c>
      <c r="J104" s="10">
        <f t="shared" si="27"/>
        <v>1.3787168019575304</v>
      </c>
      <c r="K104" s="10">
        <f t="shared" si="28"/>
        <v>1.3829498168369432</v>
      </c>
      <c r="L104" s="10">
        <f t="shared" si="32"/>
        <v>-4.2330148794127442E-3</v>
      </c>
      <c r="M104" s="10">
        <f t="shared" si="33"/>
        <v>0.13947506822232866</v>
      </c>
      <c r="N104" s="11">
        <v>2.82</v>
      </c>
      <c r="O104" s="11">
        <f t="shared" si="29"/>
        <v>1.41</v>
      </c>
      <c r="P104" s="11">
        <f t="shared" si="30"/>
        <v>1.4140897199155984</v>
      </c>
      <c r="Q104" s="31">
        <f t="shared" si="34"/>
        <v>-4.0897199155984776E-3</v>
      </c>
      <c r="R104" s="31">
        <f t="shared" si="35"/>
        <v>0.14921911265537988</v>
      </c>
      <c r="AQ104" s="16"/>
      <c r="BY104" s="17"/>
    </row>
    <row r="105" spans="3:77" x14ac:dyDescent="0.3">
      <c r="C105" s="83"/>
      <c r="D105" s="1">
        <v>1501</v>
      </c>
      <c r="E105" s="12">
        <f t="shared" si="25"/>
        <v>9431.0611460765595</v>
      </c>
      <c r="F105" s="22">
        <v>0.47499999999999998</v>
      </c>
      <c r="G105" s="22">
        <f t="shared" si="26"/>
        <v>0.67175144212722016</v>
      </c>
      <c r="H105" s="42">
        <f t="shared" si="31"/>
        <v>-0.17279139254314282</v>
      </c>
      <c r="I105" s="10">
        <v>0.96150000000000002</v>
      </c>
      <c r="J105" s="10">
        <f t="shared" si="27"/>
        <v>1.359766340221731</v>
      </c>
      <c r="K105" s="10">
        <f t="shared" si="28"/>
        <v>1.3641860730878623</v>
      </c>
      <c r="L105" s="10">
        <f t="shared" si="32"/>
        <v>-4.4197328661312874E-3</v>
      </c>
      <c r="M105" s="10">
        <f t="shared" si="33"/>
        <v>0.1334642864064893</v>
      </c>
      <c r="N105" s="11">
        <v>2.78</v>
      </c>
      <c r="O105" s="11">
        <f t="shared" si="29"/>
        <v>1.39</v>
      </c>
      <c r="P105" s="11">
        <f t="shared" si="30"/>
        <v>1.3955964533581706</v>
      </c>
      <c r="Q105" s="31">
        <f t="shared" si="34"/>
        <v>-5.5964533581707165E-3</v>
      </c>
      <c r="R105" s="31">
        <f t="shared" si="35"/>
        <v>0.14301480025409505</v>
      </c>
      <c r="AQ105" s="16"/>
      <c r="BY105" s="17"/>
    </row>
    <row r="106" spans="3:77" x14ac:dyDescent="0.3">
      <c r="C106" s="83"/>
      <c r="D106" s="1">
        <v>1501</v>
      </c>
      <c r="E106" s="12">
        <f t="shared" si="25"/>
        <v>9431.0611460765595</v>
      </c>
      <c r="F106" s="22">
        <v>0.46200000000000002</v>
      </c>
      <c r="G106" s="22">
        <f t="shared" si="26"/>
        <v>0.65336666581637004</v>
      </c>
      <c r="H106" s="42">
        <f t="shared" si="31"/>
        <v>-0.18484302661188382</v>
      </c>
      <c r="I106" s="10">
        <v>0.93489999999999995</v>
      </c>
      <c r="J106" s="10">
        <f t="shared" si="27"/>
        <v>1.3221482594626066</v>
      </c>
      <c r="K106" s="10">
        <f t="shared" si="28"/>
        <v>1.3235312949648539</v>
      </c>
      <c r="L106" s="10">
        <f t="shared" si="32"/>
        <v>-1.3830355022472762E-3</v>
      </c>
      <c r="M106" s="10">
        <f t="shared" si="33"/>
        <v>0.12128015761275832</v>
      </c>
      <c r="N106" s="11">
        <v>2.74</v>
      </c>
      <c r="O106" s="11">
        <f t="shared" si="29"/>
        <v>1.37</v>
      </c>
      <c r="P106" s="11">
        <f t="shared" si="30"/>
        <v>1.3555277091504105</v>
      </c>
      <c r="Q106" s="31">
        <f t="shared" si="34"/>
        <v>1.4472290849589564E-2</v>
      </c>
      <c r="R106" s="31">
        <f t="shared" si="35"/>
        <v>0.13672056715640679</v>
      </c>
      <c r="AQ106" s="16"/>
      <c r="BY106" s="17"/>
    </row>
    <row r="107" spans="3:77" ht="15" thickBot="1" x14ac:dyDescent="0.35">
      <c r="C107" s="83"/>
      <c r="D107" s="1">
        <v>1501</v>
      </c>
      <c r="E107" s="12">
        <f t="shared" si="25"/>
        <v>9431.0611460765595</v>
      </c>
      <c r="F107" s="22">
        <v>0.45300000000000001</v>
      </c>
      <c r="G107" s="22">
        <f t="shared" si="26"/>
        <v>0.64063874375501217</v>
      </c>
      <c r="H107" s="42">
        <f t="shared" si="31"/>
        <v>-0.19338680015517745</v>
      </c>
      <c r="I107" s="10">
        <v>0.9143</v>
      </c>
      <c r="J107" s="10">
        <f t="shared" si="27"/>
        <v>1.2930154600777208</v>
      </c>
      <c r="K107" s="10">
        <f t="shared" si="28"/>
        <v>1.2953856793412326</v>
      </c>
      <c r="L107" s="10">
        <f t="shared" si="32"/>
        <v>-2.3702192635117747E-3</v>
      </c>
      <c r="M107" s="10">
        <f t="shared" si="33"/>
        <v>0.11160371759988677</v>
      </c>
      <c r="N107" s="11">
        <v>2.66</v>
      </c>
      <c r="O107" s="11">
        <f t="shared" si="29"/>
        <v>1.33</v>
      </c>
      <c r="P107" s="11">
        <f t="shared" si="30"/>
        <v>1.3277878093142688</v>
      </c>
      <c r="Q107" s="31">
        <f t="shared" si="34"/>
        <v>2.2121906857313078E-3</v>
      </c>
      <c r="R107" s="31">
        <f t="shared" si="35"/>
        <v>0.12385164096708581</v>
      </c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20"/>
    </row>
    <row r="108" spans="3:77" x14ac:dyDescent="0.3">
      <c r="C108" s="83"/>
      <c r="D108" s="1">
        <v>1501</v>
      </c>
      <c r="E108" s="12">
        <f t="shared" si="25"/>
        <v>9431.0611460765595</v>
      </c>
      <c r="F108" s="22">
        <v>0.44400000000000001</v>
      </c>
      <c r="G108" s="22">
        <f t="shared" si="26"/>
        <v>0.6279108216936542</v>
      </c>
      <c r="H108" s="42">
        <f t="shared" si="31"/>
        <v>-0.20210203205338959</v>
      </c>
      <c r="I108" s="10">
        <v>0.89419999999999999</v>
      </c>
      <c r="J108" s="10">
        <f t="shared" si="27"/>
        <v>1.2645897674740216</v>
      </c>
      <c r="K108" s="10">
        <f t="shared" si="28"/>
        <v>1.2672400637176109</v>
      </c>
      <c r="L108" s="10">
        <f t="shared" si="32"/>
        <v>-2.6502962435892563E-3</v>
      </c>
      <c r="M108" s="10">
        <f t="shared" si="33"/>
        <v>0.1019496633640036</v>
      </c>
      <c r="N108" s="11">
        <v>2.6</v>
      </c>
      <c r="O108" s="11">
        <f t="shared" si="29"/>
        <v>1.3</v>
      </c>
      <c r="P108" s="11">
        <f t="shared" si="30"/>
        <v>1.3000479094781268</v>
      </c>
      <c r="Q108" s="31">
        <f t="shared" si="34"/>
        <v>-4.7909478126717531E-5</v>
      </c>
      <c r="R108" s="31">
        <f t="shared" si="35"/>
        <v>0.11394335230683679</v>
      </c>
    </row>
    <row r="109" spans="3:77" x14ac:dyDescent="0.3">
      <c r="C109" s="83"/>
      <c r="D109" s="1">
        <v>1501</v>
      </c>
      <c r="E109" s="12">
        <f t="shared" si="25"/>
        <v>9431.0611460765595</v>
      </c>
      <c r="F109" s="22">
        <v>0.43099999999999999</v>
      </c>
      <c r="G109" s="22">
        <f t="shared" si="26"/>
        <v>0.60952604538280397</v>
      </c>
      <c r="H109" s="42">
        <f t="shared" si="31"/>
        <v>-0.2150077320072778</v>
      </c>
      <c r="I109" s="10">
        <v>0.86409999999999998</v>
      </c>
      <c r="J109" s="10">
        <f t="shared" si="27"/>
        <v>1.2220219392465914</v>
      </c>
      <c r="K109" s="10">
        <f t="shared" si="28"/>
        <v>1.2265852855946024</v>
      </c>
      <c r="L109" s="10">
        <f t="shared" si="32"/>
        <v>-4.5633463480110326E-3</v>
      </c>
      <c r="M109" s="10">
        <f t="shared" si="33"/>
        <v>8.7079002967256541E-2</v>
      </c>
      <c r="N109" s="11">
        <v>2.5</v>
      </c>
      <c r="O109" s="11">
        <f t="shared" si="29"/>
        <v>1.25</v>
      </c>
      <c r="P109" s="11">
        <f t="shared" si="30"/>
        <v>1.2599791652703665</v>
      </c>
      <c r="Q109" s="31">
        <f t="shared" si="34"/>
        <v>-9.9791652703664635E-3</v>
      </c>
      <c r="R109" s="31">
        <f t="shared" si="35"/>
        <v>9.691001300805642E-2</v>
      </c>
    </row>
    <row r="110" spans="3:77" x14ac:dyDescent="0.3">
      <c r="C110" s="83"/>
      <c r="D110" s="1">
        <v>1501</v>
      </c>
      <c r="E110" s="12">
        <f t="shared" si="25"/>
        <v>9431.0611460765595</v>
      </c>
      <c r="F110" s="22">
        <v>0.42</v>
      </c>
      <c r="G110" s="22">
        <f t="shared" si="26"/>
        <v>0.59396969619669993</v>
      </c>
      <c r="H110" s="42">
        <f t="shared" si="31"/>
        <v>-0.22623571177010893</v>
      </c>
      <c r="I110" s="10">
        <v>0.84219999999999995</v>
      </c>
      <c r="J110" s="10">
        <f t="shared" si="27"/>
        <v>1.1910506622306207</v>
      </c>
      <c r="K110" s="10">
        <f t="shared" si="28"/>
        <v>1.1921850887212875</v>
      </c>
      <c r="L110" s="10">
        <f t="shared" si="32"/>
        <v>-1.1344264906667512E-3</v>
      </c>
      <c r="M110" s="10">
        <f t="shared" si="33"/>
        <v>7.5930234916236891E-2</v>
      </c>
      <c r="N110" s="11">
        <v>2.46</v>
      </c>
      <c r="O110" s="11">
        <f t="shared" si="29"/>
        <v>1.23</v>
      </c>
      <c r="P110" s="11">
        <f t="shared" si="30"/>
        <v>1.2260748432484156</v>
      </c>
      <c r="Q110" s="31">
        <f t="shared" si="34"/>
        <v>3.9251567515843355E-3</v>
      </c>
      <c r="R110" s="31">
        <f t="shared" si="35"/>
        <v>8.9905111439397931E-2</v>
      </c>
    </row>
    <row r="111" spans="3:77" x14ac:dyDescent="0.3">
      <c r="C111" s="83"/>
      <c r="D111" s="1">
        <v>1501</v>
      </c>
      <c r="E111" s="12">
        <f t="shared" si="25"/>
        <v>9431.0611460765595</v>
      </c>
      <c r="F111" s="22">
        <v>0.41099999999999998</v>
      </c>
      <c r="G111" s="22">
        <f t="shared" si="26"/>
        <v>0.58124177413534206</v>
      </c>
      <c r="H111" s="42">
        <f t="shared" si="31"/>
        <v>-0.2356431802919402</v>
      </c>
      <c r="I111" s="10">
        <v>0.82199999999999995</v>
      </c>
      <c r="J111" s="10">
        <f t="shared" si="27"/>
        <v>1.1624835482706841</v>
      </c>
      <c r="K111" s="10">
        <f t="shared" si="28"/>
        <v>1.1640394730976662</v>
      </c>
      <c r="L111" s="10">
        <f t="shared" si="32"/>
        <v>-1.5559248269820802E-3</v>
      </c>
      <c r="M111" s="10">
        <f t="shared" si="33"/>
        <v>6.5386815372040996E-2</v>
      </c>
      <c r="N111" s="11">
        <v>2.38</v>
      </c>
      <c r="O111" s="11">
        <f t="shared" si="29"/>
        <v>1.19</v>
      </c>
      <c r="P111" s="11">
        <f t="shared" si="30"/>
        <v>1.1983349434122739</v>
      </c>
      <c r="Q111" s="31">
        <f t="shared" si="34"/>
        <v>-8.3349434122739208E-3</v>
      </c>
      <c r="R111" s="31">
        <f t="shared" si="35"/>
        <v>7.554696139253074E-2</v>
      </c>
    </row>
    <row r="112" spans="3:77" x14ac:dyDescent="0.3">
      <c r="C112" s="83"/>
      <c r="D112" s="1">
        <v>1501</v>
      </c>
      <c r="E112" s="12">
        <f t="shared" si="25"/>
        <v>9431.0611460765595</v>
      </c>
      <c r="F112" s="22">
        <v>0.40100000000000002</v>
      </c>
      <c r="G112" s="22">
        <f t="shared" si="26"/>
        <v>0.56709963851161116</v>
      </c>
      <c r="H112" s="42">
        <f t="shared" si="31"/>
        <v>-0.24634062954782707</v>
      </c>
      <c r="I112" s="10">
        <v>0.8</v>
      </c>
      <c r="J112" s="10">
        <f t="shared" si="27"/>
        <v>1.1313708498984762</v>
      </c>
      <c r="K112" s="10">
        <f t="shared" si="28"/>
        <v>1.132766566849198</v>
      </c>
      <c r="L112" s="10">
        <f t="shared" si="32"/>
        <v>-1.3957169507217149E-3</v>
      </c>
      <c r="M112" s="10">
        <f t="shared" si="33"/>
        <v>5.3604984823934262E-2</v>
      </c>
      <c r="N112" s="11">
        <v>2.34</v>
      </c>
      <c r="O112" s="11">
        <f t="shared" si="29"/>
        <v>1.17</v>
      </c>
      <c r="P112" s="11">
        <f t="shared" si="30"/>
        <v>1.1675128324832276</v>
      </c>
      <c r="Q112" s="31">
        <f t="shared" si="34"/>
        <v>2.4871675167723595E-3</v>
      </c>
      <c r="R112" s="31">
        <f t="shared" si="35"/>
        <v>6.8185861746161619E-2</v>
      </c>
    </row>
    <row r="113" spans="3:18" x14ac:dyDescent="0.3">
      <c r="C113" s="83"/>
      <c r="D113" s="1">
        <v>1501</v>
      </c>
      <c r="E113" s="12">
        <f t="shared" si="25"/>
        <v>9431.0611460765595</v>
      </c>
      <c r="F113" s="22">
        <v>0.39500000000000002</v>
      </c>
      <c r="G113" s="22">
        <f t="shared" si="26"/>
        <v>0.55861435713737262</v>
      </c>
      <c r="H113" s="42">
        <f t="shared" si="31"/>
        <v>-0.25288790654154913</v>
      </c>
      <c r="I113" s="10">
        <v>0.78739999999999999</v>
      </c>
      <c r="J113" s="10">
        <f t="shared" si="27"/>
        <v>1.1135517590125752</v>
      </c>
      <c r="K113" s="10">
        <f t="shared" si="28"/>
        <v>1.1140028231001173</v>
      </c>
      <c r="L113" s="10">
        <f t="shared" si="32"/>
        <v>-4.5106408754214122E-4</v>
      </c>
      <c r="M113" s="10">
        <f t="shared" si="33"/>
        <v>4.6710408286201398E-2</v>
      </c>
      <c r="N113" s="11">
        <v>2.2999999999999998</v>
      </c>
      <c r="O113" s="11">
        <f t="shared" si="29"/>
        <v>1.1499999999999999</v>
      </c>
      <c r="P113" s="11">
        <f t="shared" si="30"/>
        <v>1.1490195659257998</v>
      </c>
      <c r="Q113" s="31">
        <f t="shared" si="34"/>
        <v>9.8043407420012052E-4</v>
      </c>
      <c r="R113" s="31">
        <f t="shared" si="35"/>
        <v>6.069784035361165E-2</v>
      </c>
    </row>
    <row r="115" spans="3:18" x14ac:dyDescent="0.3">
      <c r="D115" s="4" t="s">
        <v>56</v>
      </c>
      <c r="E115" s="1">
        <v>1</v>
      </c>
    </row>
    <row r="116" spans="3:18" ht="16.2" x14ac:dyDescent="0.3">
      <c r="D116" s="4" t="s">
        <v>57</v>
      </c>
      <c r="E116" s="1">
        <f>ABS(2*PI()*E115)</f>
        <v>6.2831853071795862</v>
      </c>
    </row>
    <row r="138" spans="10:15" ht="15.6" x14ac:dyDescent="0.3">
      <c r="J138" s="70" t="s">
        <v>28</v>
      </c>
      <c r="K138" s="70"/>
      <c r="L138" s="70"/>
      <c r="M138" s="70"/>
      <c r="N138" s="70"/>
      <c r="O138" s="70"/>
    </row>
    <row r="139" spans="10:15" x14ac:dyDescent="0.3">
      <c r="J139" s="71" t="s">
        <v>29</v>
      </c>
      <c r="K139" s="71"/>
      <c r="N139" s="68" t="s">
        <v>14</v>
      </c>
      <c r="O139" s="68"/>
    </row>
    <row r="140" spans="10:15" ht="15.6" x14ac:dyDescent="0.3">
      <c r="J140" s="27" t="s">
        <v>30</v>
      </c>
      <c r="K140" s="30">
        <f>4*PI()*10^-7</f>
        <v>1.2566370614359173E-6</v>
      </c>
      <c r="N140" s="26" t="s">
        <v>30</v>
      </c>
      <c r="O140" s="30">
        <f>K140</f>
        <v>1.2566370614359173E-6</v>
      </c>
    </row>
    <row r="141" spans="10:15" ht="15.6" x14ac:dyDescent="0.3">
      <c r="J141" s="27" t="s">
        <v>31</v>
      </c>
      <c r="K141" s="30">
        <f>(X92*K145)/(K146*O146*O147*E94)</f>
        <v>1.2197581109194996E-6</v>
      </c>
      <c r="N141" s="26" t="s">
        <v>31</v>
      </c>
      <c r="O141" s="1">
        <f>(AH92*K145)/(K146*O146*O147*E94)</f>
        <v>1.2021754391057407E-6</v>
      </c>
    </row>
    <row r="142" spans="10:15" ht="15.6" x14ac:dyDescent="0.3">
      <c r="J142" s="27" t="s">
        <v>33</v>
      </c>
      <c r="K142" s="30">
        <f>8.3668*10^-9</f>
        <v>8.3668000000000005E-9</v>
      </c>
      <c r="N142" s="26" t="s">
        <v>32</v>
      </c>
      <c r="O142" s="1">
        <f>1.447*10^-8</f>
        <v>1.4470000000000002E-8</v>
      </c>
    </row>
    <row r="143" spans="10:15" x14ac:dyDescent="0.3">
      <c r="J143" s="27" t="s">
        <v>34</v>
      </c>
      <c r="K143" s="32">
        <f>(K141-K140)/K140</f>
        <v>-2.9347336353646392E-2</v>
      </c>
      <c r="N143" s="26" t="s">
        <v>34</v>
      </c>
      <c r="O143" s="32">
        <f>(O141-O140)/O140</f>
        <v>-4.3339182013257767E-2</v>
      </c>
    </row>
    <row r="145" spans="10:35" x14ac:dyDescent="0.3">
      <c r="J145" s="28" t="s">
        <v>19</v>
      </c>
      <c r="K145" s="1">
        <v>0.75</v>
      </c>
      <c r="L145" s="69" t="s">
        <v>36</v>
      </c>
      <c r="M145" s="69"/>
      <c r="N145" s="69"/>
      <c r="O145" s="1">
        <v>4.1000000000000002E-2</v>
      </c>
    </row>
    <row r="146" spans="10:35" ht="16.2" x14ac:dyDescent="0.3">
      <c r="J146" s="28" t="s">
        <v>17</v>
      </c>
      <c r="K146" s="1">
        <v>364</v>
      </c>
      <c r="L146" s="69" t="s">
        <v>37</v>
      </c>
      <c r="M146" s="69"/>
      <c r="N146" s="69"/>
      <c r="O146" s="44">
        <f>O145^2*PI()/4</f>
        <v>1.3202543126711107E-3</v>
      </c>
    </row>
    <row r="147" spans="10:35" x14ac:dyDescent="0.3">
      <c r="L147" s="69" t="s">
        <v>35</v>
      </c>
      <c r="M147" s="69"/>
      <c r="N147" s="69"/>
      <c r="O147" s="1">
        <v>300</v>
      </c>
    </row>
    <row r="151" spans="10:35" ht="15.6" x14ac:dyDescent="0.3">
      <c r="X151" s="65" t="s">
        <v>96</v>
      </c>
      <c r="Y151" s="66"/>
      <c r="Z151" s="66"/>
      <c r="AA151" s="67"/>
      <c r="AF151" s="65" t="s">
        <v>97</v>
      </c>
      <c r="AG151" s="66"/>
      <c r="AH151" s="66"/>
      <c r="AI151" s="67"/>
    </row>
    <row r="152" spans="10:35" x14ac:dyDescent="0.3">
      <c r="X152" s="4" t="s">
        <v>3</v>
      </c>
      <c r="Y152" s="22">
        <f t="array" ref="Y152:Z154">LINEST(M94:M113,H94:H113,1,1)</f>
        <v>1.0959258034883868</v>
      </c>
      <c r="Z152" s="22">
        <v>0.32422126093072406</v>
      </c>
      <c r="AA152" s="4" t="s">
        <v>5</v>
      </c>
      <c r="AF152" s="4" t="s">
        <v>3</v>
      </c>
      <c r="AG152" s="11">
        <f t="array" ref="AG152:AH154">LINEST(R94:R113,H94:H113,1,1)</f>
        <v>1.0532447966285989</v>
      </c>
      <c r="AH152" s="22">
        <v>0.32675149714974933</v>
      </c>
      <c r="AI152" s="4" t="s">
        <v>5</v>
      </c>
    </row>
    <row r="153" spans="10:35" x14ac:dyDescent="0.3">
      <c r="X153" s="4" t="s">
        <v>2</v>
      </c>
      <c r="Y153" s="22">
        <v>7.193787141831681E-3</v>
      </c>
      <c r="Z153" s="22">
        <v>1.4678665839950452E-3</v>
      </c>
      <c r="AA153" s="4" t="s">
        <v>6</v>
      </c>
      <c r="AF153" s="4" t="s">
        <v>2</v>
      </c>
      <c r="AG153" s="11">
        <v>1.2585439783273557E-2</v>
      </c>
      <c r="AH153" s="22">
        <v>2.5680140569248641E-3</v>
      </c>
      <c r="AI153" s="4" t="s">
        <v>6</v>
      </c>
    </row>
    <row r="154" spans="10:35" x14ac:dyDescent="0.3">
      <c r="X154" s="4" t="s">
        <v>4</v>
      </c>
      <c r="Y154" s="10">
        <v>0.99922502325967388</v>
      </c>
      <c r="Z154" s="22">
        <v>1.0365405353012706E-3</v>
      </c>
      <c r="AA154" s="4" t="s">
        <v>7</v>
      </c>
      <c r="AF154" s="4" t="s">
        <v>4</v>
      </c>
      <c r="AG154" s="22">
        <v>0.99743648476532487</v>
      </c>
      <c r="AH154" s="22">
        <v>1.8134145802143767E-3</v>
      </c>
      <c r="AI154" s="4" t="s">
        <v>7</v>
      </c>
    </row>
  </sheetData>
  <mergeCells count="67">
    <mergeCell ref="AG91:AJ91"/>
    <mergeCell ref="X151:AA151"/>
    <mergeCell ref="AF151:AI151"/>
    <mergeCell ref="H92:H93"/>
    <mergeCell ref="I92:M92"/>
    <mergeCell ref="N92:R92"/>
    <mergeCell ref="L145:N145"/>
    <mergeCell ref="L146:N146"/>
    <mergeCell ref="L147:N147"/>
    <mergeCell ref="J138:O138"/>
    <mergeCell ref="J139:K139"/>
    <mergeCell ref="N139:O139"/>
    <mergeCell ref="B20:C20"/>
    <mergeCell ref="B21:C21"/>
    <mergeCell ref="B22:C22"/>
    <mergeCell ref="B23:C23"/>
    <mergeCell ref="B28:C28"/>
    <mergeCell ref="B24:C24"/>
    <mergeCell ref="B25:C25"/>
    <mergeCell ref="B26:C26"/>
    <mergeCell ref="B27:C27"/>
    <mergeCell ref="AV60:AV61"/>
    <mergeCell ref="AW60:AW61"/>
    <mergeCell ref="B29:C29"/>
    <mergeCell ref="C103:C113"/>
    <mergeCell ref="C94:C102"/>
    <mergeCell ref="D92:D93"/>
    <mergeCell ref="E92:E93"/>
    <mergeCell ref="C91:C93"/>
    <mergeCell ref="E60:E61"/>
    <mergeCell ref="D91:R91"/>
    <mergeCell ref="F92:F93"/>
    <mergeCell ref="G92:G93"/>
    <mergeCell ref="F60:F61"/>
    <mergeCell ref="G60:G61"/>
    <mergeCell ref="H60:H61"/>
    <mergeCell ref="W91:Z91"/>
    <mergeCell ref="I60:L60"/>
    <mergeCell ref="U60:X60"/>
    <mergeCell ref="AA60:AD60"/>
    <mergeCell ref="BI2:BL2"/>
    <mergeCell ref="AT2:BE2"/>
    <mergeCell ref="BB60:BE60"/>
    <mergeCell ref="V2:Y2"/>
    <mergeCell ref="AF2:AI2"/>
    <mergeCell ref="M3:P3"/>
    <mergeCell ref="AT59:BE59"/>
    <mergeCell ref="AX3:BA3"/>
    <mergeCell ref="AX60:BA60"/>
    <mergeCell ref="BB3:BE3"/>
    <mergeCell ref="M60:P60"/>
    <mergeCell ref="AT60:AT61"/>
    <mergeCell ref="AU60:AU61"/>
    <mergeCell ref="BR2:BU2"/>
    <mergeCell ref="F3:F4"/>
    <mergeCell ref="G3:G4"/>
    <mergeCell ref="E59:P59"/>
    <mergeCell ref="H3:H4"/>
    <mergeCell ref="AW3:AW4"/>
    <mergeCell ref="AV3:AV4"/>
    <mergeCell ref="AU3:AU4"/>
    <mergeCell ref="AT3:AT4"/>
    <mergeCell ref="E2:P2"/>
    <mergeCell ref="E3:E4"/>
    <mergeCell ref="BI59:BL59"/>
    <mergeCell ref="BR59:BU59"/>
    <mergeCell ref="I3:L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P50"/>
  <sheetViews>
    <sheetView tabSelected="1" topLeftCell="C32" zoomScaleNormal="100" workbookViewId="0">
      <selection activeCell="D34" sqref="D34"/>
    </sheetView>
  </sheetViews>
  <sheetFormatPr defaultColWidth="8.88671875" defaultRowHeight="14.4" x14ac:dyDescent="0.3"/>
  <cols>
    <col min="1" max="3" width="8.88671875" style="6"/>
    <col min="4" max="4" width="10.5546875" style="6" customWidth="1"/>
    <col min="5" max="5" width="12.21875" style="6" customWidth="1"/>
    <col min="6" max="6" width="8.88671875" style="6"/>
    <col min="7" max="7" width="9.21875" style="6" customWidth="1"/>
    <col min="8" max="8" width="13.44140625" style="6" bestFit="1" customWidth="1"/>
    <col min="9" max="9" width="12.88671875" style="6" bestFit="1" customWidth="1"/>
    <col min="10" max="10" width="15.109375" style="6" bestFit="1" customWidth="1"/>
    <col min="11" max="11" width="14.109375" style="6" bestFit="1" customWidth="1"/>
    <col min="12" max="12" width="10.5546875" style="6" bestFit="1" customWidth="1"/>
    <col min="13" max="13" width="11.33203125" style="6" bestFit="1" customWidth="1"/>
    <col min="14" max="14" width="11.33203125" style="6" customWidth="1"/>
    <col min="15" max="15" width="13.33203125" style="6" customWidth="1"/>
    <col min="16" max="16" width="12" style="6" bestFit="1" customWidth="1"/>
    <col min="17" max="21" width="8.88671875" style="6"/>
    <col min="22" max="22" width="10.88671875" style="6" customWidth="1"/>
    <col min="23" max="23" width="10.6640625" style="6" customWidth="1"/>
    <col min="24" max="29" width="8.88671875" style="6"/>
    <col min="30" max="31" width="9.5546875" style="6" bestFit="1" customWidth="1"/>
    <col min="32" max="16384" width="8.88671875" style="6"/>
  </cols>
  <sheetData>
    <row r="2" spans="3:42" ht="17.25" customHeight="1" x14ac:dyDescent="0.3">
      <c r="C2" s="59" t="s">
        <v>10</v>
      </c>
      <c r="D2" s="59" t="s">
        <v>11</v>
      </c>
      <c r="E2" s="63" t="s">
        <v>87</v>
      </c>
      <c r="F2" s="59" t="s">
        <v>77</v>
      </c>
      <c r="G2" s="59" t="s">
        <v>74</v>
      </c>
      <c r="H2" s="59" t="s">
        <v>75</v>
      </c>
      <c r="I2" s="59" t="s">
        <v>101</v>
      </c>
      <c r="J2" s="60" t="s">
        <v>13</v>
      </c>
      <c r="K2" s="61"/>
      <c r="L2" s="61"/>
      <c r="M2" s="61"/>
      <c r="N2" s="62"/>
      <c r="O2" s="68" t="s">
        <v>12</v>
      </c>
      <c r="P2" s="68"/>
      <c r="Q2" s="68"/>
      <c r="R2" s="68"/>
      <c r="S2" s="68"/>
      <c r="AC2" s="2"/>
      <c r="AD2" s="2"/>
      <c r="AE2" s="2"/>
      <c r="AF2" s="2"/>
      <c r="AG2" s="2"/>
      <c r="AH2" s="2"/>
      <c r="AI2" s="2"/>
    </row>
    <row r="3" spans="3:42" ht="15.6" x14ac:dyDescent="0.35">
      <c r="C3" s="59"/>
      <c r="D3" s="59"/>
      <c r="E3" s="64"/>
      <c r="F3" s="59"/>
      <c r="G3" s="59"/>
      <c r="H3" s="59"/>
      <c r="I3" s="59"/>
      <c r="J3" s="3" t="s">
        <v>80</v>
      </c>
      <c r="K3" s="3" t="s">
        <v>76</v>
      </c>
      <c r="L3" s="5" t="s">
        <v>0</v>
      </c>
      <c r="M3" s="5" t="s">
        <v>1</v>
      </c>
      <c r="N3" s="46" t="s">
        <v>83</v>
      </c>
      <c r="O3" s="3" t="s">
        <v>79</v>
      </c>
      <c r="P3" s="3" t="s">
        <v>78</v>
      </c>
      <c r="Q3" s="5" t="s">
        <v>0</v>
      </c>
      <c r="R3" s="5" t="s">
        <v>1</v>
      </c>
      <c r="S3" s="46" t="s">
        <v>83</v>
      </c>
      <c r="U3" s="87" t="s">
        <v>24</v>
      </c>
      <c r="V3" s="87"/>
      <c r="W3" s="87"/>
      <c r="X3" s="87"/>
      <c r="AC3" s="59" t="s">
        <v>25</v>
      </c>
      <c r="AD3" s="59"/>
      <c r="AE3" s="59"/>
      <c r="AF3" s="59"/>
      <c r="AG3" s="2"/>
      <c r="AH3" s="2"/>
      <c r="AI3" s="2"/>
    </row>
    <row r="4" spans="3:42" x14ac:dyDescent="0.3">
      <c r="C4" s="7">
        <v>1</v>
      </c>
      <c r="D4" s="7">
        <v>300</v>
      </c>
      <c r="E4" s="23">
        <f>LOG(D4)</f>
        <v>2.4771212547196626</v>
      </c>
      <c r="F4" s="7">
        <v>1501</v>
      </c>
      <c r="G4" s="40">
        <f>F4*2*PI()</f>
        <v>9431.0611460765595</v>
      </c>
      <c r="H4" s="7">
        <v>0.498</v>
      </c>
      <c r="I4" s="23">
        <f>H4*SQRT(2)</f>
        <v>0.70427835406180139</v>
      </c>
      <c r="J4" s="24">
        <v>1.0172000000000001</v>
      </c>
      <c r="K4" s="24">
        <f>J4*SQRT(2)</f>
        <v>1.4385380356459125</v>
      </c>
      <c r="L4" s="24">
        <f>V$4*D4+W$4</f>
        <v>1.426828347349463</v>
      </c>
      <c r="M4" s="24">
        <f>L4-K4</f>
        <v>-1.1709688296449583E-2</v>
      </c>
      <c r="N4" s="24">
        <f>LOG(K4)</f>
        <v>0.15792134933566196</v>
      </c>
      <c r="O4" s="39">
        <v>2.94</v>
      </c>
      <c r="P4" s="39">
        <f>O4/2</f>
        <v>1.47</v>
      </c>
      <c r="Q4" s="39">
        <f>D4*AD$4+AE$4</f>
        <v>1.4689999999999999</v>
      </c>
      <c r="R4" s="50">
        <f>P4-Q4</f>
        <v>1.0000000000001119E-3</v>
      </c>
      <c r="S4" s="50">
        <f>LOG(P4)</f>
        <v>0.16731733474817609</v>
      </c>
      <c r="U4" s="4" t="s">
        <v>3</v>
      </c>
      <c r="V4" s="49">
        <f t="array" ref="V4:W6">LINEST(K4:K8,D4:D8,1,1)</f>
        <v>4.6889664874042326E-3</v>
      </c>
      <c r="W4" s="39">
        <v>2.0138401128193095E-2</v>
      </c>
      <c r="X4" s="4" t="s">
        <v>5</v>
      </c>
      <c r="AC4" s="4" t="s">
        <v>3</v>
      </c>
      <c r="AD4" s="44">
        <f t="array" ref="AD4:AE6">LINEST(P4:P8,D4:D8,1,1)</f>
        <v>4.6049999999999989E-3</v>
      </c>
      <c r="AE4" s="22">
        <v>8.7500000000000133E-2</v>
      </c>
      <c r="AF4" s="4" t="s">
        <v>5</v>
      </c>
      <c r="AG4" s="2"/>
      <c r="AH4" s="2"/>
      <c r="AI4" s="2"/>
    </row>
    <row r="5" spans="3:42" x14ac:dyDescent="0.3">
      <c r="C5" s="7">
        <v>4</v>
      </c>
      <c r="D5" s="7">
        <v>200</v>
      </c>
      <c r="E5" s="23">
        <f t="shared" ref="E5:E8" si="0">LOG(D5)</f>
        <v>2.3010299956639813</v>
      </c>
      <c r="F5" s="7">
        <v>1501</v>
      </c>
      <c r="G5" s="40">
        <f t="shared" ref="G5:G8" si="1">F5*2*PI()</f>
        <v>9431.0611460765595</v>
      </c>
      <c r="H5" s="7">
        <v>0.498</v>
      </c>
      <c r="I5" s="23">
        <f>H5*SQRT(2)</f>
        <v>0.70427835406180139</v>
      </c>
      <c r="J5" s="24">
        <v>0.68320000000000003</v>
      </c>
      <c r="K5" s="24">
        <f>J5*SQRT(2)</f>
        <v>0.96619070581329869</v>
      </c>
      <c r="L5" s="24">
        <f>V$4*D5+W$4</f>
        <v>0.95793169860903959</v>
      </c>
      <c r="M5" s="24">
        <f>K5-L5</f>
        <v>8.2590072042590945E-3</v>
      </c>
      <c r="N5" s="24">
        <f t="shared" ref="N5:N8" si="2">LOG(K5)</f>
        <v>-1.4937144487060688E-2</v>
      </c>
      <c r="O5" s="39">
        <v>2.0099999999999998</v>
      </c>
      <c r="P5" s="39">
        <f t="shared" ref="P5:P8" si="3">O5/2</f>
        <v>1.0049999999999999</v>
      </c>
      <c r="Q5" s="39">
        <f>D5*AD$4+AE$4</f>
        <v>1.0085</v>
      </c>
      <c r="R5" s="50">
        <f t="shared" ref="R5:R8" si="4">P5-Q5</f>
        <v>-3.5000000000000586E-3</v>
      </c>
      <c r="S5" s="50">
        <f t="shared" ref="S5:S8" si="5">LOG(P5)</f>
        <v>2.1660617565076304E-3</v>
      </c>
      <c r="U5" s="4" t="s">
        <v>2</v>
      </c>
      <c r="V5" s="49">
        <v>3.4887629135077449E-5</v>
      </c>
      <c r="W5" s="39">
        <v>1.157091756661232E-2</v>
      </c>
      <c r="X5" s="4" t="s">
        <v>6</v>
      </c>
      <c r="AC5" s="4" t="s">
        <v>2</v>
      </c>
      <c r="AD5" s="44">
        <v>7.637626158259235E-6</v>
      </c>
      <c r="AE5" s="22">
        <v>2.5331140255949454E-3</v>
      </c>
      <c r="AF5" s="4" t="s">
        <v>6</v>
      </c>
      <c r="AG5" s="2"/>
      <c r="AH5" s="2"/>
      <c r="AI5" s="2"/>
    </row>
    <row r="6" spans="3:42" ht="15.6" x14ac:dyDescent="0.3">
      <c r="C6" s="7">
        <v>5</v>
      </c>
      <c r="D6" s="7">
        <v>100</v>
      </c>
      <c r="E6" s="23">
        <f t="shared" si="0"/>
        <v>2</v>
      </c>
      <c r="F6" s="7">
        <v>1501</v>
      </c>
      <c r="G6" s="40">
        <f t="shared" si="1"/>
        <v>9431.0611460765595</v>
      </c>
      <c r="H6" s="7">
        <v>0.496</v>
      </c>
      <c r="I6" s="23">
        <f>H6*SQRT(2)</f>
        <v>0.70144992693705521</v>
      </c>
      <c r="J6" s="24">
        <v>0.33810000000000001</v>
      </c>
      <c r="K6" s="24">
        <f>J6*SQRT(2)</f>
        <v>0.4781456054383435</v>
      </c>
      <c r="L6" s="24">
        <f>V$4*D6+W$4</f>
        <v>0.48903504986861634</v>
      </c>
      <c r="M6" s="24">
        <f>K6-L6</f>
        <v>-1.0889444430272843E-2</v>
      </c>
      <c r="N6" s="24">
        <f t="shared" si="2"/>
        <v>-0.32043983140224036</v>
      </c>
      <c r="O6" s="39">
        <v>1.1000000000000001</v>
      </c>
      <c r="P6" s="39">
        <f t="shared" si="3"/>
        <v>0.55000000000000004</v>
      </c>
      <c r="Q6" s="39">
        <f>D6*AD$4+AE$4</f>
        <v>0.54800000000000004</v>
      </c>
      <c r="R6" s="50">
        <f t="shared" si="4"/>
        <v>2.0000000000000018E-3</v>
      </c>
      <c r="S6" s="50">
        <f t="shared" si="5"/>
        <v>-0.25963731050575611</v>
      </c>
      <c r="U6" s="4" t="s">
        <v>4</v>
      </c>
      <c r="V6" s="24">
        <v>0.99983395041643675</v>
      </c>
      <c r="W6" s="39">
        <v>1.1032437023009491E-2</v>
      </c>
      <c r="X6" s="4" t="s">
        <v>7</v>
      </c>
      <c r="AC6" s="4" t="s">
        <v>4</v>
      </c>
      <c r="AD6" s="44">
        <v>0.99999174769642851</v>
      </c>
      <c r="AE6" s="22">
        <v>2.4152294576980822E-3</v>
      </c>
      <c r="AF6" s="4" t="s">
        <v>7</v>
      </c>
      <c r="AG6" s="2"/>
      <c r="AH6" s="2"/>
      <c r="AI6" s="2"/>
      <c r="AL6" s="70" t="s">
        <v>28</v>
      </c>
      <c r="AM6" s="70"/>
      <c r="AN6" s="70"/>
      <c r="AO6" s="70"/>
      <c r="AP6" s="70"/>
    </row>
    <row r="7" spans="3:42" x14ac:dyDescent="0.3">
      <c r="C7" s="7">
        <v>7</v>
      </c>
      <c r="D7" s="7">
        <v>400</v>
      </c>
      <c r="E7" s="23">
        <f t="shared" si="0"/>
        <v>2.6020599913279625</v>
      </c>
      <c r="F7" s="7">
        <v>1501</v>
      </c>
      <c r="G7" s="40">
        <f t="shared" si="1"/>
        <v>9431.0611460765595</v>
      </c>
      <c r="H7" s="7">
        <v>0.496</v>
      </c>
      <c r="I7" s="23">
        <f>H7*SQRT(2)</f>
        <v>0.70144992693705521</v>
      </c>
      <c r="J7" s="24">
        <v>1.3371999999999999</v>
      </c>
      <c r="K7" s="24">
        <f>J7*SQRT(2)</f>
        <v>1.8910863756053027</v>
      </c>
      <c r="L7" s="24">
        <f>V$4*D7+W$4</f>
        <v>1.8957249960898861</v>
      </c>
      <c r="M7" s="24">
        <f>K7-L7</f>
        <v>-4.6386204845834111E-3</v>
      </c>
      <c r="N7" s="24">
        <f t="shared" si="2"/>
        <v>0.27671136575252153</v>
      </c>
      <c r="O7" s="39">
        <v>3.86</v>
      </c>
      <c r="P7" s="39">
        <f t="shared" si="3"/>
        <v>1.93</v>
      </c>
      <c r="Q7" s="39">
        <f>D7*AD$4+AE$4</f>
        <v>1.9294999999999998</v>
      </c>
      <c r="R7" s="50">
        <f t="shared" si="4"/>
        <v>5.0000000000016698E-4</v>
      </c>
      <c r="S7" s="50">
        <f t="shared" si="5"/>
        <v>0.28555730900777376</v>
      </c>
      <c r="AC7" s="2"/>
      <c r="AD7" s="2"/>
      <c r="AE7" s="2"/>
      <c r="AF7" s="2"/>
      <c r="AG7" s="2"/>
      <c r="AH7" s="2"/>
      <c r="AI7" s="2"/>
      <c r="AL7" s="71" t="s">
        <v>29</v>
      </c>
      <c r="AM7" s="71"/>
      <c r="AN7" s="2"/>
      <c r="AO7" s="68" t="s">
        <v>14</v>
      </c>
      <c r="AP7" s="68"/>
    </row>
    <row r="8" spans="3:42" ht="15.6" x14ac:dyDescent="0.3">
      <c r="C8" s="7">
        <v>8</v>
      </c>
      <c r="D8" s="7">
        <v>500</v>
      </c>
      <c r="E8" s="23">
        <f t="shared" si="0"/>
        <v>2.6989700043360187</v>
      </c>
      <c r="F8" s="7">
        <v>1501</v>
      </c>
      <c r="G8" s="40">
        <f t="shared" si="1"/>
        <v>9431.0611460765595</v>
      </c>
      <c r="H8" s="7">
        <v>0.497</v>
      </c>
      <c r="I8" s="23">
        <f>H8*SQRT(2)</f>
        <v>0.70286414049942825</v>
      </c>
      <c r="J8" s="24">
        <v>1.6689000000000001</v>
      </c>
      <c r="K8" s="24">
        <f>J8*SQRT(2)</f>
        <v>2.3601810142444584</v>
      </c>
      <c r="L8" s="24">
        <f>V$4*D8+W$4</f>
        <v>2.3646216448303092</v>
      </c>
      <c r="M8" s="24">
        <f>K8-L8</f>
        <v>-4.4406305858508688E-3</v>
      </c>
      <c r="N8" s="24">
        <f t="shared" si="2"/>
        <v>0.37294531249248103</v>
      </c>
      <c r="O8" s="39">
        <v>4.78</v>
      </c>
      <c r="P8" s="39">
        <f t="shared" si="3"/>
        <v>2.39</v>
      </c>
      <c r="Q8" s="39">
        <f>D8*AD$4+AE$4</f>
        <v>2.3899999999999997</v>
      </c>
      <c r="R8" s="50">
        <f t="shared" si="4"/>
        <v>0</v>
      </c>
      <c r="S8" s="50">
        <f t="shared" si="5"/>
        <v>0.37839790094813769</v>
      </c>
      <c r="AC8" s="2"/>
      <c r="AD8" s="2"/>
      <c r="AE8" s="2"/>
      <c r="AF8" s="2"/>
      <c r="AG8" s="2"/>
      <c r="AH8" s="2"/>
      <c r="AI8" s="2"/>
      <c r="AL8" s="27" t="s">
        <v>30</v>
      </c>
      <c r="AM8" s="30">
        <f>4*PI()*10^-7</f>
        <v>1.2566370614359173E-6</v>
      </c>
      <c r="AN8" s="2"/>
      <c r="AO8" s="26" t="s">
        <v>30</v>
      </c>
      <c r="AP8" s="30">
        <f>AM8</f>
        <v>1.2566370614359173E-6</v>
      </c>
    </row>
    <row r="9" spans="3:42" ht="15.6" x14ac:dyDescent="0.3">
      <c r="AC9" s="2"/>
      <c r="AD9" s="2"/>
      <c r="AE9" s="2"/>
      <c r="AF9" s="2"/>
      <c r="AG9" s="2"/>
      <c r="AH9" s="2"/>
      <c r="AI9" s="2"/>
      <c r="AL9" s="27" t="s">
        <v>31</v>
      </c>
      <c r="AM9" s="1">
        <f>(V4*AM13)/(AM14*AP14*G4*K11)</f>
        <v>1.1039450756471434E-6</v>
      </c>
      <c r="AN9" s="2"/>
      <c r="AO9" s="26" t="s">
        <v>31</v>
      </c>
      <c r="AP9" s="1">
        <f>(AD4*AM13)/(AM14*AP14*G4*K11)</f>
        <v>1.0841764570105434E-6</v>
      </c>
    </row>
    <row r="10" spans="3:42" ht="15.6" x14ac:dyDescent="0.3">
      <c r="AC10" s="2"/>
      <c r="AD10" s="2"/>
      <c r="AE10" s="2"/>
      <c r="AF10" s="2"/>
      <c r="AG10" s="2"/>
      <c r="AH10" s="2"/>
      <c r="AI10" s="2"/>
      <c r="AL10" s="27" t="s">
        <v>33</v>
      </c>
      <c r="AM10" s="1">
        <f>8.3*10^-9</f>
        <v>8.3000000000000015E-9</v>
      </c>
      <c r="AN10" s="2"/>
      <c r="AO10" s="26" t="s">
        <v>32</v>
      </c>
      <c r="AP10" s="1">
        <f>2.1*10^-9</f>
        <v>2.1000000000000002E-9</v>
      </c>
    </row>
    <row r="11" spans="3:42" ht="15.6" x14ac:dyDescent="0.3">
      <c r="J11" s="4" t="s">
        <v>38</v>
      </c>
      <c r="K11" s="1">
        <f>AVERAGE(I4:I8)</f>
        <v>0.70286414049942836</v>
      </c>
      <c r="AC11" s="2"/>
      <c r="AD11" s="2"/>
      <c r="AE11" s="2"/>
      <c r="AF11" s="2"/>
      <c r="AG11" s="2"/>
      <c r="AH11" s="2"/>
      <c r="AI11" s="2"/>
      <c r="AL11" s="27" t="s">
        <v>34</v>
      </c>
      <c r="AM11" s="32">
        <f>(AM9-AM8)/AM8</f>
        <v>-0.121508421544004</v>
      </c>
      <c r="AN11" s="2"/>
      <c r="AO11" s="26" t="s">
        <v>34</v>
      </c>
      <c r="AP11" s="32">
        <f>(AP9-AP8)/AP8</f>
        <v>-0.13723978841457127</v>
      </c>
    </row>
    <row r="12" spans="3:42" ht="15.6" x14ac:dyDescent="0.3">
      <c r="J12" s="4" t="s">
        <v>39</v>
      </c>
      <c r="K12" s="1">
        <f>_xlfn.STDEV.P(I4:I8)/SQRT(5)</f>
        <v>5.6568542494923597E-4</v>
      </c>
      <c r="AC12" s="2"/>
      <c r="AD12" s="2"/>
      <c r="AE12" s="2"/>
      <c r="AF12" s="2"/>
      <c r="AG12" s="2"/>
      <c r="AH12" s="2"/>
      <c r="AI12" s="2"/>
      <c r="AL12" s="2"/>
      <c r="AM12" s="2"/>
      <c r="AN12" s="2"/>
      <c r="AO12" s="2"/>
      <c r="AP12" s="2"/>
    </row>
    <row r="13" spans="3:42" x14ac:dyDescent="0.3">
      <c r="AC13" s="2"/>
      <c r="AD13" s="2"/>
      <c r="AE13" s="2"/>
      <c r="AF13" s="2"/>
      <c r="AG13" s="2"/>
      <c r="AH13" s="2"/>
      <c r="AI13" s="2"/>
      <c r="AL13" s="28" t="s">
        <v>19</v>
      </c>
      <c r="AM13" s="1">
        <v>0.75</v>
      </c>
      <c r="AN13" s="69" t="s">
        <v>36</v>
      </c>
      <c r="AO13" s="69"/>
      <c r="AP13" s="1">
        <v>4.1000000000000002E-2</v>
      </c>
    </row>
    <row r="14" spans="3:42" ht="16.2" x14ac:dyDescent="0.3">
      <c r="J14" s="4" t="s">
        <v>56</v>
      </c>
      <c r="K14" s="1">
        <v>1</v>
      </c>
      <c r="AC14" s="2"/>
      <c r="AD14" s="2"/>
      <c r="AE14" s="2"/>
      <c r="AF14" s="2"/>
      <c r="AG14" s="2"/>
      <c r="AH14" s="2"/>
      <c r="AI14" s="2"/>
      <c r="AL14" s="28" t="s">
        <v>17</v>
      </c>
      <c r="AM14" s="1">
        <v>364</v>
      </c>
      <c r="AN14" s="69" t="s">
        <v>37</v>
      </c>
      <c r="AO14" s="69"/>
      <c r="AP14" s="37">
        <f>AP13^2*PI()/4</f>
        <v>1.3202543126711107E-3</v>
      </c>
    </row>
    <row r="15" spans="3:42" ht="16.2" x14ac:dyDescent="0.3">
      <c r="J15" s="4" t="s">
        <v>57</v>
      </c>
      <c r="K15" s="1">
        <f>ABS(2*PI()*K14)</f>
        <v>6.2831853071795862</v>
      </c>
      <c r="AC15" s="2"/>
      <c r="AD15" s="2"/>
      <c r="AE15" s="2"/>
      <c r="AF15" s="2"/>
      <c r="AG15" s="2"/>
      <c r="AH15" s="2"/>
      <c r="AI15" s="2"/>
    </row>
    <row r="16" spans="3:42" x14ac:dyDescent="0.3">
      <c r="AC16" s="2"/>
      <c r="AD16" s="2"/>
      <c r="AE16" s="2"/>
      <c r="AF16" s="2"/>
      <c r="AG16" s="2"/>
      <c r="AH16" s="2"/>
      <c r="AI16" s="2"/>
    </row>
    <row r="17" spans="3:35" x14ac:dyDescent="0.3">
      <c r="I17" s="9"/>
      <c r="J17" s="9"/>
      <c r="K17" s="8"/>
      <c r="AC17" s="2"/>
      <c r="AD17" s="2"/>
      <c r="AE17" s="2"/>
      <c r="AF17" s="2"/>
      <c r="AG17" s="2"/>
      <c r="AH17" s="2"/>
      <c r="AI17" s="2"/>
    </row>
    <row r="18" spans="3:35" x14ac:dyDescent="0.3">
      <c r="J18" s="59" t="s">
        <v>16</v>
      </c>
      <c r="K18" s="59"/>
      <c r="L18" s="1">
        <f>i0!D20</f>
        <v>1E-3</v>
      </c>
      <c r="AC18" s="2"/>
      <c r="AD18" s="2"/>
      <c r="AE18" s="2"/>
      <c r="AF18" s="2"/>
      <c r="AG18" s="2"/>
      <c r="AH18" s="2"/>
      <c r="AI18" s="2"/>
    </row>
    <row r="19" spans="3:35" x14ac:dyDescent="0.3">
      <c r="J19" s="59" t="s">
        <v>15</v>
      </c>
      <c r="K19" s="59"/>
      <c r="L19" s="1">
        <f>i0!D21</f>
        <v>0</v>
      </c>
      <c r="AC19" s="2"/>
      <c r="AD19" s="2"/>
      <c r="AE19" s="2"/>
      <c r="AF19" s="2"/>
      <c r="AG19" s="2"/>
      <c r="AH19" s="2"/>
      <c r="AI19" s="2"/>
    </row>
    <row r="20" spans="3:35" x14ac:dyDescent="0.3">
      <c r="C20" s="9"/>
      <c r="D20" s="9"/>
      <c r="E20" s="9"/>
      <c r="J20" s="59" t="s">
        <v>59</v>
      </c>
      <c r="K20" s="59"/>
      <c r="L20" s="1">
        <f>i0!D22</f>
        <v>6.2831853071795862</v>
      </c>
      <c r="AC20" s="2"/>
      <c r="AD20" s="2"/>
      <c r="AE20" s="2"/>
      <c r="AF20" s="2"/>
      <c r="AG20" s="2"/>
      <c r="AH20" s="2"/>
      <c r="AI20" s="2"/>
    </row>
    <row r="21" spans="3:35" x14ac:dyDescent="0.3">
      <c r="J21" s="59" t="s">
        <v>18</v>
      </c>
      <c r="K21" s="59"/>
      <c r="L21" s="1">
        <f>i0!D23</f>
        <v>1</v>
      </c>
      <c r="AC21" s="2"/>
      <c r="AD21" s="2"/>
      <c r="AE21" s="2"/>
      <c r="AF21" s="2"/>
      <c r="AG21" s="2"/>
      <c r="AH21" s="2"/>
      <c r="AI21" s="2"/>
    </row>
    <row r="22" spans="3:35" x14ac:dyDescent="0.3">
      <c r="J22" s="59" t="s">
        <v>60</v>
      </c>
      <c r="K22" s="59"/>
      <c r="L22" s="1">
        <f>i0!D24</f>
        <v>1E-4</v>
      </c>
      <c r="AC22" s="2"/>
      <c r="AD22" s="2"/>
      <c r="AE22" s="2"/>
      <c r="AF22" s="2"/>
      <c r="AG22" s="2"/>
      <c r="AH22" s="2"/>
      <c r="AI22" s="2"/>
    </row>
    <row r="23" spans="3:35" ht="15.6" x14ac:dyDescent="0.3">
      <c r="J23" s="59" t="s">
        <v>66</v>
      </c>
      <c r="K23" s="59"/>
      <c r="L23" s="1">
        <f>i0!D25</f>
        <v>1.4142135623730951E-4</v>
      </c>
      <c r="AC23" s="2"/>
      <c r="AD23" s="2"/>
      <c r="AE23" s="2"/>
      <c r="AF23" s="2"/>
      <c r="AG23" s="2"/>
      <c r="AH23" s="2"/>
      <c r="AI23" s="2"/>
    </row>
    <row r="24" spans="3:35" x14ac:dyDescent="0.3">
      <c r="J24" s="59" t="s">
        <v>62</v>
      </c>
      <c r="K24" s="59"/>
      <c r="L24" s="1">
        <f>i0!D26</f>
        <v>1E-4</v>
      </c>
      <c r="AC24" s="2"/>
      <c r="AD24" s="2"/>
      <c r="AE24" s="2"/>
      <c r="AF24" s="2"/>
      <c r="AG24" s="2"/>
      <c r="AH24" s="2"/>
      <c r="AI24" s="2"/>
    </row>
    <row r="25" spans="3:35" ht="15.6" x14ac:dyDescent="0.3">
      <c r="J25" s="59" t="s">
        <v>67</v>
      </c>
      <c r="K25" s="59"/>
      <c r="L25" s="1">
        <f>i0!D27</f>
        <v>1.4142135623730951E-4</v>
      </c>
      <c r="AC25" s="2"/>
      <c r="AD25" s="2"/>
      <c r="AE25" s="2"/>
      <c r="AF25" s="2"/>
      <c r="AG25" s="2"/>
      <c r="AH25" s="2"/>
      <c r="AI25" s="2"/>
    </row>
    <row r="26" spans="3:35" x14ac:dyDescent="0.3">
      <c r="J26" s="59" t="s">
        <v>63</v>
      </c>
      <c r="K26" s="59"/>
      <c r="L26" s="1">
        <f>i0!D28</f>
        <v>1E-3</v>
      </c>
      <c r="AC26" s="2"/>
      <c r="AD26" s="2"/>
      <c r="AE26" s="2"/>
      <c r="AF26" s="2"/>
      <c r="AG26" s="2"/>
      <c r="AH26" s="2"/>
      <c r="AI26" s="2"/>
    </row>
    <row r="27" spans="3:35" x14ac:dyDescent="0.3">
      <c r="J27" s="59" t="s">
        <v>64</v>
      </c>
      <c r="K27" s="59"/>
      <c r="L27" s="1">
        <f>i0!D29</f>
        <v>1.4142135623730952E-3</v>
      </c>
      <c r="AC27" s="2"/>
      <c r="AD27" s="2"/>
      <c r="AE27" s="2"/>
      <c r="AF27" s="2"/>
      <c r="AG27" s="2"/>
      <c r="AH27" s="2"/>
      <c r="AI27" s="2"/>
    </row>
    <row r="28" spans="3:35" x14ac:dyDescent="0.3">
      <c r="I28" s="2"/>
      <c r="J28" s="2"/>
      <c r="AC28" s="2"/>
      <c r="AD28" s="2"/>
      <c r="AE28" s="2"/>
      <c r="AF28" s="2"/>
      <c r="AG28" s="2"/>
      <c r="AH28" s="2"/>
      <c r="AI28" s="2"/>
    </row>
    <row r="29" spans="3:35" x14ac:dyDescent="0.3">
      <c r="AC29" s="2"/>
      <c r="AD29" s="2"/>
      <c r="AE29" s="2"/>
      <c r="AF29" s="2"/>
      <c r="AG29" s="2"/>
      <c r="AH29" s="2"/>
      <c r="AI29" s="2"/>
    </row>
    <row r="30" spans="3:35" x14ac:dyDescent="0.3">
      <c r="AC30" s="2"/>
      <c r="AD30" s="2"/>
      <c r="AE30" s="2"/>
      <c r="AF30" s="2"/>
      <c r="AG30" s="2"/>
      <c r="AH30" s="2"/>
      <c r="AI30" s="2"/>
    </row>
    <row r="31" spans="3:35" x14ac:dyDescent="0.3">
      <c r="AC31" s="2"/>
      <c r="AD31" s="2"/>
      <c r="AE31" s="2"/>
      <c r="AF31" s="2"/>
      <c r="AG31" s="2"/>
      <c r="AH31" s="2"/>
      <c r="AI31" s="2"/>
    </row>
    <row r="32" spans="3:35" x14ac:dyDescent="0.3">
      <c r="AC32" s="2"/>
      <c r="AD32" s="2"/>
      <c r="AE32" s="2"/>
      <c r="AF32" s="2"/>
      <c r="AG32" s="2"/>
      <c r="AH32" s="2"/>
      <c r="AI32" s="2"/>
    </row>
    <row r="33" spans="5:35" x14ac:dyDescent="0.3">
      <c r="AC33" s="2"/>
      <c r="AD33" s="2"/>
      <c r="AE33" s="2"/>
      <c r="AF33" s="2"/>
      <c r="AG33" s="2"/>
      <c r="AH33" s="2"/>
      <c r="AI33" s="2"/>
    </row>
    <row r="34" spans="5:35" x14ac:dyDescent="0.3">
      <c r="AC34" s="2"/>
      <c r="AD34" s="2"/>
      <c r="AE34" s="2"/>
      <c r="AF34" s="2"/>
      <c r="AG34" s="2"/>
      <c r="AH34" s="2"/>
      <c r="AI34" s="2"/>
    </row>
    <row r="35" spans="5:35" x14ac:dyDescent="0.3">
      <c r="AC35" s="2"/>
      <c r="AD35" s="2"/>
      <c r="AE35" s="2"/>
      <c r="AF35" s="2"/>
      <c r="AG35" s="2"/>
      <c r="AH35" s="2"/>
      <c r="AI35" s="2"/>
    </row>
    <row r="36" spans="5:35" x14ac:dyDescent="0.3">
      <c r="AC36" s="2"/>
      <c r="AD36" s="2"/>
      <c r="AE36" s="2"/>
      <c r="AF36" s="2"/>
      <c r="AG36" s="2"/>
      <c r="AH36" s="2"/>
      <c r="AI36" s="2"/>
    </row>
    <row r="37" spans="5:35" x14ac:dyDescent="0.3">
      <c r="AC37" s="2"/>
      <c r="AD37" s="2"/>
      <c r="AE37" s="2"/>
      <c r="AF37" s="2"/>
      <c r="AG37" s="2"/>
      <c r="AH37" s="2"/>
      <c r="AI37" s="2"/>
    </row>
    <row r="38" spans="5:35" x14ac:dyDescent="0.3">
      <c r="AC38" s="2"/>
      <c r="AD38" s="2"/>
      <c r="AE38" s="2"/>
      <c r="AF38" s="2"/>
      <c r="AG38" s="2"/>
      <c r="AH38" s="2"/>
      <c r="AI38" s="2"/>
    </row>
    <row r="47" spans="5:35" ht="15.6" x14ac:dyDescent="0.3">
      <c r="E47" s="65" t="s">
        <v>92</v>
      </c>
      <c r="F47" s="66"/>
      <c r="G47" s="66"/>
      <c r="H47" s="67"/>
      <c r="L47" s="65" t="s">
        <v>98</v>
      </c>
      <c r="M47" s="66"/>
      <c r="N47" s="66"/>
      <c r="O47" s="67"/>
    </row>
    <row r="48" spans="5:35" x14ac:dyDescent="0.3">
      <c r="E48" s="4" t="s">
        <v>3</v>
      </c>
      <c r="F48" s="22">
        <f t="array" ref="F48:G50">LINEST(N4:N8,E4:E8,1,1)</f>
        <v>0.99037446854887401</v>
      </c>
      <c r="G48" s="11">
        <v>-2.2981423310737159</v>
      </c>
      <c r="H48" s="4" t="s">
        <v>5</v>
      </c>
      <c r="L48" s="4" t="s">
        <v>3</v>
      </c>
      <c r="M48" s="11">
        <f t="array" ref="M48:N50">LINEST(S4:S8,E4:E8,1,1)</f>
        <v>0.91331352811295308</v>
      </c>
      <c r="N48" s="11">
        <v>-2.0916556689177468</v>
      </c>
      <c r="O48" s="4" t="s">
        <v>5</v>
      </c>
    </row>
    <row r="49" spans="5:15" x14ac:dyDescent="0.3">
      <c r="E49" s="4" t="s">
        <v>2</v>
      </c>
      <c r="F49" s="22">
        <v>6.9400437846434309E-3</v>
      </c>
      <c r="G49" s="11">
        <v>1.6853314135810985E-2</v>
      </c>
      <c r="H49" s="4" t="s">
        <v>6</v>
      </c>
      <c r="L49" s="4" t="s">
        <v>2</v>
      </c>
      <c r="M49" s="11">
        <v>1.1769992274298768E-2</v>
      </c>
      <c r="N49" s="11">
        <v>2.8582438862093881E-2</v>
      </c>
      <c r="O49" s="4" t="s">
        <v>6</v>
      </c>
    </row>
    <row r="50" spans="5:15" x14ac:dyDescent="0.3">
      <c r="E50" s="4" t="s">
        <v>4</v>
      </c>
      <c r="F50" s="37">
        <v>0.999852706754908</v>
      </c>
      <c r="G50" s="22">
        <v>3.8308797741052063E-3</v>
      </c>
      <c r="H50" s="4" t="s">
        <v>7</v>
      </c>
      <c r="L50" s="4" t="s">
        <v>4</v>
      </c>
      <c r="M50" s="10">
        <v>0.99950201357676338</v>
      </c>
      <c r="N50" s="22">
        <v>6.4969943625942574E-3</v>
      </c>
      <c r="O50" s="4" t="s">
        <v>7</v>
      </c>
    </row>
  </sheetData>
  <mergeCells count="28">
    <mergeCell ref="J2:N2"/>
    <mergeCell ref="E2:E3"/>
    <mergeCell ref="J25:K25"/>
    <mergeCell ref="J18:K18"/>
    <mergeCell ref="J19:K19"/>
    <mergeCell ref="AN14:AO14"/>
    <mergeCell ref="AC3:AF3"/>
    <mergeCell ref="U3:X3"/>
    <mergeCell ref="AL6:AP6"/>
    <mergeCell ref="AL7:AM7"/>
    <mergeCell ref="AO7:AP7"/>
    <mergeCell ref="AN13:AO13"/>
    <mergeCell ref="E47:H47"/>
    <mergeCell ref="L47:O47"/>
    <mergeCell ref="C2:C3"/>
    <mergeCell ref="D2:D3"/>
    <mergeCell ref="F2:F3"/>
    <mergeCell ref="G2:G3"/>
    <mergeCell ref="H2:H3"/>
    <mergeCell ref="J26:K26"/>
    <mergeCell ref="J27:K27"/>
    <mergeCell ref="J20:K20"/>
    <mergeCell ref="J21:K21"/>
    <mergeCell ref="J22:K22"/>
    <mergeCell ref="J23:K23"/>
    <mergeCell ref="J24:K24"/>
    <mergeCell ref="I2:I3"/>
    <mergeCell ref="O2:S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H70"/>
  <sheetViews>
    <sheetView topLeftCell="X1" zoomScale="115" zoomScaleNormal="115" workbookViewId="0">
      <selection activeCell="AI18" sqref="AI18"/>
    </sheetView>
  </sheetViews>
  <sheetFormatPr defaultColWidth="8.88671875" defaultRowHeight="14.4" x14ac:dyDescent="0.3"/>
  <cols>
    <col min="1" max="2" width="8.88671875" style="6"/>
    <col min="3" max="3" width="11.5546875" style="6" bestFit="1" customWidth="1"/>
    <col min="4" max="4" width="10.21875" style="6" customWidth="1"/>
    <col min="5" max="5" width="9.44140625" style="6" bestFit="1" customWidth="1"/>
    <col min="6" max="6" width="9.44140625" style="6" customWidth="1"/>
    <col min="7" max="7" width="8.6640625" style="6" customWidth="1"/>
    <col min="8" max="8" width="9.44140625" style="6" customWidth="1"/>
    <col min="9" max="9" width="13.88671875" style="6" bestFit="1" customWidth="1"/>
    <col min="10" max="10" width="13.44140625" style="6" bestFit="1" customWidth="1"/>
    <col min="11" max="11" width="15.88671875" style="6" bestFit="1" customWidth="1"/>
    <col min="12" max="12" width="14.6640625" style="6" bestFit="1" customWidth="1"/>
    <col min="13" max="13" width="11.33203125" style="6" customWidth="1"/>
    <col min="14" max="14" width="9.33203125" style="6" bestFit="1" customWidth="1"/>
    <col min="15" max="15" width="9.33203125" style="6" customWidth="1"/>
    <col min="16" max="16" width="17.5546875" style="6" bestFit="1" customWidth="1"/>
    <col min="17" max="17" width="12" style="6" bestFit="1" customWidth="1"/>
    <col min="18" max="18" width="10.5546875" style="6" bestFit="1" customWidth="1"/>
    <col min="19" max="19" width="9" style="6" bestFit="1" customWidth="1"/>
    <col min="20" max="20" width="9" style="6" customWidth="1"/>
    <col min="21" max="30" width="8.88671875" style="6"/>
    <col min="31" max="31" width="10" style="6" bestFit="1" customWidth="1"/>
    <col min="32" max="33" width="8.88671875" style="6"/>
    <col min="34" max="34" width="10" style="6" bestFit="1" customWidth="1"/>
    <col min="35" max="16384" width="8.88671875" style="6"/>
  </cols>
  <sheetData>
    <row r="2" spans="2:34" ht="18" customHeight="1" x14ac:dyDescent="0.3">
      <c r="C2" s="59" t="s">
        <v>10</v>
      </c>
      <c r="D2" s="59" t="s">
        <v>88</v>
      </c>
      <c r="E2" s="59" t="s">
        <v>23</v>
      </c>
      <c r="F2" s="63" t="s">
        <v>89</v>
      </c>
      <c r="G2" s="59" t="s">
        <v>77</v>
      </c>
      <c r="H2" s="59" t="s">
        <v>90</v>
      </c>
      <c r="I2" s="59" t="s">
        <v>75</v>
      </c>
      <c r="J2" s="59" t="s">
        <v>101</v>
      </c>
      <c r="K2" s="60" t="s">
        <v>13</v>
      </c>
      <c r="L2" s="61"/>
      <c r="M2" s="61"/>
      <c r="N2" s="61"/>
      <c r="O2" s="62"/>
      <c r="P2" s="68" t="s">
        <v>12</v>
      </c>
      <c r="Q2" s="68"/>
      <c r="R2" s="68"/>
      <c r="S2" s="68"/>
      <c r="T2" s="68"/>
      <c r="AB2" s="2"/>
      <c r="AC2" s="2"/>
      <c r="AD2" s="2"/>
      <c r="AE2" s="2"/>
      <c r="AF2" s="2"/>
      <c r="AG2" s="2"/>
      <c r="AH2" s="2"/>
    </row>
    <row r="3" spans="2:34" ht="15.6" x14ac:dyDescent="0.35">
      <c r="C3" s="59"/>
      <c r="D3" s="59"/>
      <c r="E3" s="59"/>
      <c r="F3" s="64"/>
      <c r="G3" s="59"/>
      <c r="H3" s="59"/>
      <c r="I3" s="59"/>
      <c r="J3" s="59"/>
      <c r="K3" s="3" t="s">
        <v>80</v>
      </c>
      <c r="L3" s="3" t="s">
        <v>76</v>
      </c>
      <c r="M3" s="5" t="s">
        <v>0</v>
      </c>
      <c r="N3" s="5" t="s">
        <v>1</v>
      </c>
      <c r="O3" s="5" t="s">
        <v>83</v>
      </c>
      <c r="P3" s="3" t="s">
        <v>79</v>
      </c>
      <c r="Q3" s="3" t="s">
        <v>78</v>
      </c>
      <c r="R3" s="5" t="s">
        <v>0</v>
      </c>
      <c r="S3" s="5" t="s">
        <v>1</v>
      </c>
      <c r="T3" s="5" t="s">
        <v>83</v>
      </c>
      <c r="V3" s="36" t="s">
        <v>58</v>
      </c>
      <c r="W3" s="7">
        <v>1E-3</v>
      </c>
      <c r="AF3" s="2"/>
      <c r="AG3" s="2"/>
      <c r="AH3" s="2"/>
    </row>
    <row r="4" spans="2:34" ht="15.6" x14ac:dyDescent="0.3">
      <c r="C4" s="7">
        <v>1</v>
      </c>
      <c r="D4" s="23">
        <v>4.1000000000000002E-2</v>
      </c>
      <c r="E4" s="49">
        <f>PI()*D4^2/4</f>
        <v>1.3202543126711107E-3</v>
      </c>
      <c r="F4" s="49">
        <f>LOG(E4)</f>
        <v>-2.8793424051943575</v>
      </c>
      <c r="G4" s="7">
        <v>1501</v>
      </c>
      <c r="H4" s="40">
        <f>G4*2*PI()</f>
        <v>9431.0611460765595</v>
      </c>
      <c r="I4" s="23">
        <v>0.497</v>
      </c>
      <c r="J4" s="23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47">
        <f>LOG(L4)</f>
        <v>0.15500833537926495</v>
      </c>
      <c r="P4" s="39">
        <v>2.9</v>
      </c>
      <c r="Q4" s="39">
        <f>P4/2</f>
        <v>1.45</v>
      </c>
      <c r="R4" s="39">
        <f>E4*V$9+W$9</f>
        <v>1.4893872701099498</v>
      </c>
      <c r="S4" s="39">
        <f>Q4-R4</f>
        <v>-3.9387270109949801E-2</v>
      </c>
      <c r="T4" s="39">
        <f>LOG(Q4)</f>
        <v>0.16136800223497488</v>
      </c>
      <c r="V4" s="4" t="s">
        <v>56</v>
      </c>
      <c r="W4" s="1">
        <v>1</v>
      </c>
      <c r="AD4" s="70" t="s">
        <v>28</v>
      </c>
      <c r="AE4" s="70"/>
      <c r="AF4" s="70"/>
      <c r="AG4" s="70"/>
      <c r="AH4" s="70"/>
    </row>
    <row r="5" spans="2:34" ht="16.2" x14ac:dyDescent="0.3">
      <c r="C5" s="7">
        <v>2</v>
      </c>
      <c r="D5" s="23">
        <v>3.3000000000000002E-2</v>
      </c>
      <c r="E5" s="49">
        <f>PI()*D5^2/4</f>
        <v>8.5529859993982123E-4</v>
      </c>
      <c r="F5" s="49">
        <f t="shared" ref="F5:F6" si="0">LOG(E5)</f>
        <v>-3.0678822388780538</v>
      </c>
      <c r="G5" s="7">
        <v>1501</v>
      </c>
      <c r="H5" s="40">
        <f>G5*2*PI()</f>
        <v>9431.0611460765595</v>
      </c>
      <c r="I5" s="23">
        <v>0.497</v>
      </c>
      <c r="J5" s="23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47">
        <f t="shared" ref="O5:O6" si="1">LOG(L5)</f>
        <v>-2.7578624815686282E-2</v>
      </c>
      <c r="P5" s="39">
        <v>1.93</v>
      </c>
      <c r="Q5" s="39">
        <f>P5/2</f>
        <v>0.96499999999999997</v>
      </c>
      <c r="R5" s="39">
        <f>E5*V$9+W$9</f>
        <v>0.86915446377602934</v>
      </c>
      <c r="S5" s="39">
        <f>Q5-R5</f>
        <v>9.5845536223970629E-2</v>
      </c>
      <c r="T5" s="39">
        <f t="shared" ref="T5:T6" si="2">LOG(Q5)</f>
        <v>-1.5472686656207449E-2</v>
      </c>
      <c r="V5" s="4" t="s">
        <v>57</v>
      </c>
      <c r="W5" s="1">
        <f>ABS(2*PI()*W4)</f>
        <v>6.2831853071795862</v>
      </c>
      <c r="AD5" s="71" t="s">
        <v>29</v>
      </c>
      <c r="AE5" s="71"/>
      <c r="AF5" s="2"/>
      <c r="AG5" s="68" t="s">
        <v>14</v>
      </c>
      <c r="AH5" s="68"/>
    </row>
    <row r="6" spans="2:34" ht="15.6" x14ac:dyDescent="0.3">
      <c r="C6" s="7">
        <v>3</v>
      </c>
      <c r="D6" s="23">
        <v>2.5999999999999999E-2</v>
      </c>
      <c r="E6" s="49">
        <f>PI()*D6^2/4</f>
        <v>5.3092915845667494E-4</v>
      </c>
      <c r="F6" s="49">
        <f t="shared" si="0"/>
        <v>-3.2749634226921929</v>
      </c>
      <c r="G6" s="7">
        <v>1501</v>
      </c>
      <c r="H6" s="40">
        <f>G6*2*PI()</f>
        <v>9431.0611460765595</v>
      </c>
      <c r="I6" s="23">
        <v>0.497</v>
      </c>
      <c r="J6" s="23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47">
        <f t="shared" si="1"/>
        <v>-0.47327315188533653</v>
      </c>
      <c r="P6" s="39">
        <v>0.76</v>
      </c>
      <c r="Q6" s="39">
        <f>P6/2</f>
        <v>0.38</v>
      </c>
      <c r="R6" s="39">
        <f>E6*V$9+W$9</f>
        <v>0.43645826611402028</v>
      </c>
      <c r="S6" s="39">
        <f>Q6-R6</f>
        <v>-5.6458266114020272E-2</v>
      </c>
      <c r="T6" s="39">
        <f t="shared" si="2"/>
        <v>-0.42021640338318983</v>
      </c>
      <c r="AD6" s="27" t="s">
        <v>30</v>
      </c>
      <c r="AE6" s="30">
        <f>4*PI()*10^-7</f>
        <v>1.2566370614359173E-6</v>
      </c>
      <c r="AF6" s="2"/>
      <c r="AG6" s="26" t="s">
        <v>30</v>
      </c>
      <c r="AH6" s="30">
        <f>AE6</f>
        <v>1.2566370614359173E-6</v>
      </c>
    </row>
    <row r="7" spans="2:34" ht="15.6" x14ac:dyDescent="0.3">
      <c r="AD7" s="27" t="s">
        <v>31</v>
      </c>
      <c r="AE7" s="31">
        <f>(C9*AE11)/(AE12*AH11*H4*J4)</f>
        <v>1.410612322348944E-6</v>
      </c>
      <c r="AF7" s="2"/>
      <c r="AG7" s="26" t="s">
        <v>31</v>
      </c>
      <c r="AH7" s="31">
        <f>(V9*AE11)/(AE12*AH11*H4*J4)</f>
        <v>1.3821329595651333E-6</v>
      </c>
    </row>
    <row r="8" spans="2:34" ht="15.6" x14ac:dyDescent="0.3">
      <c r="B8" s="87" t="s">
        <v>44</v>
      </c>
      <c r="C8" s="87"/>
      <c r="D8" s="87"/>
      <c r="E8" s="87"/>
      <c r="H8" s="9"/>
      <c r="I8" s="9"/>
      <c r="K8" s="87" t="s">
        <v>68</v>
      </c>
      <c r="L8" s="87"/>
      <c r="M8" s="7">
        <f>PI()/2*D4*$M$14</f>
        <v>0</v>
      </c>
      <c r="U8" s="59" t="s">
        <v>45</v>
      </c>
      <c r="V8" s="59"/>
      <c r="W8" s="59"/>
      <c r="X8" s="59"/>
      <c r="AD8" s="27" t="s">
        <v>33</v>
      </c>
      <c r="AE8" s="1">
        <f>2.297*10^-7</f>
        <v>2.297E-7</v>
      </c>
      <c r="AF8" s="2"/>
      <c r="AG8" s="26" t="s">
        <v>32</v>
      </c>
      <c r="AH8" s="1">
        <f>2.179*10^-7</f>
        <v>2.1789999999999999E-7</v>
      </c>
    </row>
    <row r="9" spans="2:34" x14ac:dyDescent="0.3">
      <c r="B9" s="4" t="s">
        <v>3</v>
      </c>
      <c r="C9" s="51">
        <f t="array" ref="C9:D11">LINEST(L4:L6,E4:E6,1,1)</f>
        <v>1361.4478029898978</v>
      </c>
      <c r="D9" s="51">
        <v>-0.32701352698055308</v>
      </c>
      <c r="E9" s="4" t="s">
        <v>5</v>
      </c>
      <c r="K9" s="87" t="s">
        <v>68</v>
      </c>
      <c r="L9" s="87"/>
      <c r="M9" s="7">
        <f>PI()/2*D5*$M$14</f>
        <v>0</v>
      </c>
      <c r="U9" s="4" t="s">
        <v>3</v>
      </c>
      <c r="V9" s="52">
        <f t="array" ref="V9:W11">LINEST(Q4:Q6,E4:E6,1,1)</f>
        <v>1333.9610404838063</v>
      </c>
      <c r="W9" s="52">
        <v>-0.27178054652403749</v>
      </c>
      <c r="X9" s="4" t="s">
        <v>5</v>
      </c>
      <c r="AB9" s="2"/>
      <c r="AC9" s="2"/>
      <c r="AD9" s="27" t="s">
        <v>34</v>
      </c>
      <c r="AE9" s="32">
        <f>(AE7-AE6)/AE6</f>
        <v>0.12252961944086253</v>
      </c>
      <c r="AF9" s="2"/>
      <c r="AG9" s="26" t="s">
        <v>34</v>
      </c>
      <c r="AH9" s="32">
        <f>(AH7-AH6)/AH6</f>
        <v>9.9866462625108329E-2</v>
      </c>
    </row>
    <row r="10" spans="2:34" x14ac:dyDescent="0.3">
      <c r="B10" s="4" t="s">
        <v>2</v>
      </c>
      <c r="C10" s="51">
        <v>221.71924060261532</v>
      </c>
      <c r="D10" s="51">
        <v>0.21253046649528259</v>
      </c>
      <c r="E10" s="4" t="s">
        <v>6</v>
      </c>
      <c r="H10" s="9"/>
      <c r="I10" s="9"/>
      <c r="K10" s="87" t="s">
        <v>68</v>
      </c>
      <c r="L10" s="87"/>
      <c r="M10" s="7">
        <f t="shared" ref="M10" si="3">PI()/2*D6*$M$14</f>
        <v>0</v>
      </c>
      <c r="U10" s="4" t="s">
        <v>2</v>
      </c>
      <c r="V10" s="52">
        <v>210.31806414913885</v>
      </c>
      <c r="W10" s="52">
        <v>0.20160179226896557</v>
      </c>
      <c r="X10" s="4" t="s">
        <v>6</v>
      </c>
      <c r="AB10" s="2"/>
      <c r="AC10" s="2"/>
      <c r="AD10" s="2"/>
      <c r="AE10" s="2"/>
      <c r="AF10" s="2"/>
      <c r="AG10" s="2"/>
      <c r="AH10" s="2"/>
    </row>
    <row r="11" spans="2:34" x14ac:dyDescent="0.3">
      <c r="B11" s="4" t="s">
        <v>4</v>
      </c>
      <c r="C11" s="39">
        <v>0.9741633292223274</v>
      </c>
      <c r="D11" s="51">
        <v>0.12440231379364075</v>
      </c>
      <c r="E11" s="4" t="s">
        <v>7</v>
      </c>
      <c r="L11" s="9"/>
      <c r="U11" s="4" t="s">
        <v>4</v>
      </c>
      <c r="V11" s="11">
        <v>0.97574489562508859</v>
      </c>
      <c r="W11" s="52">
        <v>0.11800533747833708</v>
      </c>
      <c r="X11" s="4" t="s">
        <v>7</v>
      </c>
      <c r="AB11" s="2"/>
      <c r="AC11" s="2"/>
      <c r="AD11" s="28" t="s">
        <v>19</v>
      </c>
      <c r="AE11" s="1">
        <v>0.75</v>
      </c>
      <c r="AF11" s="69" t="s">
        <v>35</v>
      </c>
      <c r="AG11" s="69"/>
      <c r="AH11" s="1">
        <v>300</v>
      </c>
    </row>
    <row r="12" spans="2:34" x14ac:dyDescent="0.3">
      <c r="AB12" s="2"/>
      <c r="AC12" s="2"/>
      <c r="AD12" s="28" t="s">
        <v>17</v>
      </c>
      <c r="AE12" s="1">
        <v>364</v>
      </c>
      <c r="AF12" s="2"/>
      <c r="AG12" s="2"/>
      <c r="AH12" s="2"/>
    </row>
    <row r="13" spans="2:34" x14ac:dyDescent="0.3">
      <c r="AB13" s="2"/>
      <c r="AC13" s="2"/>
      <c r="AD13" s="2"/>
      <c r="AE13" s="2"/>
    </row>
    <row r="14" spans="2:34" x14ac:dyDescent="0.3">
      <c r="AB14" s="2"/>
      <c r="AC14" s="2"/>
      <c r="AD14" s="2"/>
      <c r="AE14" s="2"/>
    </row>
    <row r="15" spans="2:34" x14ac:dyDescent="0.3">
      <c r="K15" s="59" t="s">
        <v>15</v>
      </c>
      <c r="L15" s="59"/>
      <c r="M15" s="1">
        <f>i0!D21</f>
        <v>0</v>
      </c>
      <c r="AB15" s="2"/>
      <c r="AC15" s="2"/>
      <c r="AD15" s="2"/>
      <c r="AE15" s="2"/>
      <c r="AF15" s="2"/>
      <c r="AG15" s="2"/>
      <c r="AH15" s="2"/>
    </row>
    <row r="16" spans="2:34" x14ac:dyDescent="0.3">
      <c r="K16" s="59" t="s">
        <v>59</v>
      </c>
      <c r="L16" s="59"/>
      <c r="M16" s="1">
        <f>i0!D22</f>
        <v>6.2831853071795862</v>
      </c>
      <c r="AB16" s="2"/>
      <c r="AC16" s="2"/>
      <c r="AD16" s="2"/>
      <c r="AE16" s="2"/>
      <c r="AF16" s="2"/>
      <c r="AG16" s="2"/>
      <c r="AH16" s="2"/>
    </row>
    <row r="17" spans="11:34" x14ac:dyDescent="0.3">
      <c r="K17" s="59" t="s">
        <v>18</v>
      </c>
      <c r="L17" s="59"/>
      <c r="M17" s="1">
        <f>i0!D23</f>
        <v>1</v>
      </c>
      <c r="AB17" s="2"/>
      <c r="AC17" s="2"/>
      <c r="AD17" s="2"/>
      <c r="AE17" s="2"/>
      <c r="AF17" s="2"/>
      <c r="AG17" s="2"/>
      <c r="AH17" s="2"/>
    </row>
    <row r="18" spans="11:34" x14ac:dyDescent="0.3">
      <c r="K18" s="59" t="s">
        <v>60</v>
      </c>
      <c r="L18" s="59"/>
      <c r="M18" s="1">
        <f>i0!D24</f>
        <v>1E-4</v>
      </c>
      <c r="AB18" s="2"/>
      <c r="AC18" s="2"/>
      <c r="AD18" s="2"/>
      <c r="AE18" s="2"/>
      <c r="AF18" s="2"/>
      <c r="AG18" s="2"/>
      <c r="AH18" s="2"/>
    </row>
    <row r="19" spans="11:34" ht="15.6" x14ac:dyDescent="0.3">
      <c r="K19" s="59" t="s">
        <v>66</v>
      </c>
      <c r="L19" s="59"/>
      <c r="M19" s="1">
        <f>i0!D25</f>
        <v>1.4142135623730951E-4</v>
      </c>
      <c r="AB19" s="2"/>
      <c r="AC19" s="2"/>
      <c r="AD19" s="2"/>
      <c r="AE19" s="2"/>
      <c r="AF19" s="2"/>
      <c r="AG19" s="2"/>
      <c r="AH19" s="2"/>
    </row>
    <row r="20" spans="11:34" x14ac:dyDescent="0.3">
      <c r="K20" s="59" t="s">
        <v>62</v>
      </c>
      <c r="L20" s="59"/>
      <c r="M20" s="1">
        <f>i0!D26</f>
        <v>1E-4</v>
      </c>
      <c r="AB20" s="2"/>
      <c r="AC20" s="2"/>
      <c r="AD20" s="2"/>
      <c r="AE20" s="2"/>
      <c r="AF20" s="2"/>
      <c r="AG20" s="2"/>
      <c r="AH20" s="2"/>
    </row>
    <row r="21" spans="11:34" ht="15.6" x14ac:dyDescent="0.3">
      <c r="K21" s="59" t="s">
        <v>67</v>
      </c>
      <c r="L21" s="59"/>
      <c r="M21" s="1">
        <f>i0!D27</f>
        <v>1.4142135623730951E-4</v>
      </c>
      <c r="AB21" s="2"/>
      <c r="AC21" s="2"/>
      <c r="AD21" s="2"/>
      <c r="AE21" s="2"/>
      <c r="AF21" s="2"/>
      <c r="AG21" s="2"/>
      <c r="AH21" s="2"/>
    </row>
    <row r="22" spans="11:34" x14ac:dyDescent="0.3">
      <c r="K22" s="59" t="s">
        <v>63</v>
      </c>
      <c r="L22" s="59"/>
      <c r="M22" s="1">
        <f>i0!D28</f>
        <v>1E-3</v>
      </c>
      <c r="AB22" s="2"/>
      <c r="AC22" s="2"/>
      <c r="AD22" s="2"/>
      <c r="AE22" s="2"/>
      <c r="AF22" s="2"/>
      <c r="AG22" s="2"/>
      <c r="AH22" s="2"/>
    </row>
    <row r="23" spans="11:34" x14ac:dyDescent="0.3">
      <c r="K23" s="59" t="s">
        <v>64</v>
      </c>
      <c r="L23" s="59"/>
      <c r="M23" s="1">
        <f>i0!D29</f>
        <v>1.4142135623730952E-3</v>
      </c>
      <c r="AB23" s="2"/>
      <c r="AC23" s="2"/>
      <c r="AD23" s="2"/>
      <c r="AE23" s="2"/>
      <c r="AF23" s="2"/>
      <c r="AG23" s="2"/>
      <c r="AH23" s="2"/>
    </row>
    <row r="24" spans="11:34" x14ac:dyDescent="0.3">
      <c r="AB24" s="2"/>
      <c r="AC24" s="2"/>
      <c r="AD24" s="2"/>
      <c r="AE24" s="2"/>
      <c r="AF24" s="2"/>
      <c r="AG24" s="2"/>
      <c r="AH24" s="2"/>
    </row>
    <row r="25" spans="11:34" x14ac:dyDescent="0.3">
      <c r="AB25" s="2"/>
      <c r="AC25" s="2"/>
      <c r="AD25" s="2"/>
      <c r="AE25" s="2"/>
      <c r="AF25" s="2"/>
      <c r="AG25" s="2"/>
      <c r="AH25" s="2"/>
    </row>
    <row r="26" spans="11:34" x14ac:dyDescent="0.3">
      <c r="AB26" s="2"/>
      <c r="AC26" s="2"/>
      <c r="AD26" s="2"/>
      <c r="AE26" s="2"/>
      <c r="AF26" s="2"/>
      <c r="AG26" s="2"/>
      <c r="AH26" s="2"/>
    </row>
    <row r="27" spans="11:34" x14ac:dyDescent="0.3">
      <c r="AB27" s="2"/>
      <c r="AC27" s="2"/>
      <c r="AD27" s="2"/>
      <c r="AE27" s="2"/>
      <c r="AF27" s="2"/>
      <c r="AG27" s="2"/>
      <c r="AH27" s="2"/>
    </row>
    <row r="28" spans="11:34" x14ac:dyDescent="0.3">
      <c r="AB28" s="2"/>
      <c r="AC28" s="2"/>
      <c r="AD28" s="2"/>
      <c r="AE28" s="2"/>
      <c r="AF28" s="2"/>
      <c r="AG28" s="2"/>
      <c r="AH28" s="2"/>
    </row>
    <row r="29" spans="11:34" x14ac:dyDescent="0.3">
      <c r="AB29" s="2"/>
      <c r="AC29" s="2"/>
      <c r="AD29" s="2"/>
      <c r="AE29" s="2"/>
      <c r="AF29" s="2"/>
      <c r="AG29" s="2"/>
      <c r="AH29" s="2"/>
    </row>
    <row r="30" spans="11:34" x14ac:dyDescent="0.3">
      <c r="AB30" s="2"/>
      <c r="AC30" s="2"/>
      <c r="AD30" s="2"/>
      <c r="AE30" s="2"/>
      <c r="AF30" s="2"/>
      <c r="AG30" s="2"/>
      <c r="AH30" s="2"/>
    </row>
    <row r="31" spans="11:34" x14ac:dyDescent="0.3">
      <c r="AB31" s="2"/>
      <c r="AC31" s="2"/>
      <c r="AD31" s="2"/>
      <c r="AE31" s="2"/>
      <c r="AF31" s="2"/>
      <c r="AG31" s="2"/>
      <c r="AH31" s="2"/>
    </row>
    <row r="32" spans="11:34" x14ac:dyDescent="0.3">
      <c r="AB32" s="2"/>
      <c r="AC32" s="2"/>
      <c r="AD32" s="2"/>
      <c r="AE32" s="2"/>
      <c r="AF32" s="2"/>
      <c r="AG32" s="2"/>
      <c r="AH32" s="2"/>
    </row>
    <row r="33" spans="28:34" x14ac:dyDescent="0.3">
      <c r="AB33" s="2"/>
      <c r="AC33" s="2"/>
      <c r="AD33" s="2"/>
      <c r="AE33" s="2"/>
      <c r="AF33" s="2"/>
      <c r="AG33" s="2"/>
      <c r="AH33" s="2"/>
    </row>
    <row r="34" spans="28:34" x14ac:dyDescent="0.3">
      <c r="AB34" s="2"/>
      <c r="AC34" s="2"/>
      <c r="AD34" s="2"/>
      <c r="AE34" s="2"/>
      <c r="AF34" s="2"/>
      <c r="AG34" s="2"/>
      <c r="AH34" s="2"/>
    </row>
    <row r="35" spans="28:34" x14ac:dyDescent="0.3">
      <c r="AB35" s="2"/>
      <c r="AC35" s="2"/>
      <c r="AD35" s="2"/>
      <c r="AE35" s="2"/>
      <c r="AF35" s="2"/>
      <c r="AG35" s="2"/>
      <c r="AH35" s="2"/>
    </row>
    <row r="36" spans="28:34" x14ac:dyDescent="0.3">
      <c r="AB36" s="2"/>
      <c r="AC36" s="2"/>
      <c r="AD36" s="2"/>
      <c r="AE36" s="2"/>
      <c r="AF36" s="2"/>
      <c r="AG36" s="2"/>
      <c r="AH36" s="2"/>
    </row>
    <row r="37" spans="28:34" x14ac:dyDescent="0.3">
      <c r="AB37" s="2"/>
      <c r="AC37" s="2"/>
      <c r="AD37" s="2"/>
      <c r="AE37" s="2"/>
      <c r="AF37" s="2"/>
      <c r="AG37" s="2"/>
      <c r="AH37" s="2"/>
    </row>
    <row r="38" spans="28:34" x14ac:dyDescent="0.3">
      <c r="AB38" s="2"/>
      <c r="AC38" s="2"/>
      <c r="AD38" s="2"/>
      <c r="AE38" s="2"/>
      <c r="AF38" s="2"/>
      <c r="AG38" s="2"/>
      <c r="AH38" s="2"/>
    </row>
    <row r="66" spans="5:23" ht="15.6" x14ac:dyDescent="0.3">
      <c r="E66" s="65" t="s">
        <v>91</v>
      </c>
      <c r="F66" s="66"/>
      <c r="G66" s="66"/>
      <c r="H66" s="67"/>
    </row>
    <row r="67" spans="5:23" ht="15.6" x14ac:dyDescent="0.3">
      <c r="E67" s="4" t="s">
        <v>3</v>
      </c>
      <c r="F67" s="52">
        <f t="array" ref="F67:G69">LINEST(O4:O6,F4:F6,1,1)</f>
        <v>1.5973092805383027</v>
      </c>
      <c r="G67" s="11">
        <v>4.7949477148636444</v>
      </c>
      <c r="H67" s="4" t="s">
        <v>5</v>
      </c>
      <c r="T67" s="65" t="s">
        <v>99</v>
      </c>
      <c r="U67" s="66"/>
      <c r="V67" s="66"/>
      <c r="W67" s="67"/>
    </row>
    <row r="68" spans="5:23" x14ac:dyDescent="0.3">
      <c r="E68" s="4" t="s">
        <v>2</v>
      </c>
      <c r="F68" s="52">
        <v>0.34074595831342425</v>
      </c>
      <c r="G68" s="11">
        <v>1.0489202550615218</v>
      </c>
      <c r="H68" s="4" t="s">
        <v>6</v>
      </c>
      <c r="T68" s="4" t="s">
        <v>3</v>
      </c>
      <c r="U68" s="52">
        <f t="array" ref="U68:V70">LINEST(T4:T6,F4:F6,1,1)</f>
        <v>1.4779716234390163</v>
      </c>
      <c r="V68" s="52">
        <v>4.4519370602971948</v>
      </c>
      <c r="W68" s="4" t="s">
        <v>5</v>
      </c>
    </row>
    <row r="69" spans="5:23" x14ac:dyDescent="0.3">
      <c r="E69" s="4" t="s">
        <v>4</v>
      </c>
      <c r="F69" s="10">
        <v>0.95647325153227392</v>
      </c>
      <c r="G69" s="22">
        <v>9.5357311513312004E-2</v>
      </c>
      <c r="H69" s="4" t="s">
        <v>7</v>
      </c>
      <c r="T69" s="4" t="s">
        <v>2</v>
      </c>
      <c r="U69" s="52">
        <v>0.29259922921315146</v>
      </c>
      <c r="V69" s="52">
        <v>0.90070990029105236</v>
      </c>
      <c r="W69" s="4" t="s">
        <v>6</v>
      </c>
    </row>
    <row r="70" spans="5:23" x14ac:dyDescent="0.3">
      <c r="T70" s="4" t="s">
        <v>4</v>
      </c>
      <c r="U70" s="11">
        <v>0.96228468512955223</v>
      </c>
      <c r="V70" s="11">
        <v>8.1883512241014422E-2</v>
      </c>
      <c r="W70" s="4" t="s">
        <v>7</v>
      </c>
    </row>
  </sheetData>
  <mergeCells count="30">
    <mergeCell ref="C2:C3"/>
    <mergeCell ref="F2:F3"/>
    <mergeCell ref="K21:L21"/>
    <mergeCell ref="K22:L22"/>
    <mergeCell ref="K23:L23"/>
    <mergeCell ref="K15:L15"/>
    <mergeCell ref="K16:L16"/>
    <mergeCell ref="K17:L17"/>
    <mergeCell ref="K18:L18"/>
    <mergeCell ref="K8:L8"/>
    <mergeCell ref="K9:L9"/>
    <mergeCell ref="K10:L10"/>
    <mergeCell ref="K19:L19"/>
    <mergeCell ref="K20:L20"/>
    <mergeCell ref="E66:H66"/>
    <mergeCell ref="P2:T2"/>
    <mergeCell ref="K2:O2"/>
    <mergeCell ref="T67:W67"/>
    <mergeCell ref="AF11:AG11"/>
    <mergeCell ref="B8:E8"/>
    <mergeCell ref="U8:X8"/>
    <mergeCell ref="AD4:AH4"/>
    <mergeCell ref="AD5:AE5"/>
    <mergeCell ref="AG5:AH5"/>
    <mergeCell ref="J2:J3"/>
    <mergeCell ref="I2:I3"/>
    <mergeCell ref="H2:H3"/>
    <mergeCell ref="G2:G3"/>
    <mergeCell ref="E2:E3"/>
    <mergeCell ref="D2:D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E59"/>
  <sheetViews>
    <sheetView zoomScale="90" zoomScaleNormal="90" workbookViewId="0">
      <selection activeCell="E15" sqref="E15"/>
    </sheetView>
  </sheetViews>
  <sheetFormatPr defaultColWidth="8.6640625" defaultRowHeight="14.4" x14ac:dyDescent="0.3"/>
  <cols>
    <col min="1" max="2" width="8.6640625" style="6"/>
    <col min="3" max="3" width="9.109375" style="6" bestFit="1" customWidth="1"/>
    <col min="4" max="4" width="11.88671875" style="6" customWidth="1"/>
    <col min="5" max="5" width="10.109375" style="6" customWidth="1"/>
    <col min="6" max="6" width="9.5546875" style="6" customWidth="1"/>
    <col min="7" max="7" width="12.33203125" style="6" customWidth="1"/>
    <col min="8" max="8" width="10.44140625" style="6" customWidth="1"/>
    <col min="9" max="9" width="9.5546875" style="6" bestFit="1" customWidth="1"/>
    <col min="10" max="10" width="13.44140625" style="6" customWidth="1"/>
    <col min="11" max="11" width="12.88671875" style="6" bestFit="1" customWidth="1"/>
    <col min="12" max="12" width="15.109375" style="6" bestFit="1" customWidth="1"/>
    <col min="13" max="13" width="14.109375" style="6" bestFit="1" customWidth="1"/>
    <col min="14" max="14" width="13.109375" style="6" customWidth="1"/>
    <col min="15" max="15" width="10.33203125" style="6" bestFit="1" customWidth="1"/>
    <col min="16" max="16" width="10.33203125" style="6" customWidth="1"/>
    <col min="17" max="17" width="16.33203125" style="6" customWidth="1"/>
    <col min="18" max="18" width="12.6640625" style="6" bestFit="1" customWidth="1"/>
    <col min="19" max="19" width="8.6640625" style="6"/>
    <col min="20" max="20" width="10.21875" style="6" customWidth="1"/>
    <col min="21" max="25" width="8.6640625" style="6"/>
    <col min="26" max="26" width="9.6640625" style="6" bestFit="1" customWidth="1"/>
    <col min="27" max="16384" width="8.6640625" style="6"/>
  </cols>
  <sheetData>
    <row r="2" spans="3:37" ht="18" customHeight="1" x14ac:dyDescent="0.3">
      <c r="C2" s="59" t="s">
        <v>81</v>
      </c>
      <c r="D2" s="59" t="s">
        <v>108</v>
      </c>
      <c r="E2" s="59" t="s">
        <v>27</v>
      </c>
      <c r="F2" s="63" t="s">
        <v>82</v>
      </c>
      <c r="G2" s="63" t="s">
        <v>94</v>
      </c>
      <c r="H2" s="59" t="s">
        <v>77</v>
      </c>
      <c r="I2" s="59" t="s">
        <v>74</v>
      </c>
      <c r="J2" s="59" t="s">
        <v>75</v>
      </c>
      <c r="K2" s="59" t="s">
        <v>101</v>
      </c>
      <c r="L2" s="60" t="s">
        <v>29</v>
      </c>
      <c r="M2" s="61"/>
      <c r="N2" s="61"/>
      <c r="O2" s="61"/>
      <c r="P2" s="62"/>
      <c r="Q2" s="68" t="s">
        <v>12</v>
      </c>
      <c r="R2" s="68"/>
      <c r="S2" s="68"/>
      <c r="T2" s="68"/>
      <c r="U2" s="68"/>
      <c r="AI2" s="2"/>
    </row>
    <row r="3" spans="3:37" ht="15.6" x14ac:dyDescent="0.35">
      <c r="C3" s="59"/>
      <c r="D3" s="59"/>
      <c r="E3" s="59"/>
      <c r="F3" s="64"/>
      <c r="G3" s="64"/>
      <c r="H3" s="59"/>
      <c r="I3" s="59"/>
      <c r="J3" s="59"/>
      <c r="K3" s="59"/>
      <c r="L3" s="3" t="s">
        <v>80</v>
      </c>
      <c r="M3" s="3" t="s">
        <v>76</v>
      </c>
      <c r="N3" s="5" t="s">
        <v>0</v>
      </c>
      <c r="O3" s="5" t="s">
        <v>1</v>
      </c>
      <c r="P3" s="5" t="s">
        <v>83</v>
      </c>
      <c r="Q3" s="3" t="s">
        <v>79</v>
      </c>
      <c r="R3" s="3" t="s">
        <v>78</v>
      </c>
      <c r="S3" s="5" t="s">
        <v>0</v>
      </c>
      <c r="T3" s="5" t="s">
        <v>1</v>
      </c>
      <c r="U3" s="5" t="s">
        <v>83</v>
      </c>
      <c r="Y3" s="87" t="s">
        <v>73</v>
      </c>
      <c r="Z3" s="87"/>
      <c r="AA3" s="87"/>
      <c r="AB3" s="87"/>
      <c r="AH3" s="59" t="s">
        <v>43</v>
      </c>
      <c r="AI3" s="59"/>
      <c r="AJ3" s="59"/>
      <c r="AK3" s="59"/>
    </row>
    <row r="4" spans="3:37" x14ac:dyDescent="0.3">
      <c r="C4" s="7">
        <v>0</v>
      </c>
      <c r="D4" s="51">
        <f t="shared" ref="D4:D10" si="0">C4*(PI()/180)</f>
        <v>0</v>
      </c>
      <c r="E4" s="23">
        <f t="shared" ref="E4:E9" si="1">COS(D4)</f>
        <v>1</v>
      </c>
      <c r="F4" s="23">
        <f>R25</f>
        <v>0</v>
      </c>
      <c r="G4" s="23">
        <f>LOG(E4)</f>
        <v>0</v>
      </c>
      <c r="H4" s="7">
        <v>1496</v>
      </c>
      <c r="I4" s="40">
        <f t="shared" ref="I4:I10" si="2">H4*2*PI()</f>
        <v>9399.6452195406619</v>
      </c>
      <c r="J4" s="7">
        <v>0.495</v>
      </c>
      <c r="K4" s="23">
        <f t="shared" ref="K4:K10" si="3">J4*SQRT(2)</f>
        <v>0.70003571337468207</v>
      </c>
      <c r="L4" s="24">
        <v>0.1183</v>
      </c>
      <c r="M4" s="24">
        <f t="shared" ref="M4:M10" si="4">L4*SQRT(2)</f>
        <v>0.16730146442873717</v>
      </c>
      <c r="N4" s="24">
        <f>Z$4*M4+AA$4</f>
        <v>1.0064540406751559</v>
      </c>
      <c r="O4" s="24">
        <f>E4-N4</f>
        <v>-6.4540406751558699E-3</v>
      </c>
      <c r="P4" s="24">
        <f>LOG(M4)</f>
        <v>-0.77650025754007901</v>
      </c>
      <c r="Q4" s="39">
        <v>0.372</v>
      </c>
      <c r="R4" s="39">
        <f t="shared" ref="R4:R10" si="5">Q4/2</f>
        <v>0.186</v>
      </c>
      <c r="S4" s="39">
        <f>R4*AI$4+AJ$4</f>
        <v>1.0803966655553856</v>
      </c>
      <c r="T4" s="50">
        <f>E4-S4</f>
        <v>-8.0396665555385605E-2</v>
      </c>
      <c r="U4" s="39">
        <f>LOG(R4)</f>
        <v>-0.73048705578208373</v>
      </c>
      <c r="Y4" s="4" t="s">
        <v>3</v>
      </c>
      <c r="Z4" s="39">
        <f t="array" ref="Z4:AA6">LINEST(E4:E10,M4:M10,1,1)</f>
        <v>6.1863426805234463</v>
      </c>
      <c r="AA4" s="39">
        <v>-2.8530149234416213E-2</v>
      </c>
      <c r="AB4" s="4" t="s">
        <v>5</v>
      </c>
      <c r="AH4" s="4" t="s">
        <v>3</v>
      </c>
      <c r="AI4" s="52">
        <f t="array" ref="AI4:AJ6">LINEST(E5:E10,R5:R10,1,1)</f>
        <v>6.7468282562918205</v>
      </c>
      <c r="AJ4" s="11">
        <v>-0.17451339011489297</v>
      </c>
      <c r="AK4" s="4" t="s">
        <v>5</v>
      </c>
    </row>
    <row r="5" spans="3:37" x14ac:dyDescent="0.3">
      <c r="C5" s="7">
        <v>15</v>
      </c>
      <c r="D5" s="51">
        <f t="shared" si="0"/>
        <v>0.26179938779914941</v>
      </c>
      <c r="E5" s="23">
        <f t="shared" si="1"/>
        <v>0.96592582628906831</v>
      </c>
      <c r="F5" s="23">
        <f t="shared" ref="F5:F10" si="6">R26</f>
        <v>-3.3879333779300184E-2</v>
      </c>
      <c r="G5" s="23">
        <f t="shared" ref="G5:G9" si="7">LOG(E5)</f>
        <v>-1.5056221897301486E-2</v>
      </c>
      <c r="H5" s="7">
        <v>1496</v>
      </c>
      <c r="I5" s="40">
        <f t="shared" si="2"/>
        <v>9399.6452195406619</v>
      </c>
      <c r="J5" s="7">
        <v>0.495</v>
      </c>
      <c r="K5" s="23">
        <f t="shared" si="3"/>
        <v>0.70003571337468207</v>
      </c>
      <c r="L5" s="24">
        <v>0.1145</v>
      </c>
      <c r="M5" s="24">
        <f t="shared" si="4"/>
        <v>0.16192745289171939</v>
      </c>
      <c r="N5" s="24">
        <f t="shared" ref="N5:N10" si="8">Z$4*M5+AA$4</f>
        <v>0.97320856373807729</v>
      </c>
      <c r="O5" s="24">
        <f t="shared" ref="O5:O10" si="9">E5-N5</f>
        <v>-7.2827374490089802E-3</v>
      </c>
      <c r="P5" s="24">
        <f t="shared" ref="P5:P9" si="10">LOG(M5)</f>
        <v>-0.79067951549210258</v>
      </c>
      <c r="Q5" s="39">
        <v>0.34</v>
      </c>
      <c r="R5" s="39">
        <f t="shared" si="5"/>
        <v>0.17</v>
      </c>
      <c r="S5" s="39">
        <f t="shared" ref="S5:S10" si="11">R5*AI$4+AJ$4</f>
        <v>0.97244741345471652</v>
      </c>
      <c r="T5" s="50">
        <f t="shared" ref="T5:T10" si="12">E5-S5</f>
        <v>-6.5215871656482127E-3</v>
      </c>
      <c r="U5" s="39">
        <f t="shared" ref="U5:U9" si="13">LOG(R5)</f>
        <v>-0.769551078621726</v>
      </c>
      <c r="Y5" s="4" t="s">
        <v>2</v>
      </c>
      <c r="Z5" s="39">
        <v>8.6759012995999418E-2</v>
      </c>
      <c r="AA5" s="39">
        <v>1.0264846227623812E-2</v>
      </c>
      <c r="AB5" s="4" t="s">
        <v>6</v>
      </c>
      <c r="AH5" s="4" t="s">
        <v>2</v>
      </c>
      <c r="AI5" s="52">
        <v>0.15147709451097247</v>
      </c>
      <c r="AJ5" s="11">
        <v>1.7943483279061864E-2</v>
      </c>
      <c r="AK5" s="4" t="s">
        <v>6</v>
      </c>
    </row>
    <row r="6" spans="3:37" x14ac:dyDescent="0.3">
      <c r="C6" s="7">
        <v>30</v>
      </c>
      <c r="D6" s="51">
        <f t="shared" si="0"/>
        <v>0.52359877559829882</v>
      </c>
      <c r="E6" s="23">
        <f t="shared" si="1"/>
        <v>0.86602540378443871</v>
      </c>
      <c r="F6" s="23">
        <f t="shared" si="6"/>
        <v>-6.5449846949787338E-2</v>
      </c>
      <c r="G6" s="23">
        <f t="shared" si="7"/>
        <v>-6.2469368304149946E-2</v>
      </c>
      <c r="H6" s="7">
        <v>1496</v>
      </c>
      <c r="I6" s="40">
        <f t="shared" si="2"/>
        <v>9399.6452195406619</v>
      </c>
      <c r="J6" s="7">
        <v>0.495</v>
      </c>
      <c r="K6" s="23">
        <f t="shared" si="3"/>
        <v>0.70003571337468207</v>
      </c>
      <c r="L6" s="24">
        <v>0.1022</v>
      </c>
      <c r="M6" s="24">
        <f t="shared" si="4"/>
        <v>0.14453262607453032</v>
      </c>
      <c r="N6" s="24">
        <f t="shared" si="8"/>
        <v>0.86559820417858668</v>
      </c>
      <c r="O6" s="24">
        <f t="shared" si="9"/>
        <v>4.2719960585202443E-4</v>
      </c>
      <c r="P6" s="24">
        <f t="shared" si="10"/>
        <v>-0.84003410636931541</v>
      </c>
      <c r="Q6" s="39">
        <v>0.30399999999999999</v>
      </c>
      <c r="R6" s="39">
        <f t="shared" si="5"/>
        <v>0.152</v>
      </c>
      <c r="S6" s="39">
        <f t="shared" si="11"/>
        <v>0.85100450484146362</v>
      </c>
      <c r="T6" s="50">
        <f t="shared" si="12"/>
        <v>1.5020898942975092E-2</v>
      </c>
      <c r="U6" s="39">
        <f t="shared" si="13"/>
        <v>-0.81815641205522749</v>
      </c>
      <c r="Y6" s="4" t="s">
        <v>4</v>
      </c>
      <c r="Z6" s="24">
        <v>0.99901756373167316</v>
      </c>
      <c r="AA6" s="39">
        <v>1.3008100985383584E-2</v>
      </c>
      <c r="AB6" s="4" t="s">
        <v>7</v>
      </c>
      <c r="AH6" s="4" t="s">
        <v>4</v>
      </c>
      <c r="AI6" s="22">
        <v>0.99798775976544796</v>
      </c>
      <c r="AJ6" s="11">
        <v>1.8594905949215083E-2</v>
      </c>
      <c r="AK6" s="4" t="s">
        <v>7</v>
      </c>
    </row>
    <row r="7" spans="3:37" x14ac:dyDescent="0.3">
      <c r="C7" s="7">
        <v>45</v>
      </c>
      <c r="D7" s="51">
        <f t="shared" si="0"/>
        <v>0.78539816339744828</v>
      </c>
      <c r="E7" s="23">
        <f t="shared" si="1"/>
        <v>0.70710678118654757</v>
      </c>
      <c r="F7" s="23">
        <f t="shared" si="6"/>
        <v>-9.2560061211632613E-2</v>
      </c>
      <c r="G7" s="23">
        <f t="shared" si="7"/>
        <v>-0.15051499783199057</v>
      </c>
      <c r="H7" s="7">
        <v>1496</v>
      </c>
      <c r="I7" s="40">
        <f t="shared" si="2"/>
        <v>9399.6452195406619</v>
      </c>
      <c r="J7" s="7">
        <v>0.49399999999999999</v>
      </c>
      <c r="K7" s="23">
        <f t="shared" si="3"/>
        <v>0.69862149981230903</v>
      </c>
      <c r="L7" s="24">
        <v>8.3599999999999994E-2</v>
      </c>
      <c r="M7" s="24">
        <f t="shared" si="4"/>
        <v>0.11822825381439074</v>
      </c>
      <c r="N7" s="24">
        <f t="shared" si="8"/>
        <v>0.70287034338130816</v>
      </c>
      <c r="O7" s="24">
        <f t="shared" si="9"/>
        <v>4.2364378052394125E-3</v>
      </c>
      <c r="P7" s="24">
        <f t="shared" si="10"/>
        <v>-0.92727872472899298</v>
      </c>
      <c r="Q7" s="39">
        <v>0.26800000000000002</v>
      </c>
      <c r="R7" s="39">
        <f t="shared" si="5"/>
        <v>0.13400000000000001</v>
      </c>
      <c r="S7" s="39">
        <f t="shared" si="11"/>
        <v>0.72956159622821104</v>
      </c>
      <c r="T7" s="50">
        <f t="shared" si="12"/>
        <v>-2.2454815041663467E-2</v>
      </c>
      <c r="U7" s="39">
        <f t="shared" si="13"/>
        <v>-0.8728952016351923</v>
      </c>
      <c r="AJ7" s="2"/>
      <c r="AK7" s="2"/>
    </row>
    <row r="8" spans="3:37" x14ac:dyDescent="0.3">
      <c r="C8" s="7">
        <v>60</v>
      </c>
      <c r="D8" s="51">
        <f t="shared" si="0"/>
        <v>1.0471975511965976</v>
      </c>
      <c r="E8" s="23">
        <f t="shared" si="1"/>
        <v>0.50000000000000011</v>
      </c>
      <c r="F8" s="23">
        <f t="shared" si="6"/>
        <v>-0.1133624602646386</v>
      </c>
      <c r="G8" s="23">
        <f t="shared" si="7"/>
        <v>-0.30102999566398109</v>
      </c>
      <c r="H8" s="7">
        <v>1496</v>
      </c>
      <c r="I8" s="40">
        <f t="shared" si="2"/>
        <v>9399.6452195406619</v>
      </c>
      <c r="J8" s="7">
        <v>0.49299999999999999</v>
      </c>
      <c r="K8" s="23">
        <f t="shared" si="3"/>
        <v>0.69720728624993589</v>
      </c>
      <c r="L8" s="24">
        <v>5.8599999999999999E-2</v>
      </c>
      <c r="M8" s="24">
        <f t="shared" si="4"/>
        <v>8.2872914755063379E-2</v>
      </c>
      <c r="N8" s="24">
        <f t="shared" si="8"/>
        <v>0.48415010037421358</v>
      </c>
      <c r="O8" s="24">
        <f t="shared" si="9"/>
        <v>1.5849899625786534E-2</v>
      </c>
      <c r="P8" s="24">
        <f t="shared" si="10"/>
        <v>-1.0815873861499188</v>
      </c>
      <c r="Q8" s="39">
        <v>0.19600000000000001</v>
      </c>
      <c r="R8" s="39">
        <f t="shared" si="5"/>
        <v>9.8000000000000004E-2</v>
      </c>
      <c r="S8" s="39">
        <f t="shared" si="11"/>
        <v>0.48667577900170544</v>
      </c>
      <c r="T8" s="50">
        <f t="shared" si="12"/>
        <v>1.3324220998294667E-2</v>
      </c>
      <c r="U8" s="39">
        <f t="shared" si="13"/>
        <v>-1.0087739243075051</v>
      </c>
      <c r="AJ8" s="2"/>
      <c r="AK8" s="2"/>
    </row>
    <row r="9" spans="3:37" x14ac:dyDescent="0.3">
      <c r="C9" s="7">
        <v>75</v>
      </c>
      <c r="D9" s="51">
        <f t="shared" si="0"/>
        <v>1.3089969389957472</v>
      </c>
      <c r="E9" s="23">
        <f t="shared" si="1"/>
        <v>0.25881904510252074</v>
      </c>
      <c r="F9" s="23">
        <f t="shared" si="6"/>
        <v>-0.12643939499093282</v>
      </c>
      <c r="G9" s="23">
        <f t="shared" si="7"/>
        <v>-0.5870037694306609</v>
      </c>
      <c r="H9" s="7">
        <v>1496</v>
      </c>
      <c r="I9" s="40">
        <f t="shared" si="2"/>
        <v>9399.6452195406619</v>
      </c>
      <c r="J9" s="7">
        <v>0.49199999999999999</v>
      </c>
      <c r="K9" s="23">
        <f t="shared" si="3"/>
        <v>0.69579307268756285</v>
      </c>
      <c r="L9" s="24">
        <v>3.15E-2</v>
      </c>
      <c r="M9" s="24">
        <f t="shared" si="4"/>
        <v>4.4547727214752496E-2</v>
      </c>
      <c r="N9" s="24">
        <f t="shared" si="8"/>
        <v>0.24705735695452302</v>
      </c>
      <c r="O9" s="24">
        <f t="shared" si="9"/>
        <v>1.1761688147997718E-2</v>
      </c>
      <c r="P9" s="24">
        <f t="shared" si="10"/>
        <v>-1.3511744483784089</v>
      </c>
      <c r="Q9" s="39">
        <v>0.124</v>
      </c>
      <c r="R9" s="39">
        <f t="shared" si="5"/>
        <v>6.2E-2</v>
      </c>
      <c r="S9" s="39">
        <f t="shared" si="11"/>
        <v>0.2437899617751999</v>
      </c>
      <c r="T9" s="50">
        <f t="shared" si="12"/>
        <v>1.5029083327320836E-2</v>
      </c>
      <c r="U9" s="39">
        <f t="shared" si="13"/>
        <v>-1.2076083105017461</v>
      </c>
      <c r="AE9" s="2"/>
      <c r="AF9" s="2"/>
      <c r="AG9" s="2"/>
      <c r="AH9" s="2"/>
      <c r="AI9" s="2"/>
      <c r="AJ9" s="2"/>
      <c r="AK9" s="2"/>
    </row>
    <row r="10" spans="3:37" x14ac:dyDescent="0.3">
      <c r="C10" s="7">
        <v>90</v>
      </c>
      <c r="D10" s="51">
        <f t="shared" si="0"/>
        <v>1.5707963267948966</v>
      </c>
      <c r="E10" s="23">
        <v>0</v>
      </c>
      <c r="F10" s="23">
        <f t="shared" si="6"/>
        <v>-0.1308996938995747</v>
      </c>
      <c r="G10" s="48"/>
      <c r="H10" s="7">
        <v>1496</v>
      </c>
      <c r="I10" s="40">
        <f t="shared" si="2"/>
        <v>9399.6452195406619</v>
      </c>
      <c r="J10" s="7">
        <v>0.49399999999999999</v>
      </c>
      <c r="K10" s="23">
        <f t="shared" si="3"/>
        <v>0.69862149981230903</v>
      </c>
      <c r="L10" s="24">
        <v>5.3800000000000002E-3</v>
      </c>
      <c r="M10" s="24">
        <f t="shared" si="4"/>
        <v>7.6084689655672522E-3</v>
      </c>
      <c r="N10" s="24">
        <f t="shared" si="8"/>
        <v>1.8538447060710554E-2</v>
      </c>
      <c r="O10" s="24">
        <f t="shared" si="9"/>
        <v>-1.8538447060710554E-2</v>
      </c>
      <c r="P10" s="48"/>
      <c r="Q10" s="39">
        <v>5.6000000000000001E-2</v>
      </c>
      <c r="R10" s="39">
        <f t="shared" si="5"/>
        <v>2.8000000000000001E-2</v>
      </c>
      <c r="S10" s="39">
        <f t="shared" si="11"/>
        <v>1.4397801061277998E-2</v>
      </c>
      <c r="T10" s="50">
        <f t="shared" si="12"/>
        <v>-1.4397801061277998E-2</v>
      </c>
      <c r="U10" s="48"/>
      <c r="AE10" s="2"/>
      <c r="AF10" s="2"/>
      <c r="AG10" s="2"/>
      <c r="AH10" s="2"/>
      <c r="AI10" s="2"/>
      <c r="AJ10" s="2"/>
      <c r="AK10" s="2"/>
    </row>
    <row r="11" spans="3:37" x14ac:dyDescent="0.3">
      <c r="AE11" s="2"/>
      <c r="AF11" s="2"/>
      <c r="AG11" s="2"/>
      <c r="AH11" s="2"/>
      <c r="AI11" s="2"/>
      <c r="AJ11" s="2"/>
      <c r="AK11" s="2"/>
    </row>
    <row r="12" spans="3:37" ht="15.6" x14ac:dyDescent="0.3">
      <c r="D12" s="70" t="s">
        <v>28</v>
      </c>
      <c r="E12" s="70"/>
      <c r="F12" s="70"/>
      <c r="G12" s="70"/>
      <c r="H12" s="70"/>
      <c r="I12" s="70"/>
      <c r="J12" s="70"/>
      <c r="L12" s="4" t="s">
        <v>38</v>
      </c>
      <c r="M12" s="1">
        <f>AVERAGE(K4:K10)</f>
        <v>0.69862149981230903</v>
      </c>
      <c r="O12" s="59" t="s">
        <v>16</v>
      </c>
      <c r="P12" s="59"/>
      <c r="Q12" s="59"/>
      <c r="R12" s="1">
        <v>0</v>
      </c>
      <c r="AE12" s="2"/>
      <c r="AF12" s="2"/>
      <c r="AG12" s="2"/>
      <c r="AH12" s="2"/>
      <c r="AI12" s="2"/>
      <c r="AJ12" s="2"/>
      <c r="AK12" s="2"/>
    </row>
    <row r="13" spans="3:37" ht="15.6" x14ac:dyDescent="0.3">
      <c r="D13" s="71" t="s">
        <v>29</v>
      </c>
      <c r="E13" s="71"/>
      <c r="F13" s="2"/>
      <c r="G13" s="2"/>
      <c r="H13" s="2"/>
      <c r="I13" s="68" t="s">
        <v>14</v>
      </c>
      <c r="J13" s="68"/>
      <c r="L13" s="4" t="s">
        <v>39</v>
      </c>
      <c r="M13" s="1">
        <f>_xlfn.STDEV.P(K4:K10)/SQRT(7)</f>
        <v>5.7142857142856377E-4</v>
      </c>
      <c r="O13" s="59" t="s">
        <v>15</v>
      </c>
      <c r="P13" s="59"/>
      <c r="Q13" s="59"/>
      <c r="R13" s="1">
        <f>i0!D21</f>
        <v>0</v>
      </c>
      <c r="AE13" s="2"/>
      <c r="AF13" s="2"/>
      <c r="AG13" s="2"/>
      <c r="AH13" s="2"/>
      <c r="AI13" s="2"/>
      <c r="AJ13" s="2"/>
      <c r="AK13" s="2"/>
    </row>
    <row r="14" spans="3:37" ht="15.6" x14ac:dyDescent="0.3">
      <c r="D14" s="27" t="s">
        <v>30</v>
      </c>
      <c r="E14" s="30">
        <f>4*PI()*10^-7</f>
        <v>1.2566370614359173E-6</v>
      </c>
      <c r="F14" s="2"/>
      <c r="G14" s="2"/>
      <c r="H14" s="2"/>
      <c r="I14" s="26" t="s">
        <v>30</v>
      </c>
      <c r="J14" s="30">
        <f>E14</f>
        <v>1.2566370614359173E-6</v>
      </c>
      <c r="M14" s="9"/>
      <c r="N14" s="9"/>
      <c r="O14" s="59" t="s">
        <v>59</v>
      </c>
      <c r="P14" s="59"/>
      <c r="Q14" s="59"/>
      <c r="R14" s="1">
        <f>i0!D22</f>
        <v>6.2831853071795862</v>
      </c>
      <c r="AE14" s="2"/>
      <c r="AF14" s="2"/>
      <c r="AG14" s="2"/>
      <c r="AH14" s="2"/>
      <c r="AI14" s="2"/>
      <c r="AJ14" s="2"/>
      <c r="AK14" s="2"/>
    </row>
    <row r="15" spans="3:37" ht="15.6" x14ac:dyDescent="0.3">
      <c r="D15" s="27" t="s">
        <v>31</v>
      </c>
      <c r="E15" s="30">
        <f>((1/Z4)*E19)/(E20*J21*J20*I4*M12)</f>
        <v>9.5529151552860893E-7</v>
      </c>
      <c r="F15" s="2"/>
      <c r="G15" s="2"/>
      <c r="H15" s="2"/>
      <c r="I15" s="26" t="s">
        <v>31</v>
      </c>
      <c r="J15" s="30">
        <f>((1/AI4)*E19)/(E20*J21*J20*I4*M12)</f>
        <v>8.7593168973070475E-7</v>
      </c>
      <c r="L15" s="4" t="s">
        <v>56</v>
      </c>
      <c r="M15" s="1">
        <v>1</v>
      </c>
      <c r="O15" s="59" t="s">
        <v>18</v>
      </c>
      <c r="P15" s="59"/>
      <c r="Q15" s="59"/>
      <c r="R15" s="1">
        <f>i0!D23</f>
        <v>1</v>
      </c>
      <c r="S15" s="25"/>
      <c r="AE15" s="2"/>
      <c r="AF15" s="2"/>
      <c r="AG15" s="2"/>
      <c r="AH15" s="2"/>
      <c r="AI15" s="2"/>
      <c r="AJ15" s="2"/>
      <c r="AK15" s="2"/>
    </row>
    <row r="16" spans="3:37" ht="16.2" x14ac:dyDescent="0.3">
      <c r="D16" s="27" t="s">
        <v>33</v>
      </c>
      <c r="E16" s="30">
        <f>1.3916*10^-8</f>
        <v>1.3916E-8</v>
      </c>
      <c r="F16" s="2"/>
      <c r="G16" s="2"/>
      <c r="H16" s="2"/>
      <c r="I16" s="26" t="s">
        <v>32</v>
      </c>
      <c r="J16" s="30">
        <f>2.63463*10^-8</f>
        <v>2.6346299999999999E-8</v>
      </c>
      <c r="L16" s="4" t="s">
        <v>57</v>
      </c>
      <c r="M16" s="1">
        <f>ABS(2*PI()*M15)</f>
        <v>6.2831853071795862</v>
      </c>
      <c r="O16" s="59" t="s">
        <v>60</v>
      </c>
      <c r="P16" s="59"/>
      <c r="Q16" s="59"/>
      <c r="R16" s="1">
        <f>i0!D24</f>
        <v>1E-4</v>
      </c>
      <c r="AE16" s="2"/>
      <c r="AF16" s="2"/>
      <c r="AG16" s="2"/>
      <c r="AH16" s="2"/>
      <c r="AI16" s="2"/>
      <c r="AJ16" s="2"/>
      <c r="AK16" s="2"/>
    </row>
    <row r="17" spans="2:57" ht="15.6" x14ac:dyDescent="0.3">
      <c r="D17" s="27" t="s">
        <v>34</v>
      </c>
      <c r="E17" s="32">
        <f>(E15-E14)/E14</f>
        <v>-0.23980316604936899</v>
      </c>
      <c r="F17" s="2"/>
      <c r="G17" s="2"/>
      <c r="H17" s="2"/>
      <c r="I17" s="26" t="s">
        <v>34</v>
      </c>
      <c r="J17" s="32">
        <f>(J15-J14)/J14</f>
        <v>-0.30295570884260981</v>
      </c>
      <c r="O17" s="59" t="s">
        <v>66</v>
      </c>
      <c r="P17" s="59"/>
      <c r="Q17" s="59"/>
      <c r="R17" s="1">
        <f>i0!D25</f>
        <v>1.4142135623730951E-4</v>
      </c>
      <c r="AE17" s="2"/>
      <c r="AF17" s="2"/>
      <c r="AG17" s="2"/>
      <c r="AH17" s="2"/>
      <c r="AI17" s="2"/>
      <c r="AJ17" s="2"/>
      <c r="AK17" s="2"/>
    </row>
    <row r="18" spans="2:57" x14ac:dyDescent="0.3">
      <c r="D18" s="2"/>
      <c r="E18" s="2"/>
      <c r="F18" s="2"/>
      <c r="G18" s="2"/>
      <c r="H18" s="2"/>
      <c r="I18" s="2"/>
      <c r="J18" s="2"/>
      <c r="O18" s="59" t="s">
        <v>62</v>
      </c>
      <c r="P18" s="59"/>
      <c r="Q18" s="59"/>
      <c r="R18" s="1">
        <f>i0!D26</f>
        <v>1E-4</v>
      </c>
      <c r="AE18" s="2"/>
      <c r="AF18" s="2"/>
      <c r="AG18" s="2"/>
      <c r="AH18" s="2"/>
      <c r="AI18" s="2"/>
      <c r="AJ18" s="2"/>
      <c r="AK18" s="2"/>
    </row>
    <row r="19" spans="2:57" ht="15.6" x14ac:dyDescent="0.3">
      <c r="C19" s="9"/>
      <c r="D19" s="28" t="s">
        <v>19</v>
      </c>
      <c r="E19" s="1">
        <v>0.75</v>
      </c>
      <c r="H19" s="69" t="s">
        <v>41</v>
      </c>
      <c r="I19" s="69"/>
      <c r="J19" s="1">
        <v>2.5999999999999999E-2</v>
      </c>
      <c r="O19" s="59" t="s">
        <v>67</v>
      </c>
      <c r="P19" s="59"/>
      <c r="Q19" s="59"/>
      <c r="R19" s="1">
        <f>i0!D27</f>
        <v>1.4142135623730951E-4</v>
      </c>
      <c r="AE19" s="2"/>
      <c r="AF19" s="2"/>
      <c r="AG19" s="2"/>
      <c r="AH19" s="2"/>
      <c r="AI19" s="2"/>
      <c r="AJ19" s="2"/>
      <c r="AK19" s="2"/>
    </row>
    <row r="20" spans="2:57" ht="16.2" x14ac:dyDescent="0.3">
      <c r="D20" s="28" t="s">
        <v>17</v>
      </c>
      <c r="E20" s="1">
        <v>364</v>
      </c>
      <c r="H20" s="69" t="s">
        <v>42</v>
      </c>
      <c r="I20" s="69"/>
      <c r="J20" s="29">
        <f>PI()*J19^2/4</f>
        <v>5.3092915845667494E-4</v>
      </c>
      <c r="O20" s="59" t="s">
        <v>63</v>
      </c>
      <c r="P20" s="59"/>
      <c r="Q20" s="59"/>
      <c r="R20" s="1">
        <f>i0!D28</f>
        <v>1E-3</v>
      </c>
      <c r="AE20" s="2"/>
      <c r="AF20" s="2"/>
      <c r="AG20" s="2"/>
      <c r="AH20" s="2"/>
      <c r="AI20" s="2"/>
      <c r="AJ20" s="2"/>
      <c r="AK20" s="2"/>
    </row>
    <row r="21" spans="2:57" x14ac:dyDescent="0.3">
      <c r="D21" s="2"/>
      <c r="E21" s="2"/>
      <c r="F21" s="2"/>
      <c r="G21" s="2"/>
      <c r="H21" s="69" t="s">
        <v>40</v>
      </c>
      <c r="I21" s="69"/>
      <c r="J21" s="1">
        <v>100</v>
      </c>
      <c r="O21" s="59" t="s">
        <v>64</v>
      </c>
      <c r="P21" s="59"/>
      <c r="Q21" s="59"/>
      <c r="R21" s="1">
        <f>i0!D29</f>
        <v>1.4142135623730952E-3</v>
      </c>
      <c r="AE21" s="2"/>
      <c r="AF21" s="2"/>
      <c r="AG21" s="2"/>
      <c r="AH21" s="2"/>
      <c r="AI21" s="2"/>
      <c r="AJ21" s="2"/>
      <c r="AK21" s="2"/>
      <c r="BD21" s="2"/>
      <c r="BE21" s="2"/>
    </row>
    <row r="22" spans="2:57" x14ac:dyDescent="0.3">
      <c r="AE22" s="2"/>
      <c r="AF22" s="2"/>
      <c r="AG22" s="2"/>
      <c r="AH22" s="2"/>
      <c r="AI22" s="2"/>
      <c r="AJ22" s="2"/>
      <c r="AK22" s="2"/>
      <c r="BD22" s="2"/>
      <c r="BE22" s="2"/>
    </row>
    <row r="23" spans="2:57" x14ac:dyDescent="0.3">
      <c r="O23" s="87" t="s">
        <v>70</v>
      </c>
      <c r="P23" s="87"/>
      <c r="Q23" s="87"/>
      <c r="R23" s="7">
        <v>7.5</v>
      </c>
      <c r="AE23" s="2"/>
      <c r="AF23" s="2"/>
      <c r="AG23" s="2"/>
      <c r="AH23" s="2"/>
      <c r="AI23" s="2"/>
      <c r="AJ23" s="2"/>
      <c r="AK23" s="2"/>
      <c r="BD23" s="2"/>
      <c r="BE23" s="2"/>
    </row>
    <row r="24" spans="2:57" x14ac:dyDescent="0.3">
      <c r="B24" s="9"/>
      <c r="C24" s="9"/>
      <c r="D24" s="9"/>
      <c r="O24" s="87" t="s">
        <v>71</v>
      </c>
      <c r="P24" s="87"/>
      <c r="Q24" s="87"/>
      <c r="R24" s="7">
        <f>R23*PI()/180</f>
        <v>0.1308996938995747</v>
      </c>
      <c r="AE24" s="2"/>
      <c r="AF24" s="2"/>
      <c r="AG24" s="2"/>
      <c r="AH24" s="2"/>
      <c r="AI24" s="2"/>
      <c r="AJ24" s="2"/>
      <c r="AK24" s="2"/>
    </row>
    <row r="25" spans="2:57" x14ac:dyDescent="0.3">
      <c r="O25" s="88" t="s">
        <v>69</v>
      </c>
      <c r="P25" s="89"/>
      <c r="Q25" s="90"/>
      <c r="R25" s="7">
        <f>-SIN(D4)*$R$24</f>
        <v>0</v>
      </c>
      <c r="AE25" s="2"/>
      <c r="AF25" s="2"/>
      <c r="AG25" s="2"/>
      <c r="AH25" s="2"/>
      <c r="AI25" s="2"/>
      <c r="AJ25" s="2"/>
      <c r="AK25" s="2"/>
    </row>
    <row r="26" spans="2:57" x14ac:dyDescent="0.3">
      <c r="O26" s="91"/>
      <c r="P26" s="92"/>
      <c r="Q26" s="93"/>
      <c r="R26" s="7">
        <f t="shared" ref="R26:R31" si="14">-SIN(D5)*$R$24</f>
        <v>-3.3879333779300184E-2</v>
      </c>
      <c r="AE26" s="2"/>
      <c r="AF26" s="2"/>
      <c r="AG26" s="2"/>
      <c r="AH26" s="2"/>
      <c r="AI26" s="2"/>
      <c r="AJ26" s="2"/>
      <c r="AK26" s="2"/>
    </row>
    <row r="27" spans="2:57" x14ac:dyDescent="0.3">
      <c r="O27" s="91"/>
      <c r="P27" s="92"/>
      <c r="Q27" s="93"/>
      <c r="R27" s="7">
        <f t="shared" si="14"/>
        <v>-6.5449846949787338E-2</v>
      </c>
      <c r="AE27" s="2"/>
      <c r="AF27" s="2"/>
      <c r="AG27" s="2"/>
      <c r="AH27" s="2"/>
      <c r="AI27" s="2"/>
      <c r="AJ27" s="2"/>
      <c r="AK27" s="2"/>
    </row>
    <row r="28" spans="2:57" x14ac:dyDescent="0.3">
      <c r="O28" s="91"/>
      <c r="P28" s="92"/>
      <c r="Q28" s="93"/>
      <c r="R28" s="7">
        <f t="shared" si="14"/>
        <v>-9.2560061211632613E-2</v>
      </c>
      <c r="AE28" s="2"/>
      <c r="AF28" s="2"/>
      <c r="AG28" s="2"/>
      <c r="AH28" s="2"/>
      <c r="AI28" s="2"/>
      <c r="AJ28" s="2"/>
      <c r="AK28" s="2"/>
    </row>
    <row r="29" spans="2:57" x14ac:dyDescent="0.3">
      <c r="O29" s="91"/>
      <c r="P29" s="92"/>
      <c r="Q29" s="93"/>
      <c r="R29" s="7">
        <f t="shared" si="14"/>
        <v>-0.1133624602646386</v>
      </c>
      <c r="AE29" s="2"/>
      <c r="AF29" s="2"/>
      <c r="AG29" s="2"/>
      <c r="AH29" s="2"/>
      <c r="AI29" s="2"/>
      <c r="AJ29" s="2"/>
      <c r="AK29" s="2"/>
    </row>
    <row r="30" spans="2:57" x14ac:dyDescent="0.3">
      <c r="O30" s="91"/>
      <c r="P30" s="92"/>
      <c r="Q30" s="93"/>
      <c r="R30" s="7">
        <f t="shared" si="14"/>
        <v>-0.12643939499093282</v>
      </c>
      <c r="AE30" s="2"/>
      <c r="AF30" s="2"/>
      <c r="AG30" s="2"/>
      <c r="AH30" s="2"/>
      <c r="AI30" s="2"/>
      <c r="AJ30" s="2"/>
      <c r="AK30" s="2"/>
    </row>
    <row r="31" spans="2:57" x14ac:dyDescent="0.3">
      <c r="O31" s="94"/>
      <c r="P31" s="95"/>
      <c r="Q31" s="96"/>
      <c r="R31" s="7">
        <f t="shared" si="14"/>
        <v>-0.1308996938995747</v>
      </c>
      <c r="AE31" s="2"/>
      <c r="AF31" s="2"/>
      <c r="AG31" s="2"/>
      <c r="AH31" s="2"/>
      <c r="AI31" s="2"/>
      <c r="AJ31" s="2"/>
      <c r="AK31" s="2"/>
    </row>
    <row r="32" spans="2:57" x14ac:dyDescent="0.3">
      <c r="AE32" s="2"/>
      <c r="AF32" s="2"/>
      <c r="AG32" s="2"/>
      <c r="AH32" s="2"/>
      <c r="AI32" s="2"/>
      <c r="AJ32" s="2"/>
      <c r="AK32" s="2"/>
    </row>
    <row r="33" spans="31:37" x14ac:dyDescent="0.3">
      <c r="AE33" s="2"/>
      <c r="AF33" s="2"/>
      <c r="AG33" s="2"/>
      <c r="AH33" s="2"/>
      <c r="AI33" s="2"/>
      <c r="AJ33" s="2"/>
      <c r="AK33" s="2"/>
    </row>
    <row r="34" spans="31:37" x14ac:dyDescent="0.3">
      <c r="AE34" s="2"/>
      <c r="AF34" s="2"/>
      <c r="AG34" s="2"/>
      <c r="AH34" s="2"/>
      <c r="AI34" s="2"/>
      <c r="AJ34" s="2"/>
      <c r="AK34" s="2"/>
    </row>
    <row r="35" spans="31:37" x14ac:dyDescent="0.3">
      <c r="AE35" s="2"/>
      <c r="AF35" s="2"/>
      <c r="AG35" s="2"/>
      <c r="AH35" s="2"/>
      <c r="AI35" s="2"/>
      <c r="AJ35" s="2"/>
      <c r="AK35" s="2"/>
    </row>
    <row r="36" spans="31:37" x14ac:dyDescent="0.3">
      <c r="AE36" s="2"/>
      <c r="AF36" s="2"/>
      <c r="AG36" s="2"/>
      <c r="AH36" s="2"/>
      <c r="AI36" s="2"/>
      <c r="AJ36" s="2"/>
      <c r="AK36" s="2"/>
    </row>
    <row r="37" spans="31:37" x14ac:dyDescent="0.3">
      <c r="AE37" s="2"/>
      <c r="AF37" s="2"/>
      <c r="AG37" s="2"/>
      <c r="AH37" s="2"/>
      <c r="AI37" s="2"/>
      <c r="AJ37" s="2"/>
      <c r="AK37" s="2"/>
    </row>
    <row r="38" spans="31:37" x14ac:dyDescent="0.3">
      <c r="AE38" s="2"/>
      <c r="AF38" s="2"/>
      <c r="AG38" s="2"/>
      <c r="AH38" s="2"/>
      <c r="AI38" s="2"/>
      <c r="AJ38" s="2"/>
      <c r="AK38" s="2"/>
    </row>
    <row r="39" spans="31:37" x14ac:dyDescent="0.3">
      <c r="AE39" s="2"/>
      <c r="AF39" s="2"/>
      <c r="AG39" s="2"/>
      <c r="AH39" s="2"/>
      <c r="AI39" s="2"/>
      <c r="AJ39" s="2"/>
      <c r="AK39" s="2"/>
    </row>
    <row r="40" spans="31:37" x14ac:dyDescent="0.3">
      <c r="AE40" s="2"/>
      <c r="AF40" s="2"/>
      <c r="AG40" s="2"/>
      <c r="AH40" s="2"/>
      <c r="AI40" s="2"/>
      <c r="AJ40" s="2"/>
      <c r="AK40" s="2"/>
    </row>
    <row r="41" spans="31:37" x14ac:dyDescent="0.3">
      <c r="AE41" s="2"/>
      <c r="AF41" s="2"/>
      <c r="AG41" s="2"/>
      <c r="AH41" s="2"/>
      <c r="AI41" s="2"/>
      <c r="AJ41" s="2"/>
      <c r="AK41" s="2"/>
    </row>
    <row r="42" spans="31:37" x14ac:dyDescent="0.3">
      <c r="AE42" s="2"/>
      <c r="AF42" s="2"/>
      <c r="AG42" s="2"/>
      <c r="AH42" s="2"/>
      <c r="AI42" s="2"/>
      <c r="AJ42" s="2"/>
      <c r="AK42" s="2"/>
    </row>
    <row r="43" spans="31:37" x14ac:dyDescent="0.3">
      <c r="AG43" s="2"/>
      <c r="AH43" s="2"/>
      <c r="AI43" s="2"/>
      <c r="AJ43" s="2"/>
      <c r="AK43" s="2"/>
    </row>
    <row r="56" spans="7:17" ht="15.6" x14ac:dyDescent="0.3">
      <c r="G56" s="65" t="s">
        <v>93</v>
      </c>
      <c r="H56" s="66"/>
      <c r="I56" s="66"/>
      <c r="J56" s="67"/>
      <c r="N56" s="65" t="s">
        <v>109</v>
      </c>
      <c r="O56" s="66"/>
      <c r="P56" s="66"/>
      <c r="Q56" s="67"/>
    </row>
    <row r="57" spans="7:17" x14ac:dyDescent="0.3">
      <c r="G57" s="4" t="s">
        <v>3</v>
      </c>
      <c r="H57" s="22">
        <f t="array" ref="H57:I59">LINEST(P4:P9,G4:G9,1,1)</f>
        <v>0.9824338373634357</v>
      </c>
      <c r="I57" s="22">
        <v>-0.77846420485537993</v>
      </c>
      <c r="J57" s="4" t="s">
        <v>5</v>
      </c>
      <c r="N57" s="4" t="s">
        <v>3</v>
      </c>
      <c r="O57" s="22">
        <f t="array" ref="O57:P59">LINEST(U4:U9,G4:G9,1,1)</f>
        <v>0.78925571316481635</v>
      </c>
      <c r="P57" s="22">
        <v>-0.75443398723006894</v>
      </c>
      <c r="Q57" s="4" t="s">
        <v>5</v>
      </c>
    </row>
    <row r="58" spans="7:17" x14ac:dyDescent="0.3">
      <c r="G58" s="4" t="s">
        <v>2</v>
      </c>
      <c r="H58" s="22">
        <v>8.9642205720821232E-3</v>
      </c>
      <c r="I58" s="22">
        <v>2.4874066169384857E-3</v>
      </c>
      <c r="J58" s="4" t="s">
        <v>6</v>
      </c>
      <c r="N58" s="4" t="s">
        <v>2</v>
      </c>
      <c r="O58" s="22">
        <v>3.3981348372828513E-2</v>
      </c>
      <c r="P58" s="22">
        <v>9.4292002428307854E-3</v>
      </c>
      <c r="Q58" s="4" t="s">
        <v>6</v>
      </c>
    </row>
    <row r="59" spans="7:17" x14ac:dyDescent="0.3">
      <c r="G59" s="4" t="s">
        <v>4</v>
      </c>
      <c r="H59" s="10">
        <v>0.99966708464392751</v>
      </c>
      <c r="I59" s="22">
        <v>4.5211382129915472E-3</v>
      </c>
      <c r="J59" s="4" t="s">
        <v>7</v>
      </c>
      <c r="N59" s="4" t="s">
        <v>4</v>
      </c>
      <c r="O59" s="22">
        <v>0.99263966867102427</v>
      </c>
      <c r="P59" s="11">
        <v>1.7138620298550775E-2</v>
      </c>
      <c r="Q59" s="4" t="s">
        <v>7</v>
      </c>
    </row>
  </sheetData>
  <mergeCells count="34">
    <mergeCell ref="N56:Q56"/>
    <mergeCell ref="O14:Q14"/>
    <mergeCell ref="O23:Q23"/>
    <mergeCell ref="O15:Q15"/>
    <mergeCell ref="O16:Q16"/>
    <mergeCell ref="O17:Q17"/>
    <mergeCell ref="O18:Q18"/>
    <mergeCell ref="AH3:AK3"/>
    <mergeCell ref="D12:J12"/>
    <mergeCell ref="O12:Q12"/>
    <mergeCell ref="K2:K3"/>
    <mergeCell ref="J2:J3"/>
    <mergeCell ref="I2:I3"/>
    <mergeCell ref="H2:H3"/>
    <mergeCell ref="E2:E3"/>
    <mergeCell ref="D2:D3"/>
    <mergeCell ref="L2:P2"/>
    <mergeCell ref="Q2:U2"/>
    <mergeCell ref="G56:J56"/>
    <mergeCell ref="G2:G3"/>
    <mergeCell ref="C2:C3"/>
    <mergeCell ref="F2:F3"/>
    <mergeCell ref="Y3:AB3"/>
    <mergeCell ref="D13:E13"/>
    <mergeCell ref="I13:J13"/>
    <mergeCell ref="H19:I19"/>
    <mergeCell ref="H20:I20"/>
    <mergeCell ref="H21:I21"/>
    <mergeCell ref="O20:Q20"/>
    <mergeCell ref="O21:Q21"/>
    <mergeCell ref="O19:Q19"/>
    <mergeCell ref="O24:Q24"/>
    <mergeCell ref="O25:Q31"/>
    <mergeCell ref="O13:Q1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17"/>
  <sheetViews>
    <sheetView zoomScale="115" zoomScaleNormal="115" workbookViewId="0">
      <selection activeCell="H22" sqref="H22"/>
    </sheetView>
  </sheetViews>
  <sheetFormatPr defaultColWidth="8.88671875" defaultRowHeight="14.4" x14ac:dyDescent="0.3"/>
  <cols>
    <col min="1" max="1" width="8.88671875" style="2"/>
    <col min="2" max="2" width="8.88671875" style="2" customWidth="1"/>
    <col min="3" max="3" width="13" style="2" customWidth="1"/>
    <col min="4" max="10" width="11.109375" style="2" customWidth="1"/>
    <col min="11" max="11" width="11.33203125" style="2" customWidth="1"/>
    <col min="12" max="12" width="11.109375" style="2" customWidth="1"/>
    <col min="13" max="13" width="11.33203125" style="2" customWidth="1"/>
    <col min="14" max="16384" width="8.88671875" style="2"/>
  </cols>
  <sheetData>
    <row r="2" spans="3:13" ht="16.2" x14ac:dyDescent="0.3">
      <c r="C2" s="85"/>
      <c r="D2" s="59" t="s">
        <v>52</v>
      </c>
      <c r="E2" s="59"/>
      <c r="F2" s="59"/>
      <c r="G2" s="59"/>
      <c r="H2" s="59"/>
      <c r="I2" s="100">
        <f>4*PI()*10^-7</f>
        <v>1.2566370614359173E-6</v>
      </c>
      <c r="J2" s="100"/>
      <c r="K2" s="100"/>
      <c r="L2" s="100"/>
      <c r="M2" s="100"/>
    </row>
    <row r="3" spans="3:13" ht="15.6" x14ac:dyDescent="0.3">
      <c r="C3" s="85"/>
      <c r="D3" s="97" t="s">
        <v>48</v>
      </c>
      <c r="E3" s="97"/>
      <c r="F3" s="97" t="s">
        <v>49</v>
      </c>
      <c r="G3" s="97"/>
      <c r="H3" s="97" t="s">
        <v>11</v>
      </c>
      <c r="I3" s="97"/>
      <c r="J3" s="97" t="s">
        <v>50</v>
      </c>
      <c r="K3" s="97"/>
      <c r="L3" s="97" t="s">
        <v>27</v>
      </c>
      <c r="M3" s="97"/>
    </row>
    <row r="4" spans="3:13" x14ac:dyDescent="0.3">
      <c r="C4" s="86"/>
      <c r="D4" s="35" t="s">
        <v>29</v>
      </c>
      <c r="E4" s="34" t="s">
        <v>14</v>
      </c>
      <c r="F4" s="35" t="s">
        <v>29</v>
      </c>
      <c r="G4" s="34" t="s">
        <v>14</v>
      </c>
      <c r="H4" s="35" t="s">
        <v>29</v>
      </c>
      <c r="I4" s="34" t="s">
        <v>14</v>
      </c>
      <c r="J4" s="35" t="s">
        <v>29</v>
      </c>
      <c r="K4" s="34" t="s">
        <v>14</v>
      </c>
      <c r="L4" s="35" t="s">
        <v>29</v>
      </c>
      <c r="M4" s="34" t="s">
        <v>14</v>
      </c>
    </row>
    <row r="5" spans="3:13" ht="16.2" x14ac:dyDescent="0.3">
      <c r="C5" s="33" t="s">
        <v>51</v>
      </c>
      <c r="D5" s="30">
        <f>ω!T50</f>
        <v>1.0917999077141359E-6</v>
      </c>
      <c r="E5" s="30">
        <f>ω!W50</f>
        <v>1.1003553416476577E-6</v>
      </c>
      <c r="F5" s="30">
        <f>i0!K141</f>
        <v>1.2197581109194996E-6</v>
      </c>
      <c r="G5" s="30">
        <f>i0!O141</f>
        <v>1.2021754391057407E-6</v>
      </c>
      <c r="H5" s="30">
        <f>n!AM9</f>
        <v>1.1039450756471434E-6</v>
      </c>
      <c r="I5" s="30">
        <f>n!AP9</f>
        <v>1.0841764570105434E-6</v>
      </c>
      <c r="J5" s="30">
        <f>S!AE7</f>
        <v>1.410612322348944E-6</v>
      </c>
      <c r="K5" s="30">
        <f>S!AH7</f>
        <v>1.3821329595651333E-6</v>
      </c>
      <c r="L5" s="30">
        <f>'cos(θ)'!E15</f>
        <v>9.5529151552860893E-7</v>
      </c>
      <c r="M5" s="30">
        <f>'cos(θ)'!J15</f>
        <v>8.7593168973070475E-7</v>
      </c>
    </row>
    <row r="6" spans="3:13" ht="16.2" x14ac:dyDescent="0.3">
      <c r="C6" s="33" t="s">
        <v>53</v>
      </c>
      <c r="D6" s="30">
        <f>ω!T51</f>
        <v>4.4000000000000005E-9</v>
      </c>
      <c r="E6" s="30">
        <f>ω!W51</f>
        <v>4.4000000000000005E-9</v>
      </c>
      <c r="F6" s="30">
        <f>i0!K142</f>
        <v>8.3668000000000005E-9</v>
      </c>
      <c r="G6" s="30">
        <f>i0!O142</f>
        <v>1.4470000000000002E-8</v>
      </c>
      <c r="H6" s="30">
        <f>n!AM10</f>
        <v>8.3000000000000015E-9</v>
      </c>
      <c r="I6" s="30">
        <f>n!AP10</f>
        <v>2.1000000000000002E-9</v>
      </c>
      <c r="J6" s="30">
        <f>S!AE8</f>
        <v>2.297E-7</v>
      </c>
      <c r="K6" s="30">
        <f>S!AH8</f>
        <v>2.1789999999999999E-7</v>
      </c>
      <c r="L6" s="30">
        <f>'cos(θ)'!E16</f>
        <v>1.3916E-8</v>
      </c>
      <c r="M6" s="30">
        <f>'cos(θ)'!J16</f>
        <v>2.6346299999999999E-8</v>
      </c>
    </row>
    <row r="7" spans="3:13" ht="15.6" x14ac:dyDescent="0.3">
      <c r="C7" s="33" t="s">
        <v>54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6.859392796898716E-3</v>
      </c>
      <c r="G7" s="32">
        <f t="shared" si="0"/>
        <v>1.2036512749556558E-2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1.4567281059017473E-2</v>
      </c>
      <c r="M7" s="32">
        <f t="shared" si="0"/>
        <v>3.0078030409083464E-2</v>
      </c>
    </row>
    <row r="8" spans="3:13" x14ac:dyDescent="0.3">
      <c r="C8" s="54" t="s">
        <v>55</v>
      </c>
      <c r="D8" s="32">
        <f>ω!T52</f>
        <v>-0.13117323910010062</v>
      </c>
      <c r="E8" s="32">
        <f>ω!W52</f>
        <v>-0.12436504109601997</v>
      </c>
      <c r="F8" s="32">
        <f>i0!K143</f>
        <v>-2.9347336353646392E-2</v>
      </c>
      <c r="G8" s="32">
        <f>i0!O143</f>
        <v>-4.3339182013257767E-2</v>
      </c>
      <c r="H8" s="32">
        <f>n!AM11</f>
        <v>-0.121508421544004</v>
      </c>
      <c r="I8" s="32">
        <f>n!AP11</f>
        <v>-0.13723978841457127</v>
      </c>
      <c r="J8" s="32">
        <f>S!AE9</f>
        <v>0.12252961944086253</v>
      </c>
      <c r="K8" s="32">
        <f>S!AH9</f>
        <v>9.9866462625108329E-2</v>
      </c>
      <c r="L8" s="32">
        <f>'cos(θ)'!E17</f>
        <v>-0.23980316604936899</v>
      </c>
      <c r="M8" s="32">
        <f>'cos(θ)'!J17</f>
        <v>-0.30295570884260981</v>
      </c>
    </row>
    <row r="9" spans="3:13" x14ac:dyDescent="0.3">
      <c r="C9" s="55" t="s">
        <v>110</v>
      </c>
      <c r="D9" s="98">
        <f>1-ω!R75</f>
        <v>2.5781264129534298E-2</v>
      </c>
      <c r="E9" s="98">
        <f>1-ω!Z75</f>
        <v>2.8996146791930633E-2</v>
      </c>
      <c r="F9" s="98">
        <f>1-i0!Y152</f>
        <v>-9.5925803488386752E-2</v>
      </c>
      <c r="G9" s="98">
        <f>1-i0!AG152</f>
        <v>-5.3244796628598934E-2</v>
      </c>
      <c r="H9" s="98">
        <f>1-n!F48</f>
        <v>9.6255314511259904E-3</v>
      </c>
      <c r="I9" s="98">
        <f>1-n!M48</f>
        <v>8.6686471887046923E-2</v>
      </c>
      <c r="J9" s="98">
        <f>1-S!F67</f>
        <v>-0.59730928053830268</v>
      </c>
      <c r="K9" s="98">
        <f>1-S!U68</f>
        <v>-0.47797162343901634</v>
      </c>
      <c r="L9" s="98">
        <f>1-'cos(θ)'!H57</f>
        <v>1.7566162636564298E-2</v>
      </c>
      <c r="M9" s="98">
        <f>1-'cos(θ)'!O57</f>
        <v>0.21074428683518365</v>
      </c>
    </row>
    <row r="10" spans="3:13" x14ac:dyDescent="0.3">
      <c r="C10" s="56" t="s">
        <v>111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3:13" x14ac:dyDescent="0.3">
      <c r="C11" s="55" t="s">
        <v>112</v>
      </c>
      <c r="D11" s="98">
        <f>ω!R76/ω!R75</f>
        <v>3.9939556373464321E-3</v>
      </c>
      <c r="E11" s="98">
        <f>ω!Z76/ω!Z75</f>
        <v>3.9563478973050036E-3</v>
      </c>
      <c r="F11" s="98">
        <f>i0!Y153/i0!Y152</f>
        <v>6.5641187742212989E-3</v>
      </c>
      <c r="G11" s="98">
        <f>i0!AG153/i0!AG152</f>
        <v>1.1949206702524546E-2</v>
      </c>
      <c r="H11" s="98">
        <f>n!F49/n!F48</f>
        <v>7.0074946447399727E-3</v>
      </c>
      <c r="I11" s="98">
        <f>n!M49/n!M48</f>
        <v>1.2887132306708947E-2</v>
      </c>
      <c r="J11" s="98">
        <f>S!F68/S!F67</f>
        <v>0.21332497248033946</v>
      </c>
      <c r="K11" s="98">
        <f>S!U69/S!U68</f>
        <v>0.19797350948614109</v>
      </c>
      <c r="L11" s="98">
        <f>'cos(θ)'!H58/'cos(θ)'!H57</f>
        <v>9.1245030771125134E-3</v>
      </c>
      <c r="M11" s="98">
        <f>'cos(θ)'!O58/'cos(θ)'!O57</f>
        <v>4.3054928594140382E-2</v>
      </c>
    </row>
    <row r="12" spans="3:13" x14ac:dyDescent="0.3">
      <c r="C12" s="56" t="s">
        <v>111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</row>
    <row r="15" spans="3:13" x14ac:dyDescent="0.3">
      <c r="F15" s="57"/>
      <c r="G15" s="58"/>
    </row>
    <row r="16" spans="3:13" x14ac:dyDescent="0.3">
      <c r="F16" s="57"/>
    </row>
    <row r="17" spans="6:6" x14ac:dyDescent="0.3">
      <c r="F17" s="58"/>
    </row>
  </sheetData>
  <mergeCells count="28">
    <mergeCell ref="C2:C4"/>
    <mergeCell ref="I11:I12"/>
    <mergeCell ref="J11:J12"/>
    <mergeCell ref="K11:K12"/>
    <mergeCell ref="L11:L12"/>
    <mergeCell ref="H9:H10"/>
    <mergeCell ref="G9:G10"/>
    <mergeCell ref="F9:F10"/>
    <mergeCell ref="E9:E10"/>
    <mergeCell ref="D9:D10"/>
    <mergeCell ref="D2:H2"/>
    <mergeCell ref="I2:M2"/>
    <mergeCell ref="D3:E3"/>
    <mergeCell ref="F3:G3"/>
    <mergeCell ref="H3:I3"/>
    <mergeCell ref="J3:K3"/>
    <mergeCell ref="I9:I10"/>
    <mergeCell ref="M11:M12"/>
    <mergeCell ref="D11:D12"/>
    <mergeCell ref="E11:E12"/>
    <mergeCell ref="F11:F12"/>
    <mergeCell ref="G11:G12"/>
    <mergeCell ref="H11:H12"/>
    <mergeCell ref="L3:M3"/>
    <mergeCell ref="M9:M10"/>
    <mergeCell ref="L9:L10"/>
    <mergeCell ref="K9:K10"/>
    <mergeCell ref="J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2023-03-14T01:45:22Z</dcterms:modified>
</cp:coreProperties>
</file>