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4.xml" ContentType="application/vnd.openxmlformats-officedocument.drawing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5.xml" ContentType="application/vnd.openxmlformats-officedocument.drawing+xml"/>
  <Override PartName="/xl/charts/chart3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016\T2A\"/>
    </mc:Choice>
  </mc:AlternateContent>
  <xr:revisionPtr revIDLastSave="0" documentId="13_ncr:1_{3EC2B225-3363-4968-8095-318C6F0F4BAD}" xr6:coauthVersionLast="47" xr6:coauthVersionMax="47" xr10:uidLastSave="{00000000-0000-0000-0000-000000000000}"/>
  <bookViews>
    <workbookView xWindow="-120" yWindow="-120" windowWidth="29040" windowHeight="15720" tabRatio="550" activeTab="4" xr2:uid="{F9CE1053-71AF-BD45-AF3D-643B6E20E660}"/>
  </bookViews>
  <sheets>
    <sheet name="Tubos" sheetId="4" r:id="rId1"/>
    <sheet name="1ª Parte (v)" sheetId="1" r:id="rId2"/>
    <sheet name="Δy" sheetId="3" r:id="rId3"/>
    <sheet name="2ª Parte (v)" sheetId="2" r:id="rId4"/>
    <sheet name="p(T)" sheetId="5" r:id="rId5"/>
  </sheets>
  <externalReferences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1" i="3" l="1"/>
  <c r="AH28" i="3"/>
  <c r="Y55" i="1" a="1"/>
  <c r="Y55" i="1" s="1"/>
  <c r="U55" i="1" s="1" a="1"/>
  <c r="U55" i="1" s="1"/>
  <c r="V55" i="1" s="1"/>
  <c r="L3" i="2"/>
  <c r="E15" i="1"/>
  <c r="D15" i="1"/>
  <c r="C34" i="1" s="1"/>
  <c r="C33" i="1" l="1"/>
  <c r="C32" i="1"/>
  <c r="C31" i="1"/>
  <c r="C29" i="1"/>
  <c r="C30" i="1"/>
  <c r="C37" i="1"/>
  <c r="C36" i="1"/>
  <c r="C35" i="1"/>
  <c r="Y70" i="1" l="1" a="1"/>
  <c r="Y70" i="1" s="1"/>
  <c r="U70" i="1" s="1" a="1"/>
  <c r="U70" i="1" s="1"/>
  <c r="V70" i="1" s="1"/>
  <c r="Y86" i="1" a="1"/>
  <c r="Y86" i="1" s="1"/>
  <c r="U86" i="1" s="1" a="1"/>
  <c r="Y102" i="1" a="1"/>
  <c r="Y102" i="1" s="1"/>
  <c r="U102" i="1" s="1" a="1"/>
  <c r="U102" i="1" s="1"/>
  <c r="V102" i="1" s="1"/>
  <c r="Y120" i="1" a="1"/>
  <c r="Y120" i="1" s="1"/>
  <c r="U120" i="1" s="1" a="1"/>
  <c r="V126" i="1" s="1"/>
  <c r="AB2" i="3"/>
  <c r="AB3" i="3" s="1"/>
  <c r="J9" i="3"/>
  <c r="J8" i="3"/>
  <c r="L8" i="3" s="1"/>
  <c r="J7" i="3"/>
  <c r="C94" i="3"/>
  <c r="J20" i="3" s="1"/>
  <c r="C12" i="2"/>
  <c r="C11" i="2"/>
  <c r="V25" i="2" a="1"/>
  <c r="V25" i="2" s="1"/>
  <c r="C10" i="2" s="1"/>
  <c r="C6" i="2"/>
  <c r="I3" i="2"/>
  <c r="C7" i="2"/>
  <c r="Y41" i="1" a="1"/>
  <c r="Y41" i="1" s="1"/>
  <c r="Y27" i="1" a="1"/>
  <c r="Y27" i="1" s="1"/>
  <c r="U27" i="1" s="1" a="1"/>
  <c r="U27" i="1" s="1"/>
  <c r="Y15" i="1" a="1"/>
  <c r="Y15" i="1" s="1"/>
  <c r="Y5" i="1" a="1"/>
  <c r="Y5" i="1" s="1"/>
  <c r="C95" i="3"/>
  <c r="C96" i="3"/>
  <c r="J40" i="3" s="1"/>
  <c r="L40" i="3" s="1"/>
  <c r="C97" i="3"/>
  <c r="J50" i="3" s="1"/>
  <c r="L50" i="3" s="1"/>
  <c r="C98" i="3"/>
  <c r="J60" i="3" s="1"/>
  <c r="L60" i="3" s="1"/>
  <c r="C99" i="3"/>
  <c r="J70" i="3" s="1"/>
  <c r="L70" i="3" s="1"/>
  <c r="C100" i="3"/>
  <c r="J80" i="3" s="1"/>
  <c r="L80" i="3" s="1"/>
  <c r="C101" i="3"/>
  <c r="C102" i="3"/>
  <c r="C103" i="3"/>
  <c r="C104" i="3"/>
  <c r="C78" i="3"/>
  <c r="J29" i="3" s="1"/>
  <c r="C79" i="3"/>
  <c r="C80" i="3"/>
  <c r="J49" i="3" s="1"/>
  <c r="C81" i="3"/>
  <c r="J59" i="3" s="1"/>
  <c r="L59" i="3" s="1"/>
  <c r="C82" i="3"/>
  <c r="J69" i="3" s="1"/>
  <c r="C83" i="3"/>
  <c r="J79" i="3" s="1"/>
  <c r="C84" i="3"/>
  <c r="J89" i="3" s="1"/>
  <c r="C85" i="3"/>
  <c r="C86" i="3"/>
  <c r="C87" i="3"/>
  <c r="C88" i="3"/>
  <c r="C89" i="3"/>
  <c r="C77" i="3"/>
  <c r="J19" i="3" s="1"/>
  <c r="L19" i="3" s="1"/>
  <c r="C60" i="3"/>
  <c r="J28" i="3" s="1"/>
  <c r="C61" i="3"/>
  <c r="J38" i="3" s="1"/>
  <c r="C62" i="3"/>
  <c r="J48" i="3" s="1"/>
  <c r="C63" i="3"/>
  <c r="J58" i="3" s="1"/>
  <c r="C64" i="3"/>
  <c r="C65" i="3"/>
  <c r="J78" i="3" s="1"/>
  <c r="C66" i="3"/>
  <c r="J88" i="3" s="1"/>
  <c r="L88" i="3" s="1"/>
  <c r="C67" i="3"/>
  <c r="C68" i="3"/>
  <c r="C69" i="3"/>
  <c r="C59" i="3"/>
  <c r="J18" i="3" s="1"/>
  <c r="C41" i="3"/>
  <c r="J27" i="3" s="1"/>
  <c r="C42" i="3"/>
  <c r="J37" i="3" s="1"/>
  <c r="C43" i="3"/>
  <c r="J47" i="3" s="1"/>
  <c r="C44" i="3"/>
  <c r="J57" i="3" s="1"/>
  <c r="C45" i="3"/>
  <c r="C46" i="3"/>
  <c r="J77" i="3" s="1"/>
  <c r="C47" i="3"/>
  <c r="J87" i="3" s="1"/>
  <c r="C48" i="3"/>
  <c r="C49" i="3"/>
  <c r="C50" i="3"/>
  <c r="C40" i="3"/>
  <c r="L7" i="3" s="1"/>
  <c r="C22" i="3"/>
  <c r="J16" i="3" s="1"/>
  <c r="C23" i="3"/>
  <c r="J26" i="3" s="1"/>
  <c r="L26" i="3" s="1"/>
  <c r="C24" i="3"/>
  <c r="J36" i="3" s="1"/>
  <c r="L36" i="3" s="1"/>
  <c r="C25" i="3"/>
  <c r="J46" i="3" s="1"/>
  <c r="L46" i="3" s="1"/>
  <c r="C26" i="3"/>
  <c r="J56" i="3" s="1"/>
  <c r="C27" i="3"/>
  <c r="J66" i="3" s="1"/>
  <c r="L66" i="3" s="1"/>
  <c r="C28" i="3"/>
  <c r="J76" i="3" s="1"/>
  <c r="L76" i="3" s="1"/>
  <c r="C29" i="3"/>
  <c r="J86" i="3" s="1"/>
  <c r="L86" i="3" s="1"/>
  <c r="C30" i="3"/>
  <c r="C21" i="3"/>
  <c r="J6" i="3" s="1"/>
  <c r="L6" i="3" s="1"/>
  <c r="C6" i="3"/>
  <c r="J15" i="3" s="1"/>
  <c r="L15" i="3" s="1"/>
  <c r="C7" i="3"/>
  <c r="J25" i="3" s="1"/>
  <c r="L25" i="3" s="1"/>
  <c r="C8" i="3"/>
  <c r="J35" i="3" s="1"/>
  <c r="C9" i="3"/>
  <c r="J45" i="3" s="1"/>
  <c r="L45" i="3" s="1"/>
  <c r="C10" i="3"/>
  <c r="J55" i="3" s="1"/>
  <c r="C11" i="3"/>
  <c r="J65" i="3" s="1"/>
  <c r="L65" i="3" s="1"/>
  <c r="C12" i="3"/>
  <c r="J75" i="3" s="1"/>
  <c r="L75" i="3" s="1"/>
  <c r="C13" i="3"/>
  <c r="J85" i="3" s="1"/>
  <c r="L85" i="3" s="1"/>
  <c r="C5" i="3"/>
  <c r="J5" i="3" s="1"/>
  <c r="K5" i="3" s="1"/>
  <c r="V80" i="1" l="1"/>
  <c r="U86" i="1"/>
  <c r="V86" i="1" s="1"/>
  <c r="V96" i="1"/>
  <c r="V97" i="1"/>
  <c r="V87" i="1"/>
  <c r="V88" i="1"/>
  <c r="V89" i="1"/>
  <c r="V90" i="1"/>
  <c r="V91" i="1"/>
  <c r="V92" i="1"/>
  <c r="V94" i="1"/>
  <c r="V95" i="1"/>
  <c r="V93" i="1"/>
  <c r="V79" i="1"/>
  <c r="Z107" i="1"/>
  <c r="V123" i="1"/>
  <c r="V78" i="1"/>
  <c r="Z125" i="1"/>
  <c r="V122" i="1"/>
  <c r="V77" i="1"/>
  <c r="V121" i="1"/>
  <c r="V76" i="1"/>
  <c r="V75" i="1"/>
  <c r="V125" i="1"/>
  <c r="V131" i="1"/>
  <c r="V74" i="1"/>
  <c r="V73" i="1"/>
  <c r="V124" i="1"/>
  <c r="V130" i="1"/>
  <c r="V129" i="1"/>
  <c r="V72" i="1"/>
  <c r="V128" i="1"/>
  <c r="V71" i="1"/>
  <c r="V127" i="1"/>
  <c r="V81" i="1"/>
  <c r="V103" i="1"/>
  <c r="V111" i="1"/>
  <c r="V104" i="1"/>
  <c r="V112" i="1"/>
  <c r="V114" i="1"/>
  <c r="V109" i="1"/>
  <c r="V110" i="1"/>
  <c r="V105" i="1"/>
  <c r="V113" i="1"/>
  <c r="V106" i="1"/>
  <c r="V107" i="1"/>
  <c r="V108" i="1"/>
  <c r="V115" i="1"/>
  <c r="U120" i="1"/>
  <c r="V120" i="1" s="1"/>
  <c r="L29" i="3"/>
  <c r="L57" i="3"/>
  <c r="L9" i="3"/>
  <c r="L18" i="3"/>
  <c r="J17" i="3"/>
  <c r="L17" i="3" s="1"/>
  <c r="L48" i="3"/>
  <c r="J39" i="3"/>
  <c r="L39" i="3" s="1"/>
  <c r="J67" i="3"/>
  <c r="L67" i="3" s="1"/>
  <c r="L56" i="3"/>
  <c r="L55" i="3"/>
  <c r="L58" i="3"/>
  <c r="L35" i="3"/>
  <c r="K8" i="3"/>
  <c r="J68" i="3"/>
  <c r="L68" i="3" s="1"/>
  <c r="L89" i="3"/>
  <c r="L87" i="3"/>
  <c r="L79" i="3"/>
  <c r="L78" i="3"/>
  <c r="L77" i="3"/>
  <c r="L69" i="3"/>
  <c r="L49" i="3"/>
  <c r="L47" i="3"/>
  <c r="L38" i="3"/>
  <c r="L37" i="3"/>
  <c r="L28" i="3"/>
  <c r="L27" i="3"/>
  <c r="L16" i="3"/>
  <c r="K15" i="3"/>
  <c r="L5" i="3"/>
  <c r="C13" i="2"/>
  <c r="AF4" i="3"/>
  <c r="Y7" i="1"/>
  <c r="Z6" i="1"/>
  <c r="Y6" i="1"/>
  <c r="Z5" i="1"/>
  <c r="U5" i="1" s="1" a="1"/>
  <c r="U5" i="1" s="1"/>
  <c r="Z7" i="1"/>
  <c r="K43" i="2"/>
  <c r="L43" i="2" s="1"/>
  <c r="K49" i="2"/>
  <c r="L49" i="2" s="1"/>
  <c r="K46" i="2"/>
  <c r="L46" i="2" s="1"/>
  <c r="K47" i="2"/>
  <c r="L47" i="2" s="1"/>
  <c r="K48" i="2"/>
  <c r="L48" i="2" s="1"/>
  <c r="K44" i="2"/>
  <c r="L44" i="2" s="1"/>
  <c r="K45" i="2"/>
  <c r="L45" i="2" s="1"/>
  <c r="J4" i="4"/>
  <c r="J90" i="3" l="1"/>
  <c r="K79" i="3"/>
  <c r="K70" i="3"/>
  <c r="K60" i="3"/>
  <c r="K50" i="3"/>
  <c r="K40" i="3"/>
  <c r="K90" i="3" l="1"/>
  <c r="L90" i="3"/>
  <c r="W31" i="2"/>
  <c r="U41" i="1" l="1" a="1"/>
  <c r="U41" i="1" s="1"/>
  <c r="Z32" i="1" l="1"/>
  <c r="Z20" i="1"/>
  <c r="Z10" i="1"/>
  <c r="Z91" i="1"/>
  <c r="Z46" i="1"/>
  <c r="Z60" i="1"/>
  <c r="J30" i="3"/>
  <c r="K20" i="3" l="1"/>
  <c r="L20" i="3"/>
  <c r="K30" i="3"/>
  <c r="L30" i="3"/>
  <c r="K45" i="3"/>
  <c r="C8" i="2"/>
  <c r="K86" i="3"/>
  <c r="K85" i="3"/>
  <c r="K87" i="3"/>
  <c r="K88" i="3"/>
  <c r="K89" i="3"/>
  <c r="K80" i="3"/>
  <c r="K78" i="3"/>
  <c r="K77" i="3"/>
  <c r="K76" i="3"/>
  <c r="K75" i="3"/>
  <c r="K69" i="3"/>
  <c r="K68" i="3"/>
  <c r="K67" i="3"/>
  <c r="K66" i="3"/>
  <c r="K65" i="3"/>
  <c r="K59" i="3"/>
  <c r="K58" i="3"/>
  <c r="K56" i="3"/>
  <c r="K55" i="3"/>
  <c r="K57" i="3"/>
  <c r="K49" i="3"/>
  <c r="K48" i="3"/>
  <c r="K47" i="3"/>
  <c r="K46" i="3"/>
  <c r="K39" i="3"/>
  <c r="K38" i="3"/>
  <c r="K37" i="3"/>
  <c r="K36" i="3"/>
  <c r="K35" i="3"/>
  <c r="K29" i="3"/>
  <c r="K28" i="3"/>
  <c r="K27" i="3"/>
  <c r="K26" i="3"/>
  <c r="K25" i="3"/>
  <c r="K19" i="3"/>
  <c r="K18" i="3"/>
  <c r="K17" i="3"/>
  <c r="K16" i="3"/>
  <c r="K9" i="3"/>
  <c r="K7" i="3"/>
  <c r="K6" i="3"/>
  <c r="D3" i="1"/>
  <c r="F3" i="1" s="1"/>
  <c r="J8" i="4"/>
  <c r="I46" i="3" s="1"/>
  <c r="I4" i="4"/>
  <c r="C3" i="1" s="1"/>
  <c r="E3" i="1" s="1"/>
  <c r="Q12" i="4"/>
  <c r="H11" i="1" s="1"/>
  <c r="J11" i="1" s="1"/>
  <c r="P12" i="4"/>
  <c r="G11" i="1" s="1"/>
  <c r="I11" i="1" s="1"/>
  <c r="J12" i="4"/>
  <c r="D11" i="1" s="1"/>
  <c r="F11" i="1" s="1"/>
  <c r="I12" i="4"/>
  <c r="C11" i="1" s="1"/>
  <c r="E11" i="1" s="1"/>
  <c r="Q11" i="4"/>
  <c r="H10" i="1" s="1"/>
  <c r="J10" i="1" s="1"/>
  <c r="P11" i="4"/>
  <c r="G10" i="1" s="1"/>
  <c r="I10" i="1" s="1"/>
  <c r="J11" i="4"/>
  <c r="I39" i="3" s="1"/>
  <c r="I11" i="4"/>
  <c r="C10" i="1" s="1"/>
  <c r="E10" i="1" s="1"/>
  <c r="Q10" i="4"/>
  <c r="H9" i="1" s="1"/>
  <c r="J9" i="1" s="1"/>
  <c r="P10" i="4"/>
  <c r="G9" i="1" s="1"/>
  <c r="I9" i="1" s="1"/>
  <c r="J10" i="4"/>
  <c r="I68" i="3" s="1"/>
  <c r="I10" i="4"/>
  <c r="C9" i="1" s="1"/>
  <c r="E9" i="1" s="1"/>
  <c r="Q9" i="4"/>
  <c r="H8" i="1" s="1"/>
  <c r="J8" i="1" s="1"/>
  <c r="P9" i="4"/>
  <c r="G8" i="1" s="1"/>
  <c r="I8" i="1" s="1"/>
  <c r="J9" i="4"/>
  <c r="I17" i="3" s="1"/>
  <c r="I9" i="4"/>
  <c r="C8" i="1" s="1"/>
  <c r="E8" i="1" s="1"/>
  <c r="Q8" i="4"/>
  <c r="H7" i="1" s="1"/>
  <c r="J7" i="1" s="1"/>
  <c r="P8" i="4"/>
  <c r="G7" i="1" s="1"/>
  <c r="I7" i="1" s="1"/>
  <c r="I8" i="4"/>
  <c r="C7" i="1" s="1"/>
  <c r="E7" i="1" s="1"/>
  <c r="Q7" i="4"/>
  <c r="H6" i="1" s="1"/>
  <c r="J6" i="1" s="1"/>
  <c r="P7" i="4"/>
  <c r="G6" i="1" s="1"/>
  <c r="I6" i="1" s="1"/>
  <c r="J7" i="4"/>
  <c r="I7" i="4"/>
  <c r="C6" i="1" s="1"/>
  <c r="E6" i="1" s="1"/>
  <c r="G5" i="3" s="1"/>
  <c r="H5" i="3" s="1"/>
  <c r="Q6" i="4"/>
  <c r="H5" i="1" s="1"/>
  <c r="J5" i="1" s="1"/>
  <c r="P6" i="4"/>
  <c r="G5" i="1" s="1"/>
  <c r="I5" i="1" s="1"/>
  <c r="J6" i="4"/>
  <c r="D5" i="1" s="1"/>
  <c r="F5" i="1" s="1"/>
  <c r="I6" i="4"/>
  <c r="C5" i="1" s="1"/>
  <c r="E5" i="1" s="1"/>
  <c r="Q5" i="4"/>
  <c r="H4" i="1" s="1"/>
  <c r="J4" i="1" s="1"/>
  <c r="P5" i="4"/>
  <c r="G4" i="1" s="1"/>
  <c r="I4" i="1" s="1"/>
  <c r="J5" i="4"/>
  <c r="D4" i="1" s="1"/>
  <c r="F4" i="1" s="1"/>
  <c r="I5" i="4"/>
  <c r="C4" i="1" s="1"/>
  <c r="E4" i="1" s="1"/>
  <c r="Q4" i="4"/>
  <c r="H3" i="1" s="1"/>
  <c r="J3" i="1" s="1"/>
  <c r="P4" i="4"/>
  <c r="V64" i="1"/>
  <c r="AC2" i="3" l="1"/>
  <c r="AD2" i="3" s="1"/>
  <c r="G8" i="3"/>
  <c r="I36" i="3"/>
  <c r="I85" i="3"/>
  <c r="I65" i="3"/>
  <c r="C38" i="1"/>
  <c r="C43" i="1" s="1"/>
  <c r="G3" i="1"/>
  <c r="I3" i="1" s="1"/>
  <c r="I89" i="3"/>
  <c r="I9" i="3"/>
  <c r="I88" i="3"/>
  <c r="I8" i="3"/>
  <c r="I58" i="3"/>
  <c r="I37" i="3"/>
  <c r="I7" i="3"/>
  <c r="I86" i="3"/>
  <c r="I6" i="3"/>
  <c r="I57" i="3"/>
  <c r="I87" i="3"/>
  <c r="I16" i="3"/>
  <c r="I67" i="3"/>
  <c r="I59" i="3"/>
  <c r="I29" i="3"/>
  <c r="I66" i="3"/>
  <c r="D10" i="1"/>
  <c r="F10" i="1" s="1"/>
  <c r="I38" i="3"/>
  <c r="I80" i="3"/>
  <c r="I28" i="3"/>
  <c r="I15" i="3"/>
  <c r="I49" i="3"/>
  <c r="I56" i="3"/>
  <c r="I78" i="3"/>
  <c r="D8" i="1"/>
  <c r="F8" i="1" s="1"/>
  <c r="I19" i="3"/>
  <c r="I26" i="3"/>
  <c r="I48" i="3"/>
  <c r="I77" i="3"/>
  <c r="I25" i="3"/>
  <c r="I75" i="3"/>
  <c r="I45" i="3"/>
  <c r="D9" i="1"/>
  <c r="F9" i="1" s="1"/>
  <c r="I27" i="3"/>
  <c r="D7" i="1"/>
  <c r="F7" i="1" s="1"/>
  <c r="I18" i="3"/>
  <c r="I35" i="3"/>
  <c r="I47" i="3"/>
  <c r="I69" i="3"/>
  <c r="I76" i="3"/>
  <c r="I55" i="3"/>
  <c r="I60" i="3"/>
  <c r="I79" i="3"/>
  <c r="I30" i="3"/>
  <c r="I50" i="3"/>
  <c r="I70" i="3"/>
  <c r="I90" i="3"/>
  <c r="I40" i="3"/>
  <c r="I20" i="3"/>
  <c r="D6" i="1"/>
  <c r="F6" i="1" s="1"/>
  <c r="I5" i="3"/>
  <c r="G20" i="3"/>
  <c r="H20" i="3" s="1"/>
  <c r="Z75" i="1"/>
  <c r="G9" i="3"/>
  <c r="G7" i="3"/>
  <c r="G6" i="3"/>
  <c r="V61" i="1"/>
  <c r="V60" i="1"/>
  <c r="V63" i="1"/>
  <c r="V62" i="1"/>
  <c r="AC3" i="3" l="1"/>
  <c r="AL4" i="3"/>
  <c r="AJ4" i="3"/>
  <c r="AH4" i="3"/>
  <c r="AM4" i="3"/>
  <c r="AN4" i="3"/>
  <c r="AI4" i="3"/>
  <c r="AK4" i="3"/>
  <c r="AD3" i="3"/>
  <c r="AD28" i="3" s="1"/>
  <c r="AD27" i="3"/>
  <c r="G30" i="3"/>
  <c r="G15" i="3"/>
  <c r="H15" i="3" s="1"/>
  <c r="G17" i="3"/>
  <c r="H7" i="3"/>
  <c r="G16" i="3"/>
  <c r="H6" i="3"/>
  <c r="G18" i="3"/>
  <c r="H8" i="3"/>
  <c r="G19" i="3"/>
  <c r="H9" i="3"/>
  <c r="Q5" i="3" l="1" a="1"/>
  <c r="AF6" i="3" s="1"/>
  <c r="AG4" i="3"/>
  <c r="AD26" i="3"/>
  <c r="H30" i="3"/>
  <c r="G40" i="3"/>
  <c r="G50" i="3" s="1"/>
  <c r="G25" i="3"/>
  <c r="G26" i="3"/>
  <c r="G36" i="3" s="1"/>
  <c r="G46" i="3" s="1"/>
  <c r="G56" i="3" s="1"/>
  <c r="G66" i="3" s="1"/>
  <c r="G76" i="3" s="1"/>
  <c r="G86" i="3" s="1"/>
  <c r="H16" i="3"/>
  <c r="G28" i="3"/>
  <c r="G38" i="3" s="1"/>
  <c r="G48" i="3" s="1"/>
  <c r="G58" i="3" s="1"/>
  <c r="H18" i="3"/>
  <c r="G29" i="3"/>
  <c r="G39" i="3" s="1"/>
  <c r="G49" i="3" s="1"/>
  <c r="G59" i="3" s="1"/>
  <c r="G69" i="3" s="1"/>
  <c r="G79" i="3" s="1"/>
  <c r="G89" i="3" s="1"/>
  <c r="H19" i="3"/>
  <c r="G27" i="3"/>
  <c r="G37" i="3" s="1"/>
  <c r="G47" i="3" s="1"/>
  <c r="H17" i="3"/>
  <c r="AF5" i="3" l="1"/>
  <c r="Q5" i="3"/>
  <c r="M5" i="3" s="1"/>
  <c r="Q15" i="3" a="1"/>
  <c r="H40" i="3"/>
  <c r="H25" i="3"/>
  <c r="G35" i="3"/>
  <c r="G45" i="3" s="1"/>
  <c r="G55" i="3" s="1"/>
  <c r="G60" i="3"/>
  <c r="R10" i="3"/>
  <c r="H50" i="3"/>
  <c r="H29" i="3"/>
  <c r="H28" i="3"/>
  <c r="H27" i="3"/>
  <c r="H26" i="3"/>
  <c r="AF8" i="3" l="1"/>
  <c r="M9" i="3"/>
  <c r="N9" i="3" s="1"/>
  <c r="AF7" i="3"/>
  <c r="Q25" i="3" a="1"/>
  <c r="Q25" i="3" s="1"/>
  <c r="Q15" i="3"/>
  <c r="M20" i="3" s="1"/>
  <c r="N20" i="3" s="1"/>
  <c r="AG6" i="3"/>
  <c r="AG5" i="3"/>
  <c r="G65" i="3"/>
  <c r="G75" i="3" s="1"/>
  <c r="G85" i="3" s="1"/>
  <c r="H55" i="3"/>
  <c r="H35" i="3"/>
  <c r="R20" i="3"/>
  <c r="M6" i="3"/>
  <c r="N6" i="3" s="1"/>
  <c r="H60" i="3"/>
  <c r="G70" i="3"/>
  <c r="G80" i="3" s="1"/>
  <c r="G90" i="3" s="1"/>
  <c r="M7" i="3"/>
  <c r="N7" i="3" s="1"/>
  <c r="N5" i="3"/>
  <c r="M8" i="3"/>
  <c r="N8" i="3" s="1"/>
  <c r="H45" i="3"/>
  <c r="H39" i="3"/>
  <c r="H38" i="3"/>
  <c r="H36" i="3"/>
  <c r="H37" i="3"/>
  <c r="M15" i="3" l="1"/>
  <c r="N15" i="3" s="1"/>
  <c r="M16" i="3"/>
  <c r="N16" i="3" s="1"/>
  <c r="AH5" i="3"/>
  <c r="AH8" i="3" s="1"/>
  <c r="AH6" i="3"/>
  <c r="AG8" i="3"/>
  <c r="Q35" i="3" a="1"/>
  <c r="M29" i="3"/>
  <c r="N29" i="3" s="1"/>
  <c r="R30" i="3"/>
  <c r="AG7" i="3"/>
  <c r="M28" i="3"/>
  <c r="N28" i="3" s="1"/>
  <c r="H70" i="3"/>
  <c r="M19" i="3"/>
  <c r="N19" i="3" s="1"/>
  <c r="M18" i="3"/>
  <c r="N18" i="3" s="1"/>
  <c r="M17" i="3"/>
  <c r="N17" i="3" s="1"/>
  <c r="H46" i="3"/>
  <c r="H49" i="3"/>
  <c r="G57" i="3"/>
  <c r="G67" i="3" s="1"/>
  <c r="H47" i="3"/>
  <c r="H48" i="3"/>
  <c r="V27" i="1"/>
  <c r="U15" i="1" a="1"/>
  <c r="U15" i="1" s="1"/>
  <c r="Q45" i="3" l="1" a="1"/>
  <c r="Q45" i="3" s="1"/>
  <c r="Q35" i="3"/>
  <c r="M40" i="3" s="1"/>
  <c r="N40" i="3" s="1"/>
  <c r="AI6" i="3"/>
  <c r="AI5" i="3"/>
  <c r="R40" i="3"/>
  <c r="AH7" i="3"/>
  <c r="M30" i="3"/>
  <c r="N30" i="3" s="1"/>
  <c r="H90" i="3"/>
  <c r="H79" i="3"/>
  <c r="M27" i="3"/>
  <c r="N27" i="3" s="1"/>
  <c r="M25" i="3"/>
  <c r="N25" i="3" s="1"/>
  <c r="M26" i="3"/>
  <c r="N26" i="3" s="1"/>
  <c r="G68" i="3"/>
  <c r="G78" i="3" s="1"/>
  <c r="G88" i="3" s="1"/>
  <c r="H58" i="3"/>
  <c r="H59" i="3"/>
  <c r="H65" i="3"/>
  <c r="H57" i="3"/>
  <c r="H56" i="3"/>
  <c r="Q55" i="3" l="1" a="1"/>
  <c r="Q55" i="3" s="1"/>
  <c r="R50" i="3"/>
  <c r="AJ6" i="3"/>
  <c r="AJ5" i="3"/>
  <c r="AI8" i="3"/>
  <c r="M35" i="3"/>
  <c r="N35" i="3" s="1"/>
  <c r="AI7" i="3"/>
  <c r="M50" i="3"/>
  <c r="N50" i="3" s="1"/>
  <c r="M37" i="3"/>
  <c r="N37" i="3" s="1"/>
  <c r="M36" i="3"/>
  <c r="N36" i="3" s="1"/>
  <c r="M38" i="3"/>
  <c r="N38" i="3" s="1"/>
  <c r="M39" i="3"/>
  <c r="N39" i="3" s="1"/>
  <c r="H68" i="3"/>
  <c r="G77" i="3"/>
  <c r="G87" i="3" s="1"/>
  <c r="H67" i="3"/>
  <c r="H66" i="3"/>
  <c r="H75" i="3"/>
  <c r="H69" i="3"/>
  <c r="AJ8" i="3" l="1"/>
  <c r="AK5" i="3"/>
  <c r="AK8" i="3" s="1"/>
  <c r="AK6" i="3"/>
  <c r="Q65" i="3" a="1"/>
  <c r="Q65" i="3" s="1"/>
  <c r="AJ7" i="3"/>
  <c r="M58" i="3"/>
  <c r="N58" i="3" s="1"/>
  <c r="R60" i="3"/>
  <c r="M45" i="3"/>
  <c r="N45" i="3" s="1"/>
  <c r="M48" i="3"/>
  <c r="N48" i="3" s="1"/>
  <c r="M49" i="3"/>
  <c r="N49" i="3" s="1"/>
  <c r="M47" i="3"/>
  <c r="N47" i="3" s="1"/>
  <c r="M46" i="3"/>
  <c r="N46" i="3" s="1"/>
  <c r="H80" i="3"/>
  <c r="H77" i="3"/>
  <c r="H85" i="3"/>
  <c r="H76" i="3"/>
  <c r="H78" i="3"/>
  <c r="Q75" i="3" l="1" a="1"/>
  <c r="Q75" i="3" s="1"/>
  <c r="R70" i="3"/>
  <c r="AL5" i="3"/>
  <c r="AL8" i="3" s="1"/>
  <c r="AL6" i="3"/>
  <c r="M59" i="3"/>
  <c r="N59" i="3" s="1"/>
  <c r="M57" i="3"/>
  <c r="N57" i="3" s="1"/>
  <c r="M55" i="3"/>
  <c r="N55" i="3" s="1"/>
  <c r="M60" i="3"/>
  <c r="N60" i="3" s="1"/>
  <c r="M56" i="3"/>
  <c r="N56" i="3" s="1"/>
  <c r="AK7" i="3"/>
  <c r="M70" i="3"/>
  <c r="N70" i="3" s="1"/>
  <c r="H88" i="3"/>
  <c r="H86" i="3"/>
  <c r="H87" i="3"/>
  <c r="H89" i="3"/>
  <c r="V19" i="1"/>
  <c r="AM5" i="3" l="1"/>
  <c r="AM8" i="3" s="1"/>
  <c r="R80" i="3"/>
  <c r="AM6" i="3"/>
  <c r="Q85" i="3" a="1"/>
  <c r="AN6" i="3" s="1"/>
  <c r="AL7" i="3"/>
  <c r="M69" i="3"/>
  <c r="N69" i="3" s="1"/>
  <c r="M79" i="3"/>
  <c r="N79" i="3" s="1"/>
  <c r="M67" i="3"/>
  <c r="N67" i="3" s="1"/>
  <c r="M65" i="3"/>
  <c r="N65" i="3" s="1"/>
  <c r="M66" i="3"/>
  <c r="N66" i="3" s="1"/>
  <c r="M68" i="3"/>
  <c r="N68" i="3" s="1"/>
  <c r="V41" i="1"/>
  <c r="V59" i="1"/>
  <c r="V58" i="1"/>
  <c r="V56" i="1"/>
  <c r="V57" i="1"/>
  <c r="V18" i="1"/>
  <c r="V30" i="1"/>
  <c r="V32" i="1"/>
  <c r="V28" i="1"/>
  <c r="V21" i="1"/>
  <c r="V17" i="1"/>
  <c r="V15" i="1"/>
  <c r="V20" i="1"/>
  <c r="V16" i="1"/>
  <c r="V31" i="1"/>
  <c r="V29" i="1"/>
  <c r="V33" i="1"/>
  <c r="V5" i="1"/>
  <c r="V7" i="1"/>
  <c r="V8" i="1"/>
  <c r="V6" i="1"/>
  <c r="R90" i="3" l="1"/>
  <c r="AN5" i="3"/>
  <c r="Q85" i="3"/>
  <c r="M90" i="3" s="1"/>
  <c r="N90" i="3" s="1"/>
  <c r="M77" i="3"/>
  <c r="N77" i="3" s="1"/>
  <c r="AM7" i="3"/>
  <c r="M78" i="3"/>
  <c r="N78" i="3" s="1"/>
  <c r="M76" i="3"/>
  <c r="N76" i="3" s="1"/>
  <c r="M80" i="3"/>
  <c r="N80" i="3" s="1"/>
  <c r="M75" i="3"/>
  <c r="N75" i="3" s="1"/>
  <c r="V49" i="1"/>
  <c r="V45" i="1"/>
  <c r="V47" i="1"/>
  <c r="V46" i="1"/>
  <c r="V42" i="1"/>
  <c r="V48" i="1"/>
  <c r="V43" i="1"/>
  <c r="V44" i="1"/>
  <c r="AO5" i="3" l="1"/>
  <c r="AH2" i="3" s="1"/>
  <c r="AN8" i="3"/>
  <c r="M87" i="3"/>
  <c r="N87" i="3" s="1"/>
  <c r="AI2" i="3"/>
  <c r="AH29" i="3"/>
  <c r="AN7" i="3"/>
  <c r="M85" i="3"/>
  <c r="N85" i="3" s="1"/>
  <c r="M88" i="3"/>
  <c r="N88" i="3" s="1"/>
  <c r="M89" i="3"/>
  <c r="N89" i="3" s="1"/>
  <c r="M86" i="3"/>
  <c r="N86" i="3" s="1"/>
  <c r="K8" i="2"/>
  <c r="L8" i="2" s="1"/>
  <c r="K11" i="2"/>
  <c r="L11" i="2" s="1"/>
  <c r="K14" i="2"/>
  <c r="L14" i="2" s="1"/>
  <c r="K18" i="2"/>
  <c r="L18" i="2" s="1"/>
  <c r="K22" i="2"/>
  <c r="L22" i="2" s="1"/>
  <c r="K26" i="2"/>
  <c r="L26" i="2" s="1"/>
  <c r="K30" i="2"/>
  <c r="L30" i="2" s="1"/>
  <c r="K34" i="2"/>
  <c r="L34" i="2" s="1"/>
  <c r="K38" i="2"/>
  <c r="L38" i="2" s="1"/>
  <c r="K13" i="2"/>
  <c r="L13" i="2" s="1"/>
  <c r="K24" i="2"/>
  <c r="L24" i="2" s="1"/>
  <c r="K32" i="2"/>
  <c r="L32" i="2" s="1"/>
  <c r="K40" i="2"/>
  <c r="L40" i="2" s="1"/>
  <c r="K10" i="2"/>
  <c r="L10" i="2" s="1"/>
  <c r="K17" i="2"/>
  <c r="L17" i="2" s="1"/>
  <c r="K25" i="2"/>
  <c r="L25" i="2" s="1"/>
  <c r="K33" i="2"/>
  <c r="L33" i="2" s="1"/>
  <c r="K41" i="2"/>
  <c r="L41" i="2" s="1"/>
  <c r="K12" i="2"/>
  <c r="L12" i="2" s="1"/>
  <c r="K15" i="2"/>
  <c r="L15" i="2" s="1"/>
  <c r="K19" i="2"/>
  <c r="L19" i="2" s="1"/>
  <c r="K23" i="2"/>
  <c r="L23" i="2" s="1"/>
  <c r="K27" i="2"/>
  <c r="L27" i="2" s="1"/>
  <c r="K31" i="2"/>
  <c r="L31" i="2" s="1"/>
  <c r="K35" i="2"/>
  <c r="L35" i="2" s="1"/>
  <c r="K39" i="2"/>
  <c r="L39" i="2" s="1"/>
  <c r="K9" i="2"/>
  <c r="L9" i="2" s="1"/>
  <c r="K16" i="2"/>
  <c r="L16" i="2" s="1"/>
  <c r="K20" i="2"/>
  <c r="L20" i="2" s="1"/>
  <c r="K28" i="2"/>
  <c r="L28" i="2" s="1"/>
  <c r="K36" i="2"/>
  <c r="L36" i="2" s="1"/>
  <c r="K42" i="2"/>
  <c r="L42" i="2" s="1"/>
  <c r="K21" i="2"/>
  <c r="L21" i="2" s="1"/>
  <c r="K29" i="2"/>
  <c r="L29" i="2" s="1"/>
  <c r="K37" i="2"/>
  <c r="L37" i="2" s="1"/>
  <c r="AN2" i="3" l="1"/>
  <c r="AK2" i="3"/>
  <c r="AG2" i="3"/>
  <c r="AM2" i="3"/>
  <c r="AL2" i="3"/>
  <c r="AF2" i="3"/>
  <c r="AJ2" i="3"/>
  <c r="D29" i="1"/>
  <c r="G29" i="1" s="1"/>
  <c r="D30" i="1"/>
  <c r="G30" i="1" s="1"/>
  <c r="AD30" i="3"/>
  <c r="D37" i="1"/>
  <c r="G37" i="1" s="1"/>
  <c r="D34" i="1"/>
  <c r="D33" i="1"/>
  <c r="G33" i="1" s="1"/>
  <c r="D36" i="1"/>
  <c r="H35" i="1"/>
  <c r="K35" i="1" s="1"/>
  <c r="D31" i="1"/>
  <c r="G31" i="1" s="1"/>
  <c r="H29" i="1"/>
  <c r="K29" i="1" s="1"/>
  <c r="D35" i="1"/>
  <c r="G35" i="1" s="1"/>
  <c r="H36" i="1"/>
  <c r="K36" i="1" s="1"/>
  <c r="I29" i="1"/>
  <c r="H33" i="1"/>
  <c r="K33" i="1" s="1"/>
  <c r="H32" i="1"/>
  <c r="K32" i="1" s="1"/>
  <c r="H37" i="1"/>
  <c r="K37" i="1" s="1"/>
  <c r="I31" i="1"/>
  <c r="J31" i="1" s="1"/>
  <c r="D32" i="1"/>
  <c r="I30" i="1"/>
  <c r="H34" i="1"/>
  <c r="K34" i="1" s="1"/>
  <c r="H31" i="1"/>
  <c r="K31" i="1" s="1"/>
  <c r="H30" i="1"/>
  <c r="K30" i="1" s="1"/>
  <c r="I32" i="1"/>
  <c r="J32" i="1" s="1"/>
  <c r="I37" i="1"/>
  <c r="J37" i="1" s="1"/>
  <c r="I33" i="1"/>
  <c r="I34" i="1"/>
  <c r="I35" i="1"/>
  <c r="I36" i="1"/>
  <c r="J34" i="1"/>
  <c r="AD33" i="3"/>
  <c r="G34" i="1"/>
  <c r="G36" i="1"/>
  <c r="AH30" i="3"/>
  <c r="AD32" i="3" s="1"/>
  <c r="E37" i="1"/>
  <c r="E30" i="1"/>
  <c r="E36" i="1"/>
  <c r="E33" i="1"/>
  <c r="E35" i="1"/>
  <c r="E34" i="1"/>
  <c r="E29" i="1"/>
  <c r="E32" i="1"/>
  <c r="E31" i="1"/>
  <c r="AD31" i="3"/>
  <c r="AL1" i="3"/>
  <c r="AG1" i="3"/>
  <c r="AI1" i="3"/>
  <c r="AH1" i="3"/>
  <c r="AF1" i="3"/>
  <c r="AM1" i="3"/>
  <c r="AJ1" i="3"/>
  <c r="AK1" i="3"/>
  <c r="AN1" i="3"/>
  <c r="J35" i="1" l="1"/>
  <c r="J30" i="1"/>
  <c r="C48" i="1"/>
  <c r="J33" i="1"/>
  <c r="C47" i="1"/>
  <c r="C51" i="1" s="1"/>
  <c r="J36" i="1"/>
  <c r="F29" i="1"/>
  <c r="J29" i="1"/>
  <c r="K38" i="1"/>
  <c r="F31" i="1"/>
  <c r="F30" i="1"/>
  <c r="F33" i="1"/>
  <c r="G32" i="1"/>
  <c r="G38" i="1" s="1"/>
  <c r="F36" i="1"/>
  <c r="F32" i="1"/>
  <c r="F34" i="1"/>
  <c r="F35" i="1"/>
  <c r="F37" i="1"/>
  <c r="C4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<sst xmlns="http://schemas.openxmlformats.org/spreadsheetml/2006/main" count="346" uniqueCount="94">
  <si>
    <t>Tubo</t>
  </si>
  <si>
    <t>l1 (mm)</t>
  </si>
  <si>
    <t>l2 (mm)</t>
  </si>
  <si>
    <t>l3 (mm)</t>
  </si>
  <si>
    <t>l4 (mm)</t>
  </si>
  <si>
    <t>l5 (mm)</t>
  </si>
  <si>
    <t>l (mm)</t>
  </si>
  <si>
    <t>u(l) (mm)</t>
  </si>
  <si>
    <t>D1 (mm)</t>
  </si>
  <si>
    <t>D2 (mm)</t>
  </si>
  <si>
    <t>D3 (mm)</t>
  </si>
  <si>
    <t>D4 (mm)</t>
  </si>
  <si>
    <t>D5 (mm)</t>
  </si>
  <si>
    <t>D (mm)</t>
  </si>
  <si>
    <t>u(D) (mm)</t>
  </si>
  <si>
    <r>
      <t>l</t>
    </r>
    <r>
      <rPr>
        <vertAlign val="subscript"/>
        <sz val="12"/>
        <color theme="1"/>
        <rFont val="Calibri (corpo)"/>
      </rPr>
      <t>craveira</t>
    </r>
    <r>
      <rPr>
        <sz val="12"/>
        <color theme="1"/>
        <rFont val="Calibri"/>
        <family val="2"/>
        <scheme val="minor"/>
      </rPr>
      <t xml:space="preserve"> (±0,05) mm</t>
    </r>
  </si>
  <si>
    <r>
      <t>l</t>
    </r>
    <r>
      <rPr>
        <vertAlign val="subscript"/>
        <sz val="12"/>
        <color theme="1"/>
        <rFont val="Calibri (corpo)"/>
      </rPr>
      <t xml:space="preserve">régua </t>
    </r>
    <r>
      <rPr>
        <sz val="12"/>
        <color theme="1"/>
        <rFont val="Calibri (corpo)"/>
      </rPr>
      <t>(±1)mm</t>
    </r>
  </si>
  <si>
    <t>l (m)</t>
  </si>
  <si>
    <t>u(l) (m)</t>
  </si>
  <si>
    <t xml:space="preserve">D (m) </t>
  </si>
  <si>
    <t>u(D) (m)</t>
  </si>
  <si>
    <t>n</t>
  </si>
  <si>
    <t>f(Hz)</t>
  </si>
  <si>
    <t>ajus.(Hz)</t>
  </si>
  <si>
    <t>res. (Hz)</t>
  </si>
  <si>
    <t>m</t>
  </si>
  <si>
    <t>b</t>
  </si>
  <si>
    <t>s(m)</t>
  </si>
  <si>
    <t>s(b)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</si>
  <si>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</si>
  <si>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s(y)</t>
  </si>
  <si>
    <t>u(y)</t>
  </si>
  <si>
    <t>nº tubo</t>
  </si>
  <si>
    <t>T(ºC)</t>
  </si>
  <si>
    <t>p(mmg)</t>
  </si>
  <si>
    <t>u(p)</t>
  </si>
  <si>
    <t>v ref</t>
  </si>
  <si>
    <t>u(v)</t>
  </si>
  <si>
    <t>u(v)%</t>
  </si>
  <si>
    <t>Er(%)</t>
  </si>
  <si>
    <t>média</t>
  </si>
  <si>
    <r>
      <t>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</si>
  <si>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</si>
  <si>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"/>
        <family val="2"/>
        <scheme val="minor"/>
      </rPr>
      <t>)(%)</t>
    </r>
  </si>
  <si>
    <r>
      <t>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 xml:space="preserve">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</si>
  <si>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</si>
  <si>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"/>
        <family val="2"/>
        <scheme val="minor"/>
      </rPr>
      <t>)(%)</t>
    </r>
  </si>
  <si>
    <t>D médio</t>
  </si>
  <si>
    <t>n=1</t>
  </si>
  <si>
    <t>∆y Ref</t>
  </si>
  <si>
    <t>l(cm)</t>
  </si>
  <si>
    <t>1/f (s)</t>
  </si>
  <si>
    <r>
      <t>1/f (x10</t>
    </r>
    <r>
      <rPr>
        <b/>
        <vertAlign val="superscript"/>
        <sz val="11"/>
        <color theme="1"/>
        <rFont val="Calibri (corpo)"/>
      </rPr>
      <t>-4</t>
    </r>
    <r>
      <rPr>
        <b/>
        <sz val="11"/>
        <color theme="1"/>
        <rFont val="Calibri"/>
        <family val="2"/>
        <scheme val="minor"/>
      </rPr>
      <t xml:space="preserve"> Hz</t>
    </r>
    <r>
      <rPr>
        <b/>
        <vertAlign val="superscript"/>
        <sz val="11"/>
        <color theme="1"/>
        <rFont val="Calibri (corpo)"/>
      </rPr>
      <t>-1</t>
    </r>
    <r>
      <rPr>
        <b/>
        <sz val="11"/>
        <color theme="1"/>
        <rFont val="Calibri"/>
        <family val="2"/>
        <scheme val="minor"/>
      </rPr>
      <t>)</t>
    </r>
  </si>
  <si>
    <t>u(1/f) (s)</t>
  </si>
  <si>
    <t>l aj. (cm)</t>
  </si>
  <si>
    <t>Resíduos (cm)</t>
  </si>
  <si>
    <t>∆y exp</t>
  </si>
  <si>
    <t>u(∆y)</t>
  </si>
  <si>
    <t>u(∆y) (%)</t>
  </si>
  <si>
    <t>n=2</t>
  </si>
  <si>
    <t>l aj. (m)</t>
  </si>
  <si>
    <t>Resíduos (m)</t>
  </si>
  <si>
    <t>n=3</t>
  </si>
  <si>
    <r>
      <t>∆y</t>
    </r>
    <r>
      <rPr>
        <vertAlign val="subscript"/>
        <sz val="12"/>
        <color theme="1"/>
        <rFont val="Calibri (corpo)"/>
      </rPr>
      <t xml:space="preserve">ref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</si>
  <si>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</si>
  <si>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ref</t>
    </r>
    <r>
      <rPr>
        <sz val="12"/>
        <color theme="1"/>
        <rFont val="Calibri (corpo)"/>
      </rPr>
      <t>) (%)</t>
    </r>
  </si>
  <si>
    <r>
      <t>∆y</t>
    </r>
    <r>
      <rPr>
        <vertAlign val="subscript"/>
        <sz val="12"/>
        <color theme="1"/>
        <rFont val="Calibri (corpo)"/>
      </rPr>
      <t xml:space="preserve">exp </t>
    </r>
    <r>
      <rPr>
        <sz val="12"/>
        <color theme="1"/>
        <rFont val="Calibri (corpo)"/>
      </rPr>
      <t>(m)</t>
    </r>
  </si>
  <si>
    <r>
      <t>u(∆y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 (corpo)"/>
      </rPr>
      <t>) (m)</t>
    </r>
  </si>
  <si>
    <r>
      <t>u(∆y</t>
    </r>
    <r>
      <rPr>
        <vertAlign val="subscript"/>
        <sz val="12"/>
        <color theme="1"/>
        <rFont val="Calibri (corpo)"/>
      </rPr>
      <t>exp</t>
    </r>
    <r>
      <rPr>
        <sz val="12"/>
        <color theme="1"/>
        <rFont val="Calibri (corpo)"/>
      </rPr>
      <t>) (%)</t>
    </r>
  </si>
  <si>
    <t>n=4</t>
  </si>
  <si>
    <t>n=5</t>
  </si>
  <si>
    <t>n=6</t>
  </si>
  <si>
    <t>n=7</t>
  </si>
  <si>
    <t>n=8</t>
  </si>
  <si>
    <t>n=9</t>
  </si>
  <si>
    <t>Δy (m)</t>
  </si>
  <si>
    <r>
      <t>T (</t>
    </r>
    <r>
      <rPr>
        <b/>
        <sz val="11"/>
        <color theme="1"/>
        <rFont val="Calibri"/>
        <family val="2"/>
      </rPr>
      <t>°C)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</si>
  <si>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H2O</t>
    </r>
    <r>
      <rPr>
        <b/>
        <sz val="11"/>
        <color theme="1"/>
        <rFont val="Calibri"/>
        <family val="2"/>
        <scheme val="minor"/>
      </rPr>
      <t xml:space="preserve"> (mmHg)</t>
    </r>
  </si>
  <si>
    <t>u(pH2O)(mmHg)</t>
  </si>
  <si>
    <t>aj lin (Hz)</t>
  </si>
  <si>
    <t>Res. (Hz)</t>
  </si>
  <si>
    <r>
      <t>v 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</si>
  <si>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r>
      <t>u(v)(ms</t>
    </r>
    <r>
      <rPr>
        <vertAlign val="superscript"/>
        <sz val="12"/>
        <color theme="1"/>
        <rFont val="Calibri (corpo)"/>
      </rPr>
      <t>-1</t>
    </r>
    <r>
      <rPr>
        <sz val="12"/>
        <color theme="1"/>
        <rFont val="Calibri"/>
        <family val="2"/>
        <scheme val="minor"/>
      </rPr>
      <t>)</t>
    </r>
  </si>
  <si>
    <t>u(v)(%)</t>
  </si>
  <si>
    <t>u(m)</t>
  </si>
  <si>
    <t>u(b)</t>
  </si>
  <si>
    <r>
      <t>r</t>
    </r>
    <r>
      <rPr>
        <vertAlign val="superscript"/>
        <sz val="11"/>
        <color rgb="FF000000"/>
        <rFont val="Calibri"/>
        <family val="2"/>
      </rPr>
      <t>2</t>
    </r>
  </si>
  <si>
    <t>R41</t>
  </si>
  <si>
    <t xml:space="preserve"> </t>
  </si>
  <si>
    <t>B Gráfico = Compensação em y do comprimento do tubo</t>
  </si>
  <si>
    <t>v (m)</t>
  </si>
  <si>
    <t>v (b)</t>
  </si>
  <si>
    <r>
      <t>4E-06x</t>
    </r>
    <r>
      <rPr>
        <vertAlign val="super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+ 0,0001x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+ 0,0123x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+ 0,3219x + 4,5882</t>
    </r>
  </si>
  <si>
    <t>Todos os Tubos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</si>
</sst>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00"/>
    <numFmt numFmtId="166" formatCode="0.0E+00"/>
    <numFmt numFmtId="167" formatCode="0E+00"/>
    <numFmt numFmtId="168" formatCode="0.00000"/>
    <numFmt numFmtId="169" formatCode="0.0000"/>
    <numFmt numFmtId="170" formatCode="0.000"/>
    <numFmt numFmtId="171" formatCode="0.000E+00"/>
    <numFmt numFmtId="172" formatCode="0.0000E+00"/>
    <numFmt numFmtId="173" formatCode="0.0000000"/>
    <numFmt numFmtId="174" formatCode="0.000000000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40"/>
      <color theme="1"/>
      <name val="Calibri (corpo)"/>
    </font>
    <font>
      <vertAlign val="subscript"/>
      <sz val="12"/>
      <color theme="1"/>
      <name val="Calibri (corpo)"/>
    </font>
    <font>
      <sz val="12"/>
      <color theme="1"/>
      <name val="Calibri (corpo)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 (corpo)"/>
    </font>
    <font>
      <sz val="10"/>
      <color theme="1"/>
      <name val="Calibri"/>
      <family val="2"/>
      <scheme val="minor"/>
    </font>
    <font>
      <vertAlign val="superscript"/>
      <sz val="12"/>
      <color theme="1"/>
      <name val="Calibri (corpo)"/>
    </font>
    <font>
      <vertAlign val="superscript"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E7E6E6"/>
      </patternFill>
    </fill>
    <fill>
      <patternFill patternType="solid">
        <fgColor theme="5" tint="0.59999389629810485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71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70" fontId="0" fillId="8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164" fontId="0" fillId="8" borderId="2" xfId="0" applyNumberFormat="1" applyFill="1" applyBorder="1" applyAlignment="1">
      <alignment horizontal="center" vertical="center"/>
    </xf>
    <xf numFmtId="164" fontId="0" fillId="8" borderId="1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174" fontId="0" fillId="0" borderId="0" xfId="0" applyNumberFormat="1" applyAlignment="1">
      <alignment horizontal="left" vertical="center" indent="1"/>
    </xf>
    <xf numFmtId="168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95D9"/>
      <color rgb="FF487BD9"/>
      <color rgb="FFA993D9"/>
      <color rgb="FFC25C5B"/>
      <color rgb="FF6DEA56"/>
      <color rgb="FF64D8C9"/>
      <color rgb="FF82EA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42590211980724"/>
          <c:y val="5.2992602657520226E-2"/>
          <c:w val="0.83664769726271959"/>
          <c:h val="0.79591582341209155"/>
        </c:manualLayout>
      </c:layout>
      <c:scatterChart>
        <c:scatterStyle val="lineMarker"/>
        <c:varyColors val="0"/>
        <c:ser>
          <c:idx val="0"/>
          <c:order val="0"/>
          <c:tx>
            <c:v>Tubo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'1ª Parte (v)'!$S$5:$S$8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(v)'!$T$5:$T$8</c:f>
              <c:numCache>
                <c:formatCode>General</c:formatCode>
                <c:ptCount val="4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3-8142-98DF-87D0373E9CC2}"/>
            </c:ext>
          </c:extLst>
        </c:ser>
        <c:ser>
          <c:idx val="1"/>
          <c:order val="1"/>
          <c:tx>
            <c:v>Aj lin (1)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(v)'!$S$5:$S$8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(v)'!$U$5:$U$8</c:f>
              <c:numCache>
                <c:formatCode>General</c:formatCode>
                <c:ptCount val="4"/>
                <c:pt idx="0" formatCode="0.00E+0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A3-8142-98DF-87D0373E9CC2}"/>
            </c:ext>
          </c:extLst>
        </c:ser>
        <c:ser>
          <c:idx val="2"/>
          <c:order val="2"/>
          <c:tx>
            <c:v>Tubo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(v)'!$S$15:$S$21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(v)'!$T$15:$T$21</c:f>
              <c:numCache>
                <c:formatCode>General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A3-8142-98DF-87D0373E9CC2}"/>
            </c:ext>
          </c:extLst>
        </c:ser>
        <c:ser>
          <c:idx val="3"/>
          <c:order val="3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(v)'!$S$15:$S$21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(v)'!$U$15:$U$21</c:f>
              <c:numCache>
                <c:formatCode>General</c:formatCode>
                <c:ptCount val="7"/>
                <c:pt idx="0">
                  <c:v>683.60714285714403</c:v>
                </c:pt>
                <c:pt idx="1">
                  <c:v>2092.5000000000009</c:v>
                </c:pt>
                <c:pt idx="2">
                  <c:v>3501.3928571428578</c:v>
                </c:pt>
                <c:pt idx="3">
                  <c:v>4910.2857142857147</c:v>
                </c:pt>
                <c:pt idx="4">
                  <c:v>6319.1785714285716</c:v>
                </c:pt>
                <c:pt idx="5">
                  <c:v>7728.0714285714284</c:v>
                </c:pt>
                <c:pt idx="6">
                  <c:v>9136.9642857142862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A3-8142-98DF-87D0373E9CC2}"/>
            </c:ext>
          </c:extLst>
        </c:ser>
        <c:ser>
          <c:idx val="4"/>
          <c:order val="4"/>
          <c:tx>
            <c:v>Tubo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(v)'!$S$27:$S$33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(v)'!$T$27:$T$33</c:f>
              <c:numCache>
                <c:formatCode>General</c:formatCode>
                <c:ptCount val="7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2A3-8142-98DF-87D0373E9CC2}"/>
            </c:ext>
          </c:extLst>
        </c:ser>
        <c:ser>
          <c:idx val="5"/>
          <c:order val="5"/>
          <c:tx>
            <c:v>Aj lin (3)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(v)'!$S$27:$S$33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(v)'!$U$27:$U$33</c:f>
              <c:numCache>
                <c:formatCode>General</c:formatCode>
                <c:ptCount val="7"/>
                <c:pt idx="0" formatCode="0.00E+00">
                  <c:v>641.21428571428646</c:v>
                </c:pt>
                <c:pt idx="1">
                  <c:v>1934.428571428572</c:v>
                </c:pt>
                <c:pt idx="2">
                  <c:v>3227.6428571428578</c:v>
                </c:pt>
                <c:pt idx="3">
                  <c:v>4520.8571428571431</c:v>
                </c:pt>
                <c:pt idx="4">
                  <c:v>5814.0714285714284</c:v>
                </c:pt>
                <c:pt idx="5">
                  <c:v>7107.2857142857147</c:v>
                </c:pt>
                <c:pt idx="6">
                  <c:v>8400.5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2A3-8142-98DF-87D0373E9CC2}"/>
            </c:ext>
          </c:extLst>
        </c:ser>
        <c:ser>
          <c:idx val="6"/>
          <c:order val="6"/>
          <c:tx>
            <c:v>Tubo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(v)'!$S$41:$S$49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(v)'!$T$41:$T$49</c:f>
              <c:numCache>
                <c:formatCode>General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2A3-8142-98DF-87D0373E9CC2}"/>
            </c:ext>
          </c:extLst>
        </c:ser>
        <c:ser>
          <c:idx val="7"/>
          <c:order val="7"/>
          <c:tx>
            <c:v>Aj lin (4)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(v)'!$S$41:$S$49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(v)'!$U$41:$U$49</c:f>
              <c:numCache>
                <c:formatCode>General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2A3-8142-98DF-87D0373E9CC2}"/>
            </c:ext>
          </c:extLst>
        </c:ser>
        <c:ser>
          <c:idx val="8"/>
          <c:order val="8"/>
          <c:tx>
            <c:v>Tubo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(v)'!$S$55:$S$64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(v)'!$T$55:$T$64</c:f>
              <c:numCache>
                <c:formatCode>General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2A3-8142-98DF-87D0373E9CC2}"/>
            </c:ext>
          </c:extLst>
        </c:ser>
        <c:ser>
          <c:idx val="9"/>
          <c:order val="9"/>
          <c:tx>
            <c:v>Aj lin (5)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(v)'!$S$55:$S$64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(v)'!$U$55:$U$64</c:f>
              <c:numCache>
                <c:formatCode>General</c:formatCode>
                <c:ptCount val="10"/>
                <c:pt idx="0">
                  <c:v>510.945454545453</c:v>
                </c:pt>
                <c:pt idx="1">
                  <c:v>1652.8242424242412</c:v>
                </c:pt>
                <c:pt idx="2">
                  <c:v>2794.7030303030297</c:v>
                </c:pt>
                <c:pt idx="3">
                  <c:v>3936.5818181818177</c:v>
                </c:pt>
                <c:pt idx="4">
                  <c:v>5078.4606060606056</c:v>
                </c:pt>
                <c:pt idx="5">
                  <c:v>6220.3393939393945</c:v>
                </c:pt>
                <c:pt idx="6">
                  <c:v>7362.2181818181825</c:v>
                </c:pt>
                <c:pt idx="7">
                  <c:v>8504.0969696969696</c:v>
                </c:pt>
                <c:pt idx="8">
                  <c:v>9645.9757575757576</c:v>
                </c:pt>
                <c:pt idx="9">
                  <c:v>10787.854545454546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2A3-8142-98DF-87D0373E9CC2}"/>
            </c:ext>
          </c:extLst>
        </c:ser>
        <c:ser>
          <c:idx val="10"/>
          <c:order val="10"/>
          <c:tx>
            <c:v>Tubo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'1ª Parte (v)'!$S$70:$S$81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(v)'!$T$70:$T$81</c:f>
              <c:numCache>
                <c:formatCode>General</c:formatCode>
                <c:ptCount val="12"/>
                <c:pt idx="0">
                  <c:v>498</c:v>
                </c:pt>
                <c:pt idx="1">
                  <c:v>1443</c:v>
                </c:pt>
                <c:pt idx="2">
                  <c:v>2477</c:v>
                </c:pt>
                <c:pt idx="3">
                  <c:v>3470</c:v>
                </c:pt>
                <c:pt idx="4">
                  <c:v>4438</c:v>
                </c:pt>
                <c:pt idx="5">
                  <c:v>5423</c:v>
                </c:pt>
                <c:pt idx="6">
                  <c:v>6453</c:v>
                </c:pt>
                <c:pt idx="7">
                  <c:v>7292</c:v>
                </c:pt>
                <c:pt idx="8">
                  <c:v>8481</c:v>
                </c:pt>
                <c:pt idx="9">
                  <c:v>9509</c:v>
                </c:pt>
                <c:pt idx="10">
                  <c:v>10446</c:v>
                </c:pt>
                <c:pt idx="11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2A3-8142-98DF-87D0373E9CC2}"/>
            </c:ext>
          </c:extLst>
        </c:ser>
        <c:ser>
          <c:idx val="11"/>
          <c:order val="11"/>
          <c:tx>
            <c:v>Aj lin (6)</c:v>
          </c:tx>
          <c:spPr>
            <a:ln w="127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(v)'!$S$70:$S$81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(v)'!$U$70:$U$81</c:f>
              <c:numCache>
                <c:formatCode>General</c:formatCode>
                <c:ptCount val="12"/>
                <c:pt idx="0" formatCode="0.0E+00">
                  <c:v>465.96153846153777</c:v>
                </c:pt>
                <c:pt idx="1">
                  <c:v>1462.1048951048945</c:v>
                </c:pt>
                <c:pt idx="2">
                  <c:v>2458.2482517482513</c:v>
                </c:pt>
                <c:pt idx="3">
                  <c:v>3454.3916083916079</c:v>
                </c:pt>
                <c:pt idx="4">
                  <c:v>4450.5349650349644</c:v>
                </c:pt>
                <c:pt idx="5">
                  <c:v>5446.6783216783215</c:v>
                </c:pt>
                <c:pt idx="6">
                  <c:v>6442.8216783216776</c:v>
                </c:pt>
                <c:pt idx="7">
                  <c:v>7438.9650349650346</c:v>
                </c:pt>
                <c:pt idx="8">
                  <c:v>8435.1083916083917</c:v>
                </c:pt>
                <c:pt idx="9">
                  <c:v>9431.2517482517469</c:v>
                </c:pt>
                <c:pt idx="10">
                  <c:v>10427.395104895106</c:v>
                </c:pt>
                <c:pt idx="11">
                  <c:v>11423.538461538461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2A3-8142-98DF-87D0373E9CC2}"/>
            </c:ext>
          </c:extLst>
        </c:ser>
        <c:ser>
          <c:idx val="12"/>
          <c:order val="12"/>
          <c:tx>
            <c:v>Tubo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(v)'!$S$86:$S$97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(v)'!$T$86:$T$97</c:f>
              <c:numCache>
                <c:formatCode>General</c:formatCode>
                <c:ptCount val="12"/>
                <c:pt idx="0">
                  <c:v>355</c:v>
                </c:pt>
                <c:pt idx="1">
                  <c:v>1376</c:v>
                </c:pt>
                <c:pt idx="2">
                  <c:v>2324</c:v>
                </c:pt>
                <c:pt idx="3">
                  <c:v>3269</c:v>
                </c:pt>
                <c:pt idx="4">
                  <c:v>4199</c:v>
                </c:pt>
                <c:pt idx="5">
                  <c:v>5139</c:v>
                </c:pt>
                <c:pt idx="6">
                  <c:v>6066</c:v>
                </c:pt>
                <c:pt idx="7">
                  <c:v>7000</c:v>
                </c:pt>
                <c:pt idx="8">
                  <c:v>7969</c:v>
                </c:pt>
                <c:pt idx="9">
                  <c:v>8866</c:v>
                </c:pt>
                <c:pt idx="10">
                  <c:v>9771</c:v>
                </c:pt>
                <c:pt idx="11">
                  <c:v>10749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2A3-8142-98DF-87D0373E9CC2}"/>
            </c:ext>
          </c:extLst>
        </c:ser>
        <c:ser>
          <c:idx val="13"/>
          <c:order val="13"/>
          <c:tx>
            <c:v>Aj lin (7)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(v)'!$S$86:$S$97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(v)'!$U$86:$U$97</c:f>
              <c:numCache>
                <c:formatCode>General</c:formatCode>
                <c:ptCount val="12"/>
                <c:pt idx="0">
                  <c:v>426.53846153846064</c:v>
                </c:pt>
                <c:pt idx="1">
                  <c:v>1365.3951048951042</c:v>
                </c:pt>
                <c:pt idx="2">
                  <c:v>2304.2517482517478</c:v>
                </c:pt>
                <c:pt idx="3">
                  <c:v>3243.1083916083912</c:v>
                </c:pt>
                <c:pt idx="4">
                  <c:v>4181.9650349650346</c:v>
                </c:pt>
                <c:pt idx="5">
                  <c:v>5120.8216783216785</c:v>
                </c:pt>
                <c:pt idx="6">
                  <c:v>6059.6783216783215</c:v>
                </c:pt>
                <c:pt idx="7">
                  <c:v>6998.5349650349654</c:v>
                </c:pt>
                <c:pt idx="8">
                  <c:v>7937.3916083916092</c:v>
                </c:pt>
                <c:pt idx="9">
                  <c:v>8876.2482517482531</c:v>
                </c:pt>
                <c:pt idx="10">
                  <c:v>9815.1048951048942</c:v>
                </c:pt>
                <c:pt idx="11">
                  <c:v>10753.961538461539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2A3-8142-98DF-87D0373E9CC2}"/>
            </c:ext>
          </c:extLst>
        </c:ser>
        <c:ser>
          <c:idx val="14"/>
          <c:order val="14"/>
          <c:tx>
            <c:v>Tubo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(v)'!$S$102:$S$115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(v)'!$T$102:$T$115</c:f>
              <c:numCache>
                <c:formatCode>General</c:formatCode>
                <c:ptCount val="14"/>
                <c:pt idx="0">
                  <c:v>268</c:v>
                </c:pt>
                <c:pt idx="1">
                  <c:v>1149</c:v>
                </c:pt>
                <c:pt idx="2">
                  <c:v>1930</c:v>
                </c:pt>
                <c:pt idx="3">
                  <c:v>2697</c:v>
                </c:pt>
                <c:pt idx="4">
                  <c:v>3476</c:v>
                </c:pt>
                <c:pt idx="5">
                  <c:v>4216</c:v>
                </c:pt>
                <c:pt idx="6">
                  <c:v>5023</c:v>
                </c:pt>
                <c:pt idx="7">
                  <c:v>5813</c:v>
                </c:pt>
                <c:pt idx="8">
                  <c:v>6593</c:v>
                </c:pt>
                <c:pt idx="9">
                  <c:v>7267</c:v>
                </c:pt>
                <c:pt idx="10">
                  <c:v>8081</c:v>
                </c:pt>
                <c:pt idx="11">
                  <c:v>8755</c:v>
                </c:pt>
                <c:pt idx="12">
                  <c:v>9645</c:v>
                </c:pt>
                <c:pt idx="13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E-194A-A551-C4F5A1E63A16}"/>
            </c:ext>
          </c:extLst>
        </c:ser>
        <c:ser>
          <c:idx val="15"/>
          <c:order val="15"/>
          <c:tx>
            <c:v>Aj lin (8)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(v)'!$S$102:$S$115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(v)'!$U$102:$U$115</c:f>
              <c:numCache>
                <c:formatCode>General</c:formatCode>
                <c:ptCount val="14"/>
                <c:pt idx="0">
                  <c:v>361.31428571428569</c:v>
                </c:pt>
                <c:pt idx="1">
                  <c:v>1133.4967032967033</c:v>
                </c:pt>
                <c:pt idx="2">
                  <c:v>1905.679120879121</c:v>
                </c:pt>
                <c:pt idx="3">
                  <c:v>2677.8615384615387</c:v>
                </c:pt>
                <c:pt idx="4">
                  <c:v>3450.0439560439563</c:v>
                </c:pt>
                <c:pt idx="5">
                  <c:v>4222.226373626374</c:v>
                </c:pt>
                <c:pt idx="6">
                  <c:v>4994.4087912087916</c:v>
                </c:pt>
                <c:pt idx="7">
                  <c:v>5766.5912087912093</c:v>
                </c:pt>
                <c:pt idx="8">
                  <c:v>6538.7736263736269</c:v>
                </c:pt>
                <c:pt idx="9">
                  <c:v>7310.9560439560446</c:v>
                </c:pt>
                <c:pt idx="10">
                  <c:v>8083.1384615384613</c:v>
                </c:pt>
                <c:pt idx="11">
                  <c:v>8855.3208791208799</c:v>
                </c:pt>
                <c:pt idx="12">
                  <c:v>9627.5032967032985</c:v>
                </c:pt>
                <c:pt idx="13">
                  <c:v>10399.685714285715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E-194A-A551-C4F5A1E63A16}"/>
            </c:ext>
          </c:extLst>
        </c:ser>
        <c:ser>
          <c:idx val="16"/>
          <c:order val="16"/>
          <c:tx>
            <c:v>Tubo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(v)'!$S$120:$S$131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(v)'!$U$120:$U$131</c:f>
              <c:numCache>
                <c:formatCode>0</c:formatCode>
                <c:ptCount val="12"/>
                <c:pt idx="0">
                  <c:v>307.32051282051111</c:v>
                </c:pt>
                <c:pt idx="1">
                  <c:v>961.97435897435753</c:v>
                </c:pt>
                <c:pt idx="2">
                  <c:v>1616.6282051282039</c:v>
                </c:pt>
                <c:pt idx="3">
                  <c:v>2271.2820512820504</c:v>
                </c:pt>
                <c:pt idx="4">
                  <c:v>2925.935897435897</c:v>
                </c:pt>
                <c:pt idx="5">
                  <c:v>3580.5897435897432</c:v>
                </c:pt>
                <c:pt idx="6">
                  <c:v>4235.2435897435898</c:v>
                </c:pt>
                <c:pt idx="7">
                  <c:v>4889.8974358974356</c:v>
                </c:pt>
                <c:pt idx="8">
                  <c:v>5544.5512820512831</c:v>
                </c:pt>
                <c:pt idx="9">
                  <c:v>6199.2051282051289</c:v>
                </c:pt>
                <c:pt idx="10">
                  <c:v>6853.8589743589746</c:v>
                </c:pt>
                <c:pt idx="11">
                  <c:v>7508.5128205128221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E-194A-A551-C4F5A1E63A16}"/>
            </c:ext>
          </c:extLst>
        </c:ser>
        <c:ser>
          <c:idx val="17"/>
          <c:order val="17"/>
          <c:tx>
            <c:v>Aj lin (9)</c:v>
          </c:tx>
          <c:spPr>
            <a:ln w="12700" cap="rnd">
              <a:solidFill>
                <a:srgbClr val="C25C5B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(v)'!$S$120:$S$133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(v)'!$U$120:$U$133</c:f>
              <c:numCache>
                <c:formatCode>0</c:formatCode>
                <c:ptCount val="14"/>
                <c:pt idx="0">
                  <c:v>307.32051282051111</c:v>
                </c:pt>
                <c:pt idx="1">
                  <c:v>961.97435897435753</c:v>
                </c:pt>
                <c:pt idx="2">
                  <c:v>1616.6282051282039</c:v>
                </c:pt>
                <c:pt idx="3">
                  <c:v>2271.2820512820504</c:v>
                </c:pt>
                <c:pt idx="4">
                  <c:v>2925.935897435897</c:v>
                </c:pt>
                <c:pt idx="5">
                  <c:v>3580.5897435897432</c:v>
                </c:pt>
                <c:pt idx="6">
                  <c:v>4235.2435897435898</c:v>
                </c:pt>
                <c:pt idx="7">
                  <c:v>4889.8974358974356</c:v>
                </c:pt>
                <c:pt idx="8">
                  <c:v>5544.5512820512831</c:v>
                </c:pt>
                <c:pt idx="9">
                  <c:v>6199.2051282051289</c:v>
                </c:pt>
                <c:pt idx="10">
                  <c:v>6853.8589743589746</c:v>
                </c:pt>
                <c:pt idx="11">
                  <c:v>7508.5128205128221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7E-194A-A551-C4F5A1E6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95296"/>
        <c:axId val="251844320"/>
      </c:scatterChart>
      <c:valAx>
        <c:axId val="19199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51844320"/>
        <c:crosses val="autoZero"/>
        <c:crossBetween val="midCat"/>
      </c:valAx>
      <c:valAx>
        <c:axId val="2518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(kHz)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995296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79236089232266"/>
          <c:y val="0.48111933353876618"/>
          <c:w val="0.24857154971311302"/>
          <c:h val="0.356361368796576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22010639585305"/>
          <c:y val="4.6879414869734286E-2"/>
          <c:w val="0.82391323214605372"/>
          <c:h val="0.7894899506239289"/>
        </c:manualLayout>
      </c:layout>
      <c:scatterChart>
        <c:scatterStyle val="lineMarker"/>
        <c:varyColors val="0"/>
        <c:ser>
          <c:idx val="0"/>
          <c:order val="0"/>
          <c:tx>
            <c:v>Res. de f - 1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(v)'!$S$5:$S$9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(v)'!$V$5:$V$9</c:f>
              <c:numCache>
                <c:formatCode>General</c:formatCode>
                <c:ptCount val="5"/>
                <c:pt idx="0">
                  <c:v>1302.8000000000006</c:v>
                </c:pt>
                <c:pt idx="1">
                  <c:v>17.600000000000364</c:v>
                </c:pt>
                <c:pt idx="2">
                  <c:v>46.400000000000546</c:v>
                </c:pt>
                <c:pt idx="3">
                  <c:v>-36.799999999999272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6-7649-B8D2-581987F9DCD6}"/>
            </c:ext>
          </c:extLst>
        </c:ser>
        <c:ser>
          <c:idx val="1"/>
          <c:order val="1"/>
          <c:tx>
            <c:v>Res. de f - 2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'1ª Parte (v)'!$S$15:$S$21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(v)'!$V$15:$V$21</c:f>
              <c:numCache>
                <c:formatCode>General</c:formatCode>
                <c:ptCount val="7"/>
                <c:pt idx="0">
                  <c:v>-4.3928571428559735</c:v>
                </c:pt>
                <c:pt idx="1">
                  <c:v>-29.499999999999091</c:v>
                </c:pt>
                <c:pt idx="2">
                  <c:v>-1.6071428571422075</c:v>
                </c:pt>
                <c:pt idx="3">
                  <c:v>50.285714285714675</c:v>
                </c:pt>
                <c:pt idx="4">
                  <c:v>22.178571428571558</c:v>
                </c:pt>
                <c:pt idx="5">
                  <c:v>-14.928571428571558</c:v>
                </c:pt>
                <c:pt idx="6">
                  <c:v>-22.035714285713766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46-7649-B8D2-581987F9DCD6}"/>
            </c:ext>
          </c:extLst>
        </c:ser>
        <c:ser>
          <c:idx val="2"/>
          <c:order val="2"/>
          <c:tx>
            <c:v>Res. de f - 3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'1ª Parte (v)'!$S$27:$S$34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(v)'!$V$27:$V$34</c:f>
              <c:numCache>
                <c:formatCode>General</c:formatCode>
                <c:ptCount val="8"/>
                <c:pt idx="0">
                  <c:v>4.2142857142864614</c:v>
                </c:pt>
                <c:pt idx="1">
                  <c:v>7.4285714285720132</c:v>
                </c:pt>
                <c:pt idx="2">
                  <c:v>4.6428571428577925</c:v>
                </c:pt>
                <c:pt idx="3">
                  <c:v>-24.142857142856883</c:v>
                </c:pt>
                <c:pt idx="4">
                  <c:v>-23.928571428571558</c:v>
                </c:pt>
                <c:pt idx="5">
                  <c:v>39.285714285714675</c:v>
                </c:pt>
                <c:pt idx="6">
                  <c:v>-7.5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646-7649-B8D2-581987F9DCD6}"/>
            </c:ext>
          </c:extLst>
        </c:ser>
        <c:ser>
          <c:idx val="3"/>
          <c:order val="3"/>
          <c:tx>
            <c:v>Res. de f - 4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'1ª Parte (v)'!$S$41:$S$49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(v)'!$V$41:$V$49</c:f>
              <c:numCache>
                <c:formatCode>General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646-7649-B8D2-581987F9DCD6}"/>
            </c:ext>
          </c:extLst>
        </c:ser>
        <c:ser>
          <c:idx val="4"/>
          <c:order val="4"/>
          <c:tx>
            <c:v>Res. de f - 5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'1ª Parte (v)'!$S$55:$S$64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(v)'!$V$55:$V$64</c:f>
              <c:numCache>
                <c:formatCode>General</c:formatCode>
                <c:ptCount val="10"/>
                <c:pt idx="0">
                  <c:v>-43.054545454546997</c:v>
                </c:pt>
                <c:pt idx="1">
                  <c:v>-14.17575757575878</c:v>
                </c:pt>
                <c:pt idx="2">
                  <c:v>16.703030303029664</c:v>
                </c:pt>
                <c:pt idx="3">
                  <c:v>20.581818181817653</c:v>
                </c:pt>
                <c:pt idx="4">
                  <c:v>61.460606060605642</c:v>
                </c:pt>
                <c:pt idx="5">
                  <c:v>-4.6606060606054598</c:v>
                </c:pt>
                <c:pt idx="6">
                  <c:v>13.218181818182529</c:v>
                </c:pt>
                <c:pt idx="7">
                  <c:v>-16.903030303030391</c:v>
                </c:pt>
                <c:pt idx="8">
                  <c:v>-34.024242424242402</c:v>
                </c:pt>
                <c:pt idx="9">
                  <c:v>0.85454545454558684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646-7649-B8D2-581987F9DCD6}"/>
            </c:ext>
          </c:extLst>
        </c:ser>
        <c:ser>
          <c:idx val="5"/>
          <c:order val="5"/>
          <c:tx>
            <c:v>Res. de f - 6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'1ª Parte (v)'!$S$70:$S$80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(v)'!$V$70:$V$80</c:f>
              <c:numCache>
                <c:formatCode>0.0E+00</c:formatCode>
                <c:ptCount val="11"/>
                <c:pt idx="0">
                  <c:v>-32.038461538462229</c:v>
                </c:pt>
                <c:pt idx="1">
                  <c:v>19.104895104894467</c:v>
                </c:pt>
                <c:pt idx="2">
                  <c:v>-18.751748251748722</c:v>
                </c:pt>
                <c:pt idx="3">
                  <c:v>-15.608391608392139</c:v>
                </c:pt>
                <c:pt idx="4">
                  <c:v>12.534965034964443</c:v>
                </c:pt>
                <c:pt idx="5">
                  <c:v>23.678321678321481</c:v>
                </c:pt>
                <c:pt idx="6">
                  <c:v>-10.178321678322391</c:v>
                </c:pt>
                <c:pt idx="7">
                  <c:v>146.96503496503465</c:v>
                </c:pt>
                <c:pt idx="8">
                  <c:v>-45.891608391608315</c:v>
                </c:pt>
                <c:pt idx="9">
                  <c:v>-77.748251748253097</c:v>
                </c:pt>
                <c:pt idx="10">
                  <c:v>-18.60489510489424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646-7649-B8D2-581987F9DCD6}"/>
            </c:ext>
          </c:extLst>
        </c:ser>
        <c:ser>
          <c:idx val="6"/>
          <c:order val="6"/>
          <c:tx>
            <c:v>Res. de f - 7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'1ª Parte (v)'!$S$86:$S$95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(v)'!$V$86:$V$95</c:f>
              <c:numCache>
                <c:formatCode>General</c:formatCode>
                <c:ptCount val="10"/>
                <c:pt idx="0">
                  <c:v>71.538461538460638</c:v>
                </c:pt>
                <c:pt idx="1">
                  <c:v>-10.604895104895832</c:v>
                </c:pt>
                <c:pt idx="2">
                  <c:v>-19.748251748252187</c:v>
                </c:pt>
                <c:pt idx="3">
                  <c:v>-25.89160839160877</c:v>
                </c:pt>
                <c:pt idx="4">
                  <c:v>-17.034965034965353</c:v>
                </c:pt>
                <c:pt idx="5">
                  <c:v>-18.178321678321481</c:v>
                </c:pt>
                <c:pt idx="6">
                  <c:v>-6.3216783216785188</c:v>
                </c:pt>
                <c:pt idx="7">
                  <c:v>-1.465034965034647</c:v>
                </c:pt>
                <c:pt idx="8">
                  <c:v>-31.608391608390775</c:v>
                </c:pt>
                <c:pt idx="9">
                  <c:v>10.248251748253097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646-7649-B8D2-581987F9DCD6}"/>
            </c:ext>
          </c:extLst>
        </c:ser>
        <c:ser>
          <c:idx val="7"/>
          <c:order val="7"/>
          <c:tx>
            <c:v>Res. de f - 8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xVal>
            <c:numRef>
              <c:f>'1ª Parte (v)'!$S$102:$S$114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(v)'!$V$102:$V$114</c:f>
              <c:numCache>
                <c:formatCode>0.00000</c:formatCode>
                <c:ptCount val="13"/>
                <c:pt idx="0">
                  <c:v>93.314285714285688</c:v>
                </c:pt>
                <c:pt idx="1">
                  <c:v>-15.503296703296655</c:v>
                </c:pt>
                <c:pt idx="2">
                  <c:v>-24.320879120878999</c:v>
                </c:pt>
                <c:pt idx="3">
                  <c:v>-19.138461538461343</c:v>
                </c:pt>
                <c:pt idx="4">
                  <c:v>-25.956043956043686</c:v>
                </c:pt>
                <c:pt idx="5">
                  <c:v>6.2263736263739702</c:v>
                </c:pt>
                <c:pt idx="6">
                  <c:v>-28.591208791208373</c:v>
                </c:pt>
                <c:pt idx="7">
                  <c:v>-46.408791208790717</c:v>
                </c:pt>
                <c:pt idx="8">
                  <c:v>-54.226373626373061</c:v>
                </c:pt>
                <c:pt idx="9">
                  <c:v>43.956043956044596</c:v>
                </c:pt>
                <c:pt idx="10">
                  <c:v>2.1384615384613426</c:v>
                </c:pt>
                <c:pt idx="11">
                  <c:v>100.32087912087991</c:v>
                </c:pt>
                <c:pt idx="12">
                  <c:v>-17.496703296701526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EF-614C-9C43-8BBE2391B7BA}"/>
            </c:ext>
          </c:extLst>
        </c:ser>
        <c:ser>
          <c:idx val="8"/>
          <c:order val="8"/>
          <c:tx>
            <c:v>Res. de f - 9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25C5B"/>
              </a:solidFill>
              <a:ln w="9525">
                <a:solidFill>
                  <a:srgbClr val="C25C5B"/>
                </a:solidFill>
              </a:ln>
              <a:effectLst/>
            </c:spPr>
          </c:marker>
          <c:xVal>
            <c:numRef>
              <c:f>'1ª Parte (v)'!$S$120:$S$133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(v)'!$V$120:$V$133</c:f>
              <c:numCache>
                <c:formatCode>0</c:formatCode>
                <c:ptCount val="14"/>
                <c:pt idx="0">
                  <c:v>-0.6794871794888877</c:v>
                </c:pt>
                <c:pt idx="1">
                  <c:v>-2.0256410256424715</c:v>
                </c:pt>
                <c:pt idx="2">
                  <c:v>0.6282051282039447</c:v>
                </c:pt>
                <c:pt idx="3">
                  <c:v>-0.7179487179496391</c:v>
                </c:pt>
                <c:pt idx="4">
                  <c:v>-1.0641025641029955</c:v>
                </c:pt>
                <c:pt idx="5">
                  <c:v>5.5897435897431933</c:v>
                </c:pt>
                <c:pt idx="6">
                  <c:v>-0.75641025641016313</c:v>
                </c:pt>
                <c:pt idx="7">
                  <c:v>11.897435897435571</c:v>
                </c:pt>
                <c:pt idx="8">
                  <c:v>-43.448717948716876</c:v>
                </c:pt>
                <c:pt idx="9">
                  <c:v>50.205128205128858</c:v>
                </c:pt>
                <c:pt idx="10">
                  <c:v>-12.141025641025408</c:v>
                </c:pt>
                <c:pt idx="11">
                  <c:v>-7.4871794871778548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EF-614C-9C43-8BBE2391B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82752"/>
        <c:axId val="1892812719"/>
      </c:scatterChart>
      <c:valAx>
        <c:axId val="7208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92812719"/>
        <c:crossesAt val="-999990"/>
        <c:crossBetween val="midCat"/>
      </c:valAx>
      <c:valAx>
        <c:axId val="18928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208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27188471762245"/>
          <c:y val="0.44069300996716093"/>
          <c:w val="0.14946746698814842"/>
          <c:h val="0.3828434093314532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6382768667678"/>
          <c:y val="7.0268837405354612E-2"/>
          <c:w val="0.76647794312408202"/>
          <c:h val="0.74190059851746337"/>
        </c:manualLayout>
      </c:layout>
      <c:scatterChart>
        <c:scatterStyle val="lineMarker"/>
        <c:varyColors val="0"/>
        <c:ser>
          <c:idx val="0"/>
          <c:order val="0"/>
          <c:tx>
            <c:v>Dados Exp (1)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(v)'!$S$5:$S$8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(v)'!$T$5:$T$8</c:f>
              <c:numCache>
                <c:formatCode>General</c:formatCode>
                <c:ptCount val="4"/>
                <c:pt idx="0">
                  <c:v>1330</c:v>
                </c:pt>
                <c:pt idx="1">
                  <c:v>4015</c:v>
                </c:pt>
                <c:pt idx="2">
                  <c:v>6716</c:v>
                </c:pt>
                <c:pt idx="3">
                  <c:v>9529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4D-1948-8A96-3B759460E462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(v)'!$S$5:$S$8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(v)'!$U$5:$U$8</c:f>
              <c:numCache>
                <c:formatCode>General</c:formatCode>
                <c:ptCount val="4"/>
                <c:pt idx="0" formatCode="0.00E+00">
                  <c:v>1302.8000000000006</c:v>
                </c:pt>
                <c:pt idx="1">
                  <c:v>4032.6000000000004</c:v>
                </c:pt>
                <c:pt idx="2">
                  <c:v>6762.4000000000005</c:v>
                </c:pt>
                <c:pt idx="3">
                  <c:v>9492.2000000000007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4D-1948-8A96-3B759460E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503407"/>
        <c:axId val="572505039"/>
      </c:scatterChart>
      <c:valAx>
        <c:axId val="57250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505039"/>
        <c:crosses val="autoZero"/>
        <c:crossBetween val="midCat"/>
      </c:valAx>
      <c:valAx>
        <c:axId val="57250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50340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73089888993238"/>
          <c:y val="0.57743692932858459"/>
          <c:w val="0.2848105929547487"/>
          <c:h val="0.196195632782225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10487954804906"/>
          <c:y val="7.2131147540983612E-2"/>
          <c:w val="0.7737329859789831"/>
          <c:h val="0.7481750354976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(v)'!$S$5:$S$8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'1ª Parte (v)'!$V$5:$V$8</c:f>
              <c:numCache>
                <c:formatCode>General</c:formatCode>
                <c:ptCount val="4"/>
                <c:pt idx="0">
                  <c:v>1302.8000000000006</c:v>
                </c:pt>
                <c:pt idx="1">
                  <c:v>17.600000000000364</c:v>
                </c:pt>
                <c:pt idx="2">
                  <c:v>46.400000000000546</c:v>
                </c:pt>
                <c:pt idx="3">
                  <c:v>-36.799999999999272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3F-4748-85B5-EF06D99F4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378335"/>
        <c:axId val="471461023"/>
      </c:scatterChart>
      <c:valAx>
        <c:axId val="57237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1461023"/>
        <c:crossesAt val="-99999"/>
        <c:crossBetween val="midCat"/>
      </c:valAx>
      <c:valAx>
        <c:axId val="4714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237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55524368084399"/>
          <c:y val="0.10386678370694512"/>
          <c:w val="0.19485992411311023"/>
          <c:h val="0.10072258652555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430311818770194"/>
          <c:y val="5.0914863933032919E-2"/>
          <c:w val="0.80280386029973061"/>
          <c:h val="0.79535856467473087"/>
        </c:manualLayout>
      </c:layout>
      <c:scatterChart>
        <c:scatterStyle val="lineMarker"/>
        <c:varyColors val="0"/>
        <c:ser>
          <c:idx val="0"/>
          <c:order val="0"/>
          <c:tx>
            <c:v>DadosExp. (2)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dPt>
            <c:idx val="6"/>
            <c:marker>
              <c:symbol val="circle"/>
              <c:size val="3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279-4627-975C-56308A215EBB}"/>
              </c:ext>
            </c:extLst>
          </c:dPt>
          <c:xVal>
            <c:numRef>
              <c:f>'1ª Parte (v)'!$S$15:$S$21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(v)'!$T$15:$T$21</c:f>
              <c:numCache>
                <c:formatCode>General</c:formatCode>
                <c:ptCount val="7"/>
                <c:pt idx="0">
                  <c:v>688</c:v>
                </c:pt>
                <c:pt idx="1">
                  <c:v>2122</c:v>
                </c:pt>
                <c:pt idx="2">
                  <c:v>3503</c:v>
                </c:pt>
                <c:pt idx="3">
                  <c:v>4860</c:v>
                </c:pt>
                <c:pt idx="4">
                  <c:v>6297</c:v>
                </c:pt>
                <c:pt idx="5">
                  <c:v>7743</c:v>
                </c:pt>
                <c:pt idx="6">
                  <c:v>9159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A5-4E48-828D-6295D1AC82D9}"/>
            </c:ext>
          </c:extLst>
        </c:ser>
        <c:ser>
          <c:idx val="1"/>
          <c:order val="1"/>
          <c:tx>
            <c:v>Aj lin (2)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(v)'!$S$15:$S$21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(v)'!$U$15:$U$21</c:f>
              <c:numCache>
                <c:formatCode>General</c:formatCode>
                <c:ptCount val="7"/>
                <c:pt idx="0">
                  <c:v>683.60714285714403</c:v>
                </c:pt>
                <c:pt idx="1">
                  <c:v>2092.5000000000009</c:v>
                </c:pt>
                <c:pt idx="2">
                  <c:v>3501.3928571428578</c:v>
                </c:pt>
                <c:pt idx="3">
                  <c:v>4910.2857142857147</c:v>
                </c:pt>
                <c:pt idx="4">
                  <c:v>6319.1785714285716</c:v>
                </c:pt>
                <c:pt idx="5">
                  <c:v>7728.0714285714284</c:v>
                </c:pt>
                <c:pt idx="6">
                  <c:v>9136.9642857142862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A5-4E48-828D-6295D1AC8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88959"/>
        <c:axId val="560198847"/>
      </c:scatterChart>
      <c:valAx>
        <c:axId val="54258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198847"/>
        <c:crossesAt val="0"/>
        <c:crossBetween val="midCat"/>
      </c:valAx>
      <c:valAx>
        <c:axId val="56019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42588959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915034608943777"/>
          <c:y val="0.64811115484979587"/>
          <c:w val="0.28206094598777537"/>
          <c:h val="0.1749281488752548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08459180699054"/>
          <c:y val="6.719001451535174E-2"/>
          <c:w val="0.74788402707644475"/>
          <c:h val="0.74715151853280493"/>
        </c:manualLayout>
      </c:layout>
      <c:scatterChart>
        <c:scatterStyle val="lineMarker"/>
        <c:varyColors val="0"/>
        <c:ser>
          <c:idx val="0"/>
          <c:order val="0"/>
          <c:tx>
            <c:v>Res. de f - 2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D7D-4F9B-A887-E240570F7B34}"/>
              </c:ext>
            </c:extLst>
          </c:dPt>
          <c:xVal>
            <c:numRef>
              <c:f>'1ª Parte (v)'!$S$15:$S$21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(v)'!$V$15:$V$21</c:f>
              <c:numCache>
                <c:formatCode>General</c:formatCode>
                <c:ptCount val="7"/>
                <c:pt idx="0">
                  <c:v>-4.3928571428559735</c:v>
                </c:pt>
                <c:pt idx="1">
                  <c:v>-29.499999999999091</c:v>
                </c:pt>
                <c:pt idx="2">
                  <c:v>-1.6071428571422075</c:v>
                </c:pt>
                <c:pt idx="3">
                  <c:v>50.285714285714675</c:v>
                </c:pt>
                <c:pt idx="4">
                  <c:v>22.178571428571558</c:v>
                </c:pt>
                <c:pt idx="5">
                  <c:v>-14.928571428571558</c:v>
                </c:pt>
                <c:pt idx="6">
                  <c:v>-22.035714285713766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3-CF41-8DC6-74E9907E2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76911"/>
        <c:axId val="93018479"/>
      </c:scatterChart>
      <c:valAx>
        <c:axId val="47537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018479"/>
        <c:crossesAt val="-9990"/>
        <c:crossBetween val="midCat"/>
      </c:valAx>
      <c:valAx>
        <c:axId val="9301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5376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0"/>
          <c:order val="0"/>
          <c:tx>
            <c:v>Dados Exp (3)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(v)'!$S$27:$S$33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(v)'!$T$27:$T$33</c:f>
              <c:numCache>
                <c:formatCode>General</c:formatCode>
                <c:ptCount val="7"/>
                <c:pt idx="0">
                  <c:v>637</c:v>
                </c:pt>
                <c:pt idx="1">
                  <c:v>1927</c:v>
                </c:pt>
                <c:pt idx="2">
                  <c:v>3223</c:v>
                </c:pt>
                <c:pt idx="3">
                  <c:v>4545</c:v>
                </c:pt>
                <c:pt idx="4">
                  <c:v>5838</c:v>
                </c:pt>
                <c:pt idx="5">
                  <c:v>7068</c:v>
                </c:pt>
                <c:pt idx="6">
                  <c:v>8408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E-BD44-82E8-F9BF83E418EC}"/>
            </c:ext>
          </c:extLst>
        </c:ser>
        <c:ser>
          <c:idx val="1"/>
          <c:order val="1"/>
          <c:tx>
            <c:v>Aj. Lin (3)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(v)'!$S$27:$S$33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(v)'!$U$27:$U$33</c:f>
              <c:numCache>
                <c:formatCode>General</c:formatCode>
                <c:ptCount val="7"/>
                <c:pt idx="0" formatCode="0.00E+00">
                  <c:v>641.21428571428646</c:v>
                </c:pt>
                <c:pt idx="1">
                  <c:v>1934.428571428572</c:v>
                </c:pt>
                <c:pt idx="2">
                  <c:v>3227.6428571428578</c:v>
                </c:pt>
                <c:pt idx="3">
                  <c:v>4520.8571428571431</c:v>
                </c:pt>
                <c:pt idx="4">
                  <c:v>5814.0714285714284</c:v>
                </c:pt>
                <c:pt idx="5">
                  <c:v>7107.2857142857147</c:v>
                </c:pt>
                <c:pt idx="6">
                  <c:v>8400.5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6E-BD44-82E8-F9BF83E41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84468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03530147803752"/>
          <c:y val="0.56383098409771049"/>
          <c:w val="0.28285277591997465"/>
          <c:h val="0.218963109762181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11766117669978"/>
          <c:y val="5.6856961803273286E-2"/>
          <c:w val="0.77520935792209433"/>
          <c:h val="0.80225591322087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(v)'!$S$27:$S$33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'1ª Parte (v)'!$V$27:$V$33</c:f>
              <c:numCache>
                <c:formatCode>General</c:formatCode>
                <c:ptCount val="7"/>
                <c:pt idx="0">
                  <c:v>4.2142857142864614</c:v>
                </c:pt>
                <c:pt idx="1">
                  <c:v>7.4285714285720132</c:v>
                </c:pt>
                <c:pt idx="2">
                  <c:v>4.6428571428577925</c:v>
                </c:pt>
                <c:pt idx="3">
                  <c:v>-24.142857142856883</c:v>
                </c:pt>
                <c:pt idx="4">
                  <c:v>-23.928571428571558</c:v>
                </c:pt>
                <c:pt idx="5">
                  <c:v>39.285714285714675</c:v>
                </c:pt>
                <c:pt idx="6">
                  <c:v>-7.5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3-F647-849D-FC60F743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86271"/>
        <c:axId val="116125887"/>
      </c:scatterChart>
      <c:valAx>
        <c:axId val="11148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6125887"/>
        <c:crossesAt val="-9990"/>
        <c:crossBetween val="midCat"/>
      </c:valAx>
      <c:valAx>
        <c:axId val="1161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148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80464813816009"/>
          <c:y val="9.2895792658070311E-2"/>
          <c:w val="0.23846250957155987"/>
          <c:h val="0.177687029921635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78629899387576541"/>
          <c:h val="0.80372666958296879"/>
        </c:manualLayout>
      </c:layout>
      <c:scatterChart>
        <c:scatterStyle val="lineMarker"/>
        <c:varyColors val="0"/>
        <c:ser>
          <c:idx val="0"/>
          <c:order val="0"/>
          <c:tx>
            <c:v>Res. de f - 4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(v)'!$S$41:$S$49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(v)'!$V$41:$V$49</c:f>
              <c:numCache>
                <c:formatCode>General</c:formatCode>
                <c:ptCount val="9"/>
                <c:pt idx="0">
                  <c:v>-14.288888888888778</c:v>
                </c:pt>
                <c:pt idx="1">
                  <c:v>-4.9388888888888687</c:v>
                </c:pt>
                <c:pt idx="2">
                  <c:v>-10.58888888888896</c:v>
                </c:pt>
                <c:pt idx="3">
                  <c:v>13.761111111110949</c:v>
                </c:pt>
                <c:pt idx="4">
                  <c:v>27.111111111111313</c:v>
                </c:pt>
                <c:pt idx="5">
                  <c:v>16.461111111110768</c:v>
                </c:pt>
                <c:pt idx="6">
                  <c:v>-10.188888888889778</c:v>
                </c:pt>
                <c:pt idx="7">
                  <c:v>6.1611111111105856</c:v>
                </c:pt>
                <c:pt idx="8">
                  <c:v>-23.488888888889051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6-A64E-9087-056FA9D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15151"/>
        <c:axId val="118567983"/>
      </c:scatterChart>
      <c:valAx>
        <c:axId val="7711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567983"/>
        <c:crossesAt val="-90"/>
        <c:crossBetween val="midCat"/>
      </c:valAx>
      <c:valAx>
        <c:axId val="1185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711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25569316980074"/>
          <c:y val="0.74564463437070383"/>
          <c:w val="0.21047854399448768"/>
          <c:h val="9.1338738433021302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9586855101629"/>
          <c:y val="5.7775474662538705E-2"/>
          <c:w val="0.79966571844353262"/>
          <c:h val="0.77207554567219516"/>
        </c:manualLayout>
      </c:layout>
      <c:scatterChart>
        <c:scatterStyle val="lineMarker"/>
        <c:varyColors val="0"/>
        <c:ser>
          <c:idx val="2"/>
          <c:order val="0"/>
          <c:tx>
            <c:v>Dados Exp. (4)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'1ª Parte (v)'!$S$41:$S$49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(v)'!$T$41:$T$49</c:f>
              <c:numCache>
                <c:formatCode>General</c:formatCode>
                <c:ptCount val="9"/>
                <c:pt idx="0">
                  <c:v>593</c:v>
                </c:pt>
                <c:pt idx="1">
                  <c:v>1787</c:v>
                </c:pt>
                <c:pt idx="2">
                  <c:v>2996</c:v>
                </c:pt>
                <c:pt idx="3">
                  <c:v>4175</c:v>
                </c:pt>
                <c:pt idx="4">
                  <c:v>5365</c:v>
                </c:pt>
                <c:pt idx="5">
                  <c:v>6579</c:v>
                </c:pt>
                <c:pt idx="6">
                  <c:v>7809</c:v>
                </c:pt>
                <c:pt idx="7">
                  <c:v>8996</c:v>
                </c:pt>
                <c:pt idx="8">
                  <c:v>10229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50A-D247-908B-04F897FD6BEA}"/>
            </c:ext>
          </c:extLst>
        </c:ser>
        <c:ser>
          <c:idx val="3"/>
          <c:order val="1"/>
          <c:tx>
            <c:v>Aj lin. (4)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'1ª Parte (v)'!$S$41:$S$49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'1ª Parte (v)'!$U$41:$U$49</c:f>
              <c:numCache>
                <c:formatCode>General</c:formatCode>
                <c:ptCount val="9"/>
                <c:pt idx="0">
                  <c:v>578.71111111111122</c:v>
                </c:pt>
                <c:pt idx="1">
                  <c:v>1782.0611111111111</c:v>
                </c:pt>
                <c:pt idx="2">
                  <c:v>2985.411111111111</c:v>
                </c:pt>
                <c:pt idx="3">
                  <c:v>4188.7611111111109</c:v>
                </c:pt>
                <c:pt idx="4">
                  <c:v>5392.1111111111113</c:v>
                </c:pt>
                <c:pt idx="5">
                  <c:v>6595.4611111111108</c:v>
                </c:pt>
                <c:pt idx="6">
                  <c:v>7798.8111111111102</c:v>
                </c:pt>
                <c:pt idx="7">
                  <c:v>9002.1611111111106</c:v>
                </c:pt>
                <c:pt idx="8">
                  <c:v>10205.511111111111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50A-D247-908B-04F897FD6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44687"/>
        <c:axId val="94214527"/>
      </c:scatterChart>
      <c:valAx>
        <c:axId val="103844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214527"/>
        <c:crosses val="autoZero"/>
        <c:crossBetween val="midCat"/>
      </c:valAx>
      <c:valAx>
        <c:axId val="9421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3844687"/>
        <c:crosses val="autoZero"/>
        <c:crossBetween val="midCat"/>
        <c:dispUnits>
          <c:builtInUnit val="thousands"/>
        </c:dispUnits>
      </c:valAx>
    </c:plotArea>
    <c:legend>
      <c:legendPos val="r"/>
      <c:layout>
        <c:manualLayout>
          <c:xMode val="edge"/>
          <c:yMode val="edge"/>
          <c:x val="0.63742827773314659"/>
          <c:y val="0.62853208646539283"/>
          <c:w val="0.28433561330641083"/>
          <c:h val="0.1797254776626594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11073209172944"/>
          <c:y val="5.6773616727287507E-2"/>
          <c:w val="0.75026340632127742"/>
          <c:h val="0.796672830349704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C4E-3C48-9F33-7BDEB4E81E02}"/>
              </c:ext>
            </c:extLst>
          </c:dPt>
          <c:dPt>
            <c:idx val="8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C4E-3C48-9F33-7BDEB4E81E02}"/>
              </c:ext>
            </c:extLst>
          </c:dPt>
          <c:dPt>
            <c:idx val="9"/>
            <c:marker>
              <c:symbol val="circle"/>
              <c:size val="3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878-451C-9F9C-8A6BD8831DA2}"/>
              </c:ext>
            </c:extLst>
          </c:dPt>
          <c:xVal>
            <c:numRef>
              <c:f>'1ª Parte (v)'!$S$55:$S$64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(v)'!$T$55:$T$64</c:f>
              <c:numCache>
                <c:formatCode>General</c:formatCode>
                <c:ptCount val="10"/>
                <c:pt idx="0">
                  <c:v>554</c:v>
                </c:pt>
                <c:pt idx="1">
                  <c:v>1667</c:v>
                </c:pt>
                <c:pt idx="2">
                  <c:v>2778</c:v>
                </c:pt>
                <c:pt idx="3">
                  <c:v>3916</c:v>
                </c:pt>
                <c:pt idx="4">
                  <c:v>5017</c:v>
                </c:pt>
                <c:pt idx="5">
                  <c:v>6225</c:v>
                </c:pt>
                <c:pt idx="6">
                  <c:v>7349</c:v>
                </c:pt>
                <c:pt idx="7">
                  <c:v>8521</c:v>
                </c:pt>
                <c:pt idx="8">
                  <c:v>9680</c:v>
                </c:pt>
                <c:pt idx="9">
                  <c:v>10787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B-444B-AA96-E9470EA3E0C5}"/>
            </c:ext>
          </c:extLst>
        </c:ser>
        <c:ser>
          <c:idx val="1"/>
          <c:order val="1"/>
          <c:tx>
            <c:v>Aj. lin. (5)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6787-BB46-9F4A-54C5F49DD2CE}"/>
              </c:ext>
            </c:extLst>
          </c:dPt>
          <c:xVal>
            <c:numRef>
              <c:f>'1ª Parte (v)'!$S$55:$S$64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(v)'!$U$55:$U$64</c:f>
              <c:numCache>
                <c:formatCode>General</c:formatCode>
                <c:ptCount val="10"/>
                <c:pt idx="0">
                  <c:v>510.945454545453</c:v>
                </c:pt>
                <c:pt idx="1">
                  <c:v>1652.8242424242412</c:v>
                </c:pt>
                <c:pt idx="2">
                  <c:v>2794.7030303030297</c:v>
                </c:pt>
                <c:pt idx="3">
                  <c:v>3936.5818181818177</c:v>
                </c:pt>
                <c:pt idx="4">
                  <c:v>5078.4606060606056</c:v>
                </c:pt>
                <c:pt idx="5">
                  <c:v>6220.3393939393945</c:v>
                </c:pt>
                <c:pt idx="6">
                  <c:v>7362.2181818181825</c:v>
                </c:pt>
                <c:pt idx="7">
                  <c:v>8504.0969696969696</c:v>
                </c:pt>
                <c:pt idx="8">
                  <c:v>9645.9757575757576</c:v>
                </c:pt>
                <c:pt idx="9">
                  <c:v>10787.854545454546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EB-444B-AA96-E9470EA3E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85967"/>
        <c:axId val="160539967"/>
      </c:scatterChart>
      <c:valAx>
        <c:axId val="15288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0539967"/>
        <c:crosses val="autoZero"/>
        <c:crossBetween val="midCat"/>
      </c:valAx>
      <c:valAx>
        <c:axId val="1605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 (Hz) x 103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88596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779726578593828"/>
          <c:y val="0.61949483795639182"/>
          <c:w val="0.30771810768491348"/>
          <c:h val="0.21109792480302866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1048009623797024"/>
          <c:h val="0.77615805605454202"/>
        </c:manualLayout>
      </c:layout>
      <c:scatterChart>
        <c:scatterStyle val="lineMarker"/>
        <c:varyColors val="0"/>
        <c:ser>
          <c:idx val="0"/>
          <c:order val="0"/>
          <c:tx>
            <c:v>Res. de f - 6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(v)'!$S$70:$S$80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(v)'!$V$70:$V$80</c:f>
              <c:numCache>
                <c:formatCode>0.0E+00</c:formatCode>
                <c:ptCount val="11"/>
                <c:pt idx="0">
                  <c:v>-32.038461538462229</c:v>
                </c:pt>
                <c:pt idx="1">
                  <c:v>19.104895104894467</c:v>
                </c:pt>
                <c:pt idx="2">
                  <c:v>-18.751748251748722</c:v>
                </c:pt>
                <c:pt idx="3">
                  <c:v>-15.608391608392139</c:v>
                </c:pt>
                <c:pt idx="4">
                  <c:v>12.534965034964443</c:v>
                </c:pt>
                <c:pt idx="5">
                  <c:v>23.678321678321481</c:v>
                </c:pt>
                <c:pt idx="6">
                  <c:v>-10.178321678322391</c:v>
                </c:pt>
                <c:pt idx="7">
                  <c:v>146.96503496503465</c:v>
                </c:pt>
                <c:pt idx="8">
                  <c:v>-45.891608391608315</c:v>
                </c:pt>
                <c:pt idx="9">
                  <c:v>-77.748251748253097</c:v>
                </c:pt>
                <c:pt idx="10">
                  <c:v>-18.60489510489424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4-8B40-B440-D30571826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96527"/>
        <c:axId val="172300863"/>
      </c:scatterChart>
      <c:valAx>
        <c:axId val="1650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300863"/>
        <c:crossesAt val="-990"/>
        <c:crossBetween val="midCat"/>
      </c:valAx>
      <c:valAx>
        <c:axId val="172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0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986854768153982"/>
          <c:y val="8.5948527267424912E-2"/>
          <c:w val="0.17624256342957131"/>
          <c:h val="7.3473315835520567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21190354121318"/>
          <c:y val="6.638377137752266E-2"/>
          <c:w val="0.82917894200185949"/>
          <c:h val="0.7680093706072344"/>
        </c:manualLayout>
      </c:layout>
      <c:scatterChart>
        <c:scatterStyle val="lineMarker"/>
        <c:varyColors val="0"/>
        <c:ser>
          <c:idx val="0"/>
          <c:order val="0"/>
          <c:tx>
            <c:v>Dados Exp. (6)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(v)'!$S$70:$S$81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(v)'!$T$70:$T$81</c:f>
              <c:numCache>
                <c:formatCode>General</c:formatCode>
                <c:ptCount val="12"/>
                <c:pt idx="0">
                  <c:v>498</c:v>
                </c:pt>
                <c:pt idx="1">
                  <c:v>1443</c:v>
                </c:pt>
                <c:pt idx="2">
                  <c:v>2477</c:v>
                </c:pt>
                <c:pt idx="3">
                  <c:v>3470</c:v>
                </c:pt>
                <c:pt idx="4">
                  <c:v>4438</c:v>
                </c:pt>
                <c:pt idx="5">
                  <c:v>5423</c:v>
                </c:pt>
                <c:pt idx="6">
                  <c:v>6453</c:v>
                </c:pt>
                <c:pt idx="7">
                  <c:v>7292</c:v>
                </c:pt>
                <c:pt idx="8">
                  <c:v>8481</c:v>
                </c:pt>
                <c:pt idx="9">
                  <c:v>9509</c:v>
                </c:pt>
                <c:pt idx="10">
                  <c:v>10446</c:v>
                </c:pt>
                <c:pt idx="11">
                  <c:v>11407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E-A647-9B36-7BADAC322A8C}"/>
            </c:ext>
          </c:extLst>
        </c:ser>
        <c:ser>
          <c:idx val="1"/>
          <c:order val="1"/>
          <c:tx>
            <c:v>Aj lin (6)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(v)'!$S$70:$S$81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(v)'!$U$70:$U$81</c:f>
              <c:numCache>
                <c:formatCode>General</c:formatCode>
                <c:ptCount val="12"/>
                <c:pt idx="0" formatCode="0.0E+00">
                  <c:v>465.96153846153777</c:v>
                </c:pt>
                <c:pt idx="1">
                  <c:v>1462.1048951048945</c:v>
                </c:pt>
                <c:pt idx="2">
                  <c:v>2458.2482517482513</c:v>
                </c:pt>
                <c:pt idx="3">
                  <c:v>3454.3916083916079</c:v>
                </c:pt>
                <c:pt idx="4">
                  <c:v>4450.5349650349644</c:v>
                </c:pt>
                <c:pt idx="5">
                  <c:v>5446.6783216783215</c:v>
                </c:pt>
                <c:pt idx="6">
                  <c:v>6442.8216783216776</c:v>
                </c:pt>
                <c:pt idx="7">
                  <c:v>7438.9650349650346</c:v>
                </c:pt>
                <c:pt idx="8">
                  <c:v>8435.1083916083917</c:v>
                </c:pt>
                <c:pt idx="9">
                  <c:v>9431.2517482517469</c:v>
                </c:pt>
                <c:pt idx="10">
                  <c:v>10427.395104895106</c:v>
                </c:pt>
                <c:pt idx="11">
                  <c:v>11423.538461538461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EE-A647-9B36-7BADAC322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18031"/>
        <c:axId val="157901183"/>
      </c:scatterChart>
      <c:valAx>
        <c:axId val="15731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901183"/>
        <c:crosses val="autoZero"/>
        <c:crossBetween val="midCat"/>
      </c:valAx>
      <c:valAx>
        <c:axId val="1579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731803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527264759145631"/>
          <c:y val="8.4516283261734049E-2"/>
          <c:w val="0.2690858189449461"/>
          <c:h val="0.20473499338487355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28449284187577"/>
          <c:y val="6.3165167191008398E-2"/>
          <c:w val="0.79157597448058348"/>
          <c:h val="0.7565554772835994"/>
        </c:manualLayout>
      </c:layout>
      <c:scatterChart>
        <c:scatterStyle val="lineMarker"/>
        <c:varyColors val="0"/>
        <c:ser>
          <c:idx val="0"/>
          <c:order val="0"/>
          <c:tx>
            <c:v>Res. de f - 7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(v)'!$S$86:$S$96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(v)'!$V$86:$V$96</c:f>
              <c:numCache>
                <c:formatCode>General</c:formatCode>
                <c:ptCount val="11"/>
                <c:pt idx="0">
                  <c:v>71.538461538460638</c:v>
                </c:pt>
                <c:pt idx="1">
                  <c:v>-10.604895104895832</c:v>
                </c:pt>
                <c:pt idx="2">
                  <c:v>-19.748251748252187</c:v>
                </c:pt>
                <c:pt idx="3">
                  <c:v>-25.89160839160877</c:v>
                </c:pt>
                <c:pt idx="4">
                  <c:v>-17.034965034965353</c:v>
                </c:pt>
                <c:pt idx="5">
                  <c:v>-18.178321678321481</c:v>
                </c:pt>
                <c:pt idx="6">
                  <c:v>-6.3216783216785188</c:v>
                </c:pt>
                <c:pt idx="7">
                  <c:v>-1.465034965034647</c:v>
                </c:pt>
                <c:pt idx="8">
                  <c:v>-31.608391608390775</c:v>
                </c:pt>
                <c:pt idx="9">
                  <c:v>10.248251748253097</c:v>
                </c:pt>
                <c:pt idx="10">
                  <c:v>44.10489510489424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1-D24C-84BF-D9F3B53A8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32815"/>
        <c:axId val="126125727"/>
      </c:scatterChart>
      <c:valAx>
        <c:axId val="17533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125727"/>
        <c:crossesAt val="-90"/>
        <c:crossBetween val="midCat"/>
      </c:valAx>
      <c:valAx>
        <c:axId val="12612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533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454090291696557"/>
          <c:y val="8.3873475222837696E-2"/>
          <c:w val="0.1919040925506576"/>
          <c:h val="9.605529146512430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6978007059461"/>
          <c:y val="6.3680737511373195E-2"/>
          <c:w val="0.80423431984795002"/>
          <c:h val="0.75456842055360751"/>
        </c:manualLayout>
      </c:layout>
      <c:scatterChart>
        <c:scatterStyle val="lineMarker"/>
        <c:varyColors val="0"/>
        <c:ser>
          <c:idx val="0"/>
          <c:order val="0"/>
          <c:tx>
            <c:v>Dados Exp. (7)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(v)'!$S$86:$S$97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(v)'!$T$86:$T$97</c:f>
              <c:numCache>
                <c:formatCode>General</c:formatCode>
                <c:ptCount val="12"/>
                <c:pt idx="0">
                  <c:v>355</c:v>
                </c:pt>
                <c:pt idx="1">
                  <c:v>1376</c:v>
                </c:pt>
                <c:pt idx="2">
                  <c:v>2324</c:v>
                </c:pt>
                <c:pt idx="3">
                  <c:v>3269</c:v>
                </c:pt>
                <c:pt idx="4">
                  <c:v>4199</c:v>
                </c:pt>
                <c:pt idx="5">
                  <c:v>5139</c:v>
                </c:pt>
                <c:pt idx="6">
                  <c:v>6066</c:v>
                </c:pt>
                <c:pt idx="7">
                  <c:v>7000</c:v>
                </c:pt>
                <c:pt idx="8">
                  <c:v>7969</c:v>
                </c:pt>
                <c:pt idx="9">
                  <c:v>8866</c:v>
                </c:pt>
                <c:pt idx="10">
                  <c:v>9771</c:v>
                </c:pt>
                <c:pt idx="11">
                  <c:v>10749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E-CA46-8E57-666D4B9E87D4}"/>
            </c:ext>
          </c:extLst>
        </c:ser>
        <c:ser>
          <c:idx val="1"/>
          <c:order val="1"/>
          <c:tx>
            <c:v>Aj lin (7)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(v)'!$S$86:$S$97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(v)'!$U$86:$U$97</c:f>
              <c:numCache>
                <c:formatCode>General</c:formatCode>
                <c:ptCount val="12"/>
                <c:pt idx="0">
                  <c:v>426.53846153846064</c:v>
                </c:pt>
                <c:pt idx="1">
                  <c:v>1365.3951048951042</c:v>
                </c:pt>
                <c:pt idx="2">
                  <c:v>2304.2517482517478</c:v>
                </c:pt>
                <c:pt idx="3">
                  <c:v>3243.1083916083912</c:v>
                </c:pt>
                <c:pt idx="4">
                  <c:v>4181.9650349650346</c:v>
                </c:pt>
                <c:pt idx="5">
                  <c:v>5120.8216783216785</c:v>
                </c:pt>
                <c:pt idx="6">
                  <c:v>6059.6783216783215</c:v>
                </c:pt>
                <c:pt idx="7">
                  <c:v>6998.5349650349654</c:v>
                </c:pt>
                <c:pt idx="8">
                  <c:v>7937.3916083916092</c:v>
                </c:pt>
                <c:pt idx="9">
                  <c:v>8876.2482517482531</c:v>
                </c:pt>
                <c:pt idx="10">
                  <c:v>9815.1048951048942</c:v>
                </c:pt>
                <c:pt idx="11">
                  <c:v>10753.961538461539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8E-CA46-8E57-666D4B9E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61695"/>
        <c:axId val="450294367"/>
      </c:scatterChart>
      <c:valAx>
        <c:axId val="13316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50294367"/>
        <c:crosses val="autoZero"/>
        <c:crossBetween val="midCat"/>
      </c:valAx>
      <c:valAx>
        <c:axId val="45029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316169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298308794142223"/>
          <c:y val="0.5874045999452322"/>
          <c:w val="0.28095174805871398"/>
          <c:h val="0.1926922430067084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9940945892393"/>
          <c:y val="5.9067519629274153E-2"/>
          <c:w val="0.79868986532131714"/>
          <c:h val="0.78317369344904364"/>
        </c:manualLayout>
      </c:layout>
      <c:scatterChart>
        <c:scatterStyle val="lineMarker"/>
        <c:varyColors val="0"/>
        <c:ser>
          <c:idx val="0"/>
          <c:order val="0"/>
          <c:tx>
            <c:v>Dados Exp (8)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487BD9"/>
              </a:solidFill>
              <a:ln w="9525">
                <a:solidFill>
                  <a:srgbClr val="487BD9"/>
                </a:solidFill>
              </a:ln>
              <a:effectLst/>
            </c:spPr>
          </c:marker>
          <c:xVal>
            <c:numRef>
              <c:f>'1ª Parte (v)'!$S$102:$S$115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(v)'!$T$102:$T$115</c:f>
              <c:numCache>
                <c:formatCode>General</c:formatCode>
                <c:ptCount val="14"/>
                <c:pt idx="0">
                  <c:v>268</c:v>
                </c:pt>
                <c:pt idx="1">
                  <c:v>1149</c:v>
                </c:pt>
                <c:pt idx="2">
                  <c:v>1930</c:v>
                </c:pt>
                <c:pt idx="3">
                  <c:v>2697</c:v>
                </c:pt>
                <c:pt idx="4">
                  <c:v>3476</c:v>
                </c:pt>
                <c:pt idx="5">
                  <c:v>4216</c:v>
                </c:pt>
                <c:pt idx="6">
                  <c:v>5023</c:v>
                </c:pt>
                <c:pt idx="7">
                  <c:v>5813</c:v>
                </c:pt>
                <c:pt idx="8">
                  <c:v>6593</c:v>
                </c:pt>
                <c:pt idx="9">
                  <c:v>7267</c:v>
                </c:pt>
                <c:pt idx="10">
                  <c:v>8081</c:v>
                </c:pt>
                <c:pt idx="11">
                  <c:v>8755</c:v>
                </c:pt>
                <c:pt idx="12">
                  <c:v>9645</c:v>
                </c:pt>
                <c:pt idx="13">
                  <c:v>10414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5-7C46-98A2-40C8488AE7DA}"/>
            </c:ext>
          </c:extLst>
        </c:ser>
        <c:ser>
          <c:idx val="1"/>
          <c:order val="1"/>
          <c:tx>
            <c:v>Aj. lin (8)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(v)'!$S$102:$S$115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'1ª Parte (v)'!$U$102:$U$115</c:f>
              <c:numCache>
                <c:formatCode>General</c:formatCode>
                <c:ptCount val="14"/>
                <c:pt idx="0">
                  <c:v>361.31428571428569</c:v>
                </c:pt>
                <c:pt idx="1">
                  <c:v>1133.4967032967033</c:v>
                </c:pt>
                <c:pt idx="2">
                  <c:v>1905.679120879121</c:v>
                </c:pt>
                <c:pt idx="3">
                  <c:v>2677.8615384615387</c:v>
                </c:pt>
                <c:pt idx="4">
                  <c:v>3450.0439560439563</c:v>
                </c:pt>
                <c:pt idx="5">
                  <c:v>4222.226373626374</c:v>
                </c:pt>
                <c:pt idx="6">
                  <c:v>4994.4087912087916</c:v>
                </c:pt>
                <c:pt idx="7">
                  <c:v>5766.5912087912093</c:v>
                </c:pt>
                <c:pt idx="8">
                  <c:v>6538.7736263736269</c:v>
                </c:pt>
                <c:pt idx="9">
                  <c:v>7310.9560439560446</c:v>
                </c:pt>
                <c:pt idx="10">
                  <c:v>8083.1384615384613</c:v>
                </c:pt>
                <c:pt idx="11">
                  <c:v>8855.3208791208799</c:v>
                </c:pt>
                <c:pt idx="12">
                  <c:v>9627.5032967032985</c:v>
                </c:pt>
                <c:pt idx="13">
                  <c:v>10399.685714285715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A5-7C46-98A2-40C8488AE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171727"/>
        <c:axId val="121496975"/>
      </c:scatterChart>
      <c:valAx>
        <c:axId val="56917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1496975"/>
        <c:crosses val="autoZero"/>
        <c:crossBetween val="midCat"/>
      </c:valAx>
      <c:valAx>
        <c:axId val="1214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9171727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37963649918474"/>
          <c:y val="7.4148129669484031E-2"/>
          <c:w val="0.26748319886071981"/>
          <c:h val="0.23954944632128164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97578543976335"/>
          <c:y val="5.6685960993404221E-2"/>
          <c:w val="0.7735925513666051"/>
          <c:h val="0.7712204118151883"/>
        </c:manualLayout>
      </c:layout>
      <c:scatterChart>
        <c:scatterStyle val="lineMarker"/>
        <c:varyColors val="0"/>
        <c:ser>
          <c:idx val="0"/>
          <c:order val="0"/>
          <c:tx>
            <c:v>Res. de f - 8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(v)'!$S$102:$S$114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'1ª Parte (v)'!$V$102:$V$114</c:f>
              <c:numCache>
                <c:formatCode>0.00000</c:formatCode>
                <c:ptCount val="13"/>
                <c:pt idx="0">
                  <c:v>93.314285714285688</c:v>
                </c:pt>
                <c:pt idx="1">
                  <c:v>-15.503296703296655</c:v>
                </c:pt>
                <c:pt idx="2">
                  <c:v>-24.320879120878999</c:v>
                </c:pt>
                <c:pt idx="3">
                  <c:v>-19.138461538461343</c:v>
                </c:pt>
                <c:pt idx="4">
                  <c:v>-25.956043956043686</c:v>
                </c:pt>
                <c:pt idx="5">
                  <c:v>6.2263736263739702</c:v>
                </c:pt>
                <c:pt idx="6">
                  <c:v>-28.591208791208373</c:v>
                </c:pt>
                <c:pt idx="7">
                  <c:v>-46.408791208790717</c:v>
                </c:pt>
                <c:pt idx="8">
                  <c:v>-54.226373626373061</c:v>
                </c:pt>
                <c:pt idx="9">
                  <c:v>43.956043956044596</c:v>
                </c:pt>
                <c:pt idx="10">
                  <c:v>2.1384615384613426</c:v>
                </c:pt>
                <c:pt idx="11">
                  <c:v>100.32087912087991</c:v>
                </c:pt>
                <c:pt idx="12">
                  <c:v>-17.496703296701526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75-FF4A-A6A9-EEAECCE69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65471"/>
        <c:axId val="138560175"/>
      </c:scatterChart>
      <c:valAx>
        <c:axId val="18336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8560175"/>
        <c:crossesAt val="-99990"/>
        <c:crossBetween val="midCat"/>
      </c:valAx>
      <c:valAx>
        <c:axId val="13856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  <a:r>
                  <a:rPr lang="pt-PT" baseline="0"/>
                  <a:t> (Hz)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365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775087416658629"/>
          <c:y val="6.7277361257961785E-2"/>
          <c:w val="0.22809550859229796"/>
          <c:h val="0.172410407777990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332974053485378"/>
          <c:h val="0.78979475312098568"/>
        </c:manualLayout>
      </c:layout>
      <c:scatterChart>
        <c:scatterStyle val="lineMarker"/>
        <c:varyColors val="0"/>
        <c:ser>
          <c:idx val="0"/>
          <c:order val="0"/>
          <c:tx>
            <c:v>Res. De f - 9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(v)'!$S$120:$S$130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(v)'!$V$120:$V$130</c:f>
              <c:numCache>
                <c:formatCode>0</c:formatCode>
                <c:ptCount val="11"/>
                <c:pt idx="0">
                  <c:v>-0.6794871794888877</c:v>
                </c:pt>
                <c:pt idx="1">
                  <c:v>-2.0256410256424715</c:v>
                </c:pt>
                <c:pt idx="2">
                  <c:v>0.6282051282039447</c:v>
                </c:pt>
                <c:pt idx="3">
                  <c:v>-0.7179487179496391</c:v>
                </c:pt>
                <c:pt idx="4">
                  <c:v>-1.0641025641029955</c:v>
                </c:pt>
                <c:pt idx="5">
                  <c:v>5.5897435897431933</c:v>
                </c:pt>
                <c:pt idx="6">
                  <c:v>-0.75641025641016313</c:v>
                </c:pt>
                <c:pt idx="7">
                  <c:v>11.897435897435571</c:v>
                </c:pt>
                <c:pt idx="8">
                  <c:v>-43.448717948716876</c:v>
                </c:pt>
                <c:pt idx="9">
                  <c:v>50.205128205128858</c:v>
                </c:pt>
                <c:pt idx="10">
                  <c:v>-12.141025641025408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1-874A-85B7-143591490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48959"/>
        <c:axId val="219104575"/>
      </c:scatterChart>
      <c:valAx>
        <c:axId val="206548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9104575"/>
        <c:crossesAt val="-9990"/>
        <c:crossBetween val="midCat"/>
      </c:valAx>
      <c:valAx>
        <c:axId val="21910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548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431299212598426"/>
          <c:y val="8.5948527267424912E-2"/>
          <c:w val="0.18557502855698535"/>
          <c:h val="8.163924743986664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870816279891"/>
          <c:y val="5.0925925925925923E-2"/>
          <c:w val="0.805176282384227"/>
          <c:h val="0.79446741032370949"/>
        </c:manualLayout>
      </c:layout>
      <c:scatterChart>
        <c:scatterStyle val="lineMarker"/>
        <c:varyColors val="0"/>
        <c:ser>
          <c:idx val="0"/>
          <c:order val="0"/>
          <c:tx>
            <c:v>Dados exp (9)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(v)'!$S$120:$S$131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'1ª Parte (v)'!$T$120:$T$130</c:f>
              <c:numCache>
                <c:formatCode>General</c:formatCode>
                <c:ptCount val="11"/>
                <c:pt idx="0">
                  <c:v>308</c:v>
                </c:pt>
                <c:pt idx="1">
                  <c:v>964</c:v>
                </c:pt>
                <c:pt idx="2">
                  <c:v>1616</c:v>
                </c:pt>
                <c:pt idx="3">
                  <c:v>2272</c:v>
                </c:pt>
                <c:pt idx="4">
                  <c:v>2927</c:v>
                </c:pt>
                <c:pt idx="5">
                  <c:v>3575</c:v>
                </c:pt>
                <c:pt idx="6">
                  <c:v>4236</c:v>
                </c:pt>
                <c:pt idx="7">
                  <c:v>4878</c:v>
                </c:pt>
                <c:pt idx="8">
                  <c:v>5588</c:v>
                </c:pt>
                <c:pt idx="9">
                  <c:v>6149</c:v>
                </c:pt>
                <c:pt idx="10">
                  <c:v>6866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E-9349-8EA7-E4006A4A5FDB}"/>
            </c:ext>
          </c:extLst>
        </c:ser>
        <c:ser>
          <c:idx val="1"/>
          <c:order val="1"/>
          <c:tx>
            <c:v>Aj. Lin (9)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'1ª Parte (v)'!$S$120:$S$130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'1ª Parte (v)'!$U$120:$U$130</c:f>
              <c:numCache>
                <c:formatCode>0</c:formatCode>
                <c:ptCount val="11"/>
                <c:pt idx="0">
                  <c:v>307.32051282051111</c:v>
                </c:pt>
                <c:pt idx="1">
                  <c:v>961.97435897435753</c:v>
                </c:pt>
                <c:pt idx="2">
                  <c:v>1616.6282051282039</c:v>
                </c:pt>
                <c:pt idx="3">
                  <c:v>2271.2820512820504</c:v>
                </c:pt>
                <c:pt idx="4">
                  <c:v>2925.935897435897</c:v>
                </c:pt>
                <c:pt idx="5">
                  <c:v>3580.5897435897432</c:v>
                </c:pt>
                <c:pt idx="6">
                  <c:v>4235.2435897435898</c:v>
                </c:pt>
                <c:pt idx="7">
                  <c:v>4889.8974358974356</c:v>
                </c:pt>
                <c:pt idx="8">
                  <c:v>5544.5512820512831</c:v>
                </c:pt>
                <c:pt idx="9">
                  <c:v>6199.2051282051289</c:v>
                </c:pt>
                <c:pt idx="10">
                  <c:v>6853.8589743589746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DE-9349-8EA7-E4006A4A5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858511"/>
        <c:axId val="177046543"/>
      </c:scatterChart>
      <c:valAx>
        <c:axId val="21785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7046543"/>
        <c:crosses val="autoZero"/>
        <c:crossBetween val="midCat"/>
      </c:valAx>
      <c:valAx>
        <c:axId val="17704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f (Hz) x 10</a:t>
                </a:r>
                <a:r>
                  <a:rPr lang="pt-PT" sz="1000" b="0" i="0" baseline="30000">
                    <a:effectLst/>
                  </a:rPr>
                  <a:t>3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7858511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632921338853011"/>
          <c:y val="0.64856899735598239"/>
          <c:w val="0.27090150123522638"/>
          <c:h val="0.16385747095141986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12510936132985"/>
          <c:y val="5.0925925925925923E-2"/>
          <c:w val="0.81048009623797024"/>
          <c:h val="0.77615805605454202"/>
        </c:manualLayout>
      </c:layout>
      <c:scatterChart>
        <c:scatterStyle val="lineMarker"/>
        <c:varyColors val="0"/>
        <c:ser>
          <c:idx val="0"/>
          <c:order val="0"/>
          <c:tx>
            <c:v>Res. de f - 5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'1ª Parte (v)'!$S$55:$S$64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'1ª Parte (v)'!$V$55:$V$64</c:f>
              <c:numCache>
                <c:formatCode>General</c:formatCode>
                <c:ptCount val="10"/>
                <c:pt idx="0">
                  <c:v>-43.054545454546997</c:v>
                </c:pt>
                <c:pt idx="1">
                  <c:v>-14.17575757575878</c:v>
                </c:pt>
                <c:pt idx="2">
                  <c:v>16.703030303029664</c:v>
                </c:pt>
                <c:pt idx="3">
                  <c:v>20.581818181817653</c:v>
                </c:pt>
                <c:pt idx="4">
                  <c:v>61.460606060605642</c:v>
                </c:pt>
                <c:pt idx="5">
                  <c:v>-4.6606060606054598</c:v>
                </c:pt>
                <c:pt idx="6">
                  <c:v>13.218181818182529</c:v>
                </c:pt>
                <c:pt idx="7">
                  <c:v>-16.903030303030391</c:v>
                </c:pt>
                <c:pt idx="8">
                  <c:v>-34.024242424242402</c:v>
                </c:pt>
                <c:pt idx="9">
                  <c:v>0.85454545454558684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4F-4B63-AB2F-79E67D645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96527"/>
        <c:axId val="172300863"/>
      </c:scatterChart>
      <c:valAx>
        <c:axId val="16509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300863"/>
        <c:crossesAt val="-990"/>
        <c:crossBetween val="midCat"/>
      </c:valAx>
      <c:valAx>
        <c:axId val="172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(Hz)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5096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986854768153982"/>
          <c:y val="8.5948527267424912E-2"/>
          <c:w val="0.17624256342957131"/>
          <c:h val="7.3473315835520567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169092637969499"/>
          <c:y val="6.6183845172440428E-2"/>
          <c:w val="0.63967354533152909"/>
          <c:h val="0.7028042147312827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Δy!$N$5:$N$9</c:f>
              <c:numCache>
                <c:formatCode>0.0E+00</c:formatCode>
                <c:ptCount val="5"/>
                <c:pt idx="0">
                  <c:v>6.0630308721807413E-2</c:v>
                </c:pt>
                <c:pt idx="1">
                  <c:v>1.2447652049732083E-2</c:v>
                </c:pt>
                <c:pt idx="2">
                  <c:v>-0.11959444777347272</c:v>
                </c:pt>
                <c:pt idx="3">
                  <c:v>6.3570500305304645E-2</c:v>
                </c:pt>
                <c:pt idx="4">
                  <c:v>-1.7054013303370308E-2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7B-6543-B2A4-C16FBAC56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85119"/>
        <c:axId val="4894623"/>
      </c:scatterChart>
      <c:valAx>
        <c:axId val="311285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894623"/>
        <c:crossesAt val="-90"/>
        <c:crossBetween val="midCat"/>
      </c:valAx>
      <c:valAx>
        <c:axId val="489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1285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679247137451477"/>
          <c:y val="0.61866658548797626"/>
          <c:w val="0.24125292467782208"/>
          <c:h val="9.734718338720509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23062886022143"/>
          <c:y val="5.2240977119424298E-2"/>
          <c:w val="0.79407264064548966"/>
          <c:h val="0.76537481498766324"/>
        </c:manualLayout>
      </c:layout>
      <c:scatterChart>
        <c:scatterStyle val="lineMarker"/>
        <c:varyColors val="0"/>
        <c:ser>
          <c:idx val="0"/>
          <c:order val="0"/>
          <c:tx>
            <c:v>Δy (Exp)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0BD-4E7E-AF7B-4472FCD22EC7}"/>
              </c:ext>
            </c:extLst>
          </c:dPt>
          <c:dPt>
            <c:idx val="4"/>
            <c:marker>
              <c:symbol val="circle"/>
              <c:size val="3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0BD-4E7E-AF7B-4472FCD22EC7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Δy!$AF$6:$AO$6</c:f>
                <c:numCache>
                  <c:formatCode>General</c:formatCode>
                  <c:ptCount val="10"/>
                  <c:pt idx="0">
                    <c:v>1.2717161151949949E-5</c:v>
                  </c:pt>
                  <c:pt idx="1">
                    <c:v>4.0986246628203344E-6</c:v>
                  </c:pt>
                  <c:pt idx="2">
                    <c:v>2.4381170447608605E-6</c:v>
                  </c:pt>
                  <c:pt idx="3">
                    <c:v>9.0997089368308321E-7</c:v>
                  </c:pt>
                  <c:pt idx="4">
                    <c:v>1.4191241662273084E-6</c:v>
                  </c:pt>
                  <c:pt idx="5">
                    <c:v>1.5274867002870015E-6</c:v>
                  </c:pt>
                  <c:pt idx="6">
                    <c:v>1.5231681522936081E-6</c:v>
                  </c:pt>
                  <c:pt idx="7">
                    <c:v>4.1640879513949262E-6</c:v>
                  </c:pt>
                  <c:pt idx="8">
                    <c:v>1.7483093533739674E-6</c:v>
                  </c:pt>
                </c:numCache>
              </c:numRef>
            </c:plus>
            <c:minus>
              <c:numRef>
                <c:f>Δy!$AF$6:$AO$6</c:f>
                <c:numCache>
                  <c:formatCode>General</c:formatCode>
                  <c:ptCount val="10"/>
                  <c:pt idx="0">
                    <c:v>1.2717161151949949E-5</c:v>
                  </c:pt>
                  <c:pt idx="1">
                    <c:v>4.0986246628203344E-6</c:v>
                  </c:pt>
                  <c:pt idx="2">
                    <c:v>2.4381170447608605E-6</c:v>
                  </c:pt>
                  <c:pt idx="3">
                    <c:v>9.0997089368308321E-7</c:v>
                  </c:pt>
                  <c:pt idx="4">
                    <c:v>1.4191241662273084E-6</c:v>
                  </c:pt>
                  <c:pt idx="5">
                    <c:v>1.5274867002870015E-6</c:v>
                  </c:pt>
                  <c:pt idx="6">
                    <c:v>1.5231681522936081E-6</c:v>
                  </c:pt>
                  <c:pt idx="7">
                    <c:v>4.1640879513949262E-6</c:v>
                  </c:pt>
                  <c:pt idx="8">
                    <c:v>1.7483093533739674E-6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Δy!$AG$3:$AN$3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Δy!$AG$5:$AN$5</c:f>
              <c:numCache>
                <c:formatCode>General</c:formatCode>
                <c:ptCount val="8"/>
                <c:pt idx="0">
                  <c:v>4.1824764506684268E-6</c:v>
                </c:pt>
                <c:pt idx="1">
                  <c:v>2.9683538044407154E-6</c:v>
                </c:pt>
                <c:pt idx="2">
                  <c:v>3.6883822757035171E-6</c:v>
                </c:pt>
                <c:pt idx="3">
                  <c:v>5.5770842272083955E-6</c:v>
                </c:pt>
                <c:pt idx="4">
                  <c:v>2.1058152117853224E-6</c:v>
                </c:pt>
                <c:pt idx="5">
                  <c:v>2.7120961735686456E-6</c:v>
                </c:pt>
                <c:pt idx="6">
                  <c:v>3.4166556832958331E-6</c:v>
                </c:pt>
                <c:pt idx="7">
                  <c:v>3.9524208401856779E-6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F-B94C-81C4-1BA1ABE5C518}"/>
            </c:ext>
          </c:extLst>
        </c:ser>
        <c:ser>
          <c:idx val="2"/>
          <c:order val="1"/>
          <c:tx>
            <c:v>Δy (média)</c:v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Δy!$AF$3:$AN$3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Δy!$AF$2:$AN$2</c:f>
              <c:numCache>
                <c:formatCode>0.0000000</c:formatCode>
                <c:ptCount val="9"/>
                <c:pt idx="0">
                  <c:v>3.5754105833570664E-6</c:v>
                </c:pt>
                <c:pt idx="1">
                  <c:v>3.5754105833570664E-6</c:v>
                </c:pt>
                <c:pt idx="2">
                  <c:v>3.5754105833570664E-6</c:v>
                </c:pt>
                <c:pt idx="3">
                  <c:v>3.5754105833570664E-6</c:v>
                </c:pt>
                <c:pt idx="4">
                  <c:v>3.5754105833570664E-6</c:v>
                </c:pt>
                <c:pt idx="5">
                  <c:v>3.5754105833570664E-6</c:v>
                </c:pt>
                <c:pt idx="6">
                  <c:v>3.5754105833570664E-6</c:v>
                </c:pt>
                <c:pt idx="7">
                  <c:v>3.5754105833570664E-6</c:v>
                </c:pt>
                <c:pt idx="8">
                  <c:v>3.5754105833570664E-6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AC-8240-9E43-A8BFAE95C0D8}"/>
            </c:ext>
          </c:extLst>
        </c:ser>
        <c:ser>
          <c:idx val="1"/>
          <c:order val="2"/>
          <c:tx>
            <c:v>Δy (ref)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Δy!$AF$3:$AO$3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Δy!$AF$4:$AN$4</c:f>
              <c:numCache>
                <c:formatCode>0.000E+00</c:formatCode>
                <c:ptCount val="9"/>
                <c:pt idx="0">
                  <c:v>3.1456683333333339E-4</c:v>
                </c:pt>
                <c:pt idx="1">
                  <c:v>3.1456683333333339E-4</c:v>
                </c:pt>
                <c:pt idx="2">
                  <c:v>3.1456683333333339E-4</c:v>
                </c:pt>
                <c:pt idx="3">
                  <c:v>3.1456683333333339E-4</c:v>
                </c:pt>
                <c:pt idx="4">
                  <c:v>3.1456683333333339E-4</c:v>
                </c:pt>
                <c:pt idx="5">
                  <c:v>3.1456683333333339E-4</c:v>
                </c:pt>
                <c:pt idx="6">
                  <c:v>3.1456683333333339E-4</c:v>
                </c:pt>
                <c:pt idx="7">
                  <c:v>3.1456683333333339E-4</c:v>
                </c:pt>
                <c:pt idx="8">
                  <c:v>3.1456683333333339E-4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EF-B94C-81C4-1BA1ABE5C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821792"/>
        <c:axId val="224248799"/>
      </c:scatterChart>
      <c:valAx>
        <c:axId val="170682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248799"/>
        <c:crosses val="autoZero"/>
        <c:crossBetween val="midCat"/>
      </c:valAx>
      <c:valAx>
        <c:axId val="2242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pt-PT"/>
                  <a:t>y</a:t>
                </a:r>
                <a:r>
                  <a:rPr lang="pt-PT" baseline="0"/>
                  <a:t> (m)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682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9430383981232"/>
          <c:y val="0.19767252194546886"/>
          <c:w val="0.25801529235050513"/>
          <c:h val="0.2463761510224299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(n=2)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Δy!$N$15:$N$20</c:f>
              <c:numCache>
                <c:formatCode>0.0E+00</c:formatCode>
                <c:ptCount val="6"/>
                <c:pt idx="0">
                  <c:v>-1.8786217367407598E-2</c:v>
                </c:pt>
                <c:pt idx="1">
                  <c:v>-5.6440304107712169E-3</c:v>
                </c:pt>
                <c:pt idx="2">
                  <c:v>2.9123872872308665E-2</c:v>
                </c:pt>
                <c:pt idx="3">
                  <c:v>1.4954656814454292E-2</c:v>
                </c:pt>
                <c:pt idx="4">
                  <c:v>-1.9335222524188289E-2</c:v>
                </c:pt>
                <c:pt idx="5">
                  <c:v>-3.1305938439496472E-4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5-4549-8537-E73A2ED97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81808"/>
        <c:axId val="224647775"/>
      </c:scatterChart>
      <c:valAx>
        <c:axId val="171448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47775"/>
        <c:crossesAt val="-990"/>
        <c:crossBetween val="midCat"/>
      </c:valAx>
      <c:valAx>
        <c:axId val="22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448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784973532050139"/>
          <c:y val="8.4705216640379694E-2"/>
          <c:w val="0.24982865982469071"/>
          <c:h val="9.0500592248199507E-2"/>
        </c:manualLayout>
      </c:layout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Δy!$N$25:$N$30</c:f>
              <c:numCache>
                <c:formatCode>General</c:formatCode>
                <c:ptCount val="6"/>
                <c:pt idx="0">
                  <c:v>-9.5685413045887291E-3</c:v>
                </c:pt>
                <c:pt idx="1">
                  <c:v>1.2622484357499131E-2</c:v>
                </c:pt>
                <c:pt idx="2">
                  <c:v>-3.5484834491326112E-3</c:v>
                </c:pt>
                <c:pt idx="3">
                  <c:v>9.6912167888525413E-3</c:v>
                </c:pt>
                <c:pt idx="4">
                  <c:v>-1.5927822898035959E-2</c:v>
                </c:pt>
                <c:pt idx="5">
                  <c:v>6.7311465054045172E-3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A-1945-9EAA-A592089B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482704"/>
        <c:axId val="1709796592"/>
      </c:scatterChart>
      <c:valAx>
        <c:axId val="172048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09796592"/>
        <c:crossesAt val="-100"/>
        <c:crossBetween val="midCat"/>
      </c:valAx>
      <c:valAx>
        <c:axId val="170979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2048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38286956476961"/>
          <c:y val="6.7479527614864948E-2"/>
          <c:w val="0.24581584032529127"/>
          <c:h val="9.6753266394499104E-2"/>
        </c:manualLayout>
      </c:layout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(n=4)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Δy!$N$35:$N$40</c:f>
              <c:numCache>
                <c:formatCode>General</c:formatCode>
                <c:ptCount val="6"/>
                <c:pt idx="0">
                  <c:v>-2.0768177114007802E-3</c:v>
                </c:pt>
                <c:pt idx="1">
                  <c:v>3.4827365038241354E-3</c:v>
                </c:pt>
                <c:pt idx="2">
                  <c:v>-2.1448469456450958E-3</c:v>
                </c:pt>
                <c:pt idx="3">
                  <c:v>4.1185162045811463E-3</c:v>
                </c:pt>
                <c:pt idx="4">
                  <c:v>-6.5430566964024273E-3</c:v>
                </c:pt>
                <c:pt idx="5">
                  <c:v>3.1634686450439098E-3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4-C040-9990-09D6054CD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674991"/>
        <c:axId val="300437999"/>
      </c:scatterChart>
      <c:valAx>
        <c:axId val="47167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1/f (x10-4 Hz-1)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00437999"/>
        <c:crosses val="autoZero"/>
        <c:crossBetween val="midCat"/>
      </c:valAx>
      <c:valAx>
        <c:axId val="30043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1674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solidFill>
          <a:sysClr val="window" lastClr="FFFFFF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07228579168309E-2"/>
          <c:y val="6.519656252897553E-2"/>
          <c:w val="0.82602186665052946"/>
          <c:h val="0.76547890163013277"/>
        </c:manualLayout>
      </c:layout>
      <c:scatterChart>
        <c:scatterStyle val="lineMarker"/>
        <c:varyColors val="0"/>
        <c:ser>
          <c:idx val="0"/>
          <c:order val="0"/>
          <c:tx>
            <c:v>n=1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Δy!$H$5:$H$9</c:f>
              <c:numCache>
                <c:formatCode>General</c:formatCode>
                <c:ptCount val="5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95-9A4D-989D-116BF8153058}"/>
            </c:ext>
          </c:extLst>
        </c:ser>
        <c:ser>
          <c:idx val="1"/>
          <c:order val="1"/>
          <c:tx>
            <c:v>n=2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Δy!$H$15:$H$20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95-9A4D-989D-116BF8153058}"/>
            </c:ext>
          </c:extLst>
        </c:ser>
        <c:ser>
          <c:idx val="2"/>
          <c:order val="2"/>
          <c:tx>
            <c:v>n=3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Δy!$H$25:$H$30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95-9A4D-989D-116BF8153058}"/>
            </c:ext>
          </c:extLst>
        </c:ser>
        <c:ser>
          <c:idx val="3"/>
          <c:order val="3"/>
          <c:tx>
            <c:v>n=4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Δy!$H$35:$H$40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95-9A4D-989D-116BF8153058}"/>
            </c:ext>
          </c:extLst>
        </c:ser>
        <c:ser>
          <c:idx val="4"/>
          <c:order val="4"/>
          <c:tx>
            <c:v>n=5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Δy!$H$45:$H$50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95-9A4D-989D-116BF8153058}"/>
            </c:ext>
          </c:extLst>
        </c:ser>
        <c:ser>
          <c:idx val="5"/>
          <c:order val="5"/>
          <c:tx>
            <c:v>n=6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Δy!$H$55:$H$60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95-9A4D-989D-116BF8153058}"/>
            </c:ext>
          </c:extLst>
        </c:ser>
        <c:ser>
          <c:idx val="6"/>
          <c:order val="6"/>
          <c:tx>
            <c:v>n=7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Δy!$H$65:$H$70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95-9A4D-989D-116BF8153058}"/>
            </c:ext>
          </c:extLst>
        </c:ser>
        <c:ser>
          <c:idx val="7"/>
          <c:order val="7"/>
          <c:tx>
            <c:v>n=8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Δy!$H$75:$H$80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95-9A4D-989D-116BF8153058}"/>
            </c:ext>
          </c:extLst>
        </c:ser>
        <c:ser>
          <c:idx val="8"/>
          <c:order val="8"/>
          <c:tx>
            <c:v>n=9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Δy!$H$85:$H$90</c:f>
              <c:numCache>
                <c:formatCode>General</c:formatCode>
                <c:ptCount val="6"/>
                <c:pt idx="0">
                  <c:v>1.407</c:v>
                </c:pt>
                <c:pt idx="1">
                  <c:v>1.4968000000000001</c:v>
                </c:pt>
                <c:pt idx="2">
                  <c:v>1.7000000000000002</c:v>
                </c:pt>
                <c:pt idx="3">
                  <c:v>1.8004000000000002</c:v>
                </c:pt>
                <c:pt idx="4">
                  <c:v>2.2015999999999996</c:v>
                </c:pt>
                <c:pt idx="5">
                  <c:v>2.6094000000000004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A95-9A4D-989D-116BF8153058}"/>
            </c:ext>
          </c:extLst>
        </c:ser>
        <c:ser>
          <c:idx val="10"/>
          <c:order val="9"/>
          <c:tx>
            <c:v>Aj lin (n=1)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Δy!$K$5:$K$9</c:f>
              <c:numCache>
                <c:formatCode>General</c:formatCode>
                <c:ptCount val="5"/>
                <c:pt idx="0">
                  <c:v>16.863406408094434</c:v>
                </c:pt>
                <c:pt idx="1">
                  <c:v>18.050541516245488</c:v>
                </c:pt>
                <c:pt idx="2">
                  <c:v>20.08032128514056</c:v>
                </c:pt>
                <c:pt idx="3">
                  <c:v>28.169014084507044</c:v>
                </c:pt>
                <c:pt idx="4">
                  <c:v>37.313432835820898</c:v>
                </c:pt>
              </c:numCache>
            </c:numRef>
          </c:xVal>
          <c:yVal>
            <c:numRef>
              <c:f>Δy!$M$5:$M$9</c:f>
              <c:numCache>
                <c:formatCode>0.0E+00</c:formatCode>
                <c:ptCount val="5"/>
                <c:pt idx="0">
                  <c:v>1.4676303087218074</c:v>
                </c:pt>
                <c:pt idx="1">
                  <c:v>1.5092476520497322</c:v>
                </c:pt>
                <c:pt idx="2">
                  <c:v>1.5804055522265275</c:v>
                </c:pt>
                <c:pt idx="3">
                  <c:v>1.8639705003053049</c:v>
                </c:pt>
                <c:pt idx="4">
                  <c:v>2.1845459866966292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A95-9A4D-989D-116BF8153058}"/>
            </c:ext>
          </c:extLst>
        </c:ser>
        <c:ser>
          <c:idx val="11"/>
          <c:order val="10"/>
          <c:tx>
            <c:v>Aj lin (n=2)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Δy!$K$15:$K$20</c:f>
              <c:numCache>
                <c:formatCode>General</c:formatCode>
                <c:ptCount val="6"/>
                <c:pt idx="0">
                  <c:v>5.5959709009513157</c:v>
                </c:pt>
                <c:pt idx="1">
                  <c:v>5.9988002399520095</c:v>
                </c:pt>
                <c:pt idx="2">
                  <c:v>6.9300069300069298</c:v>
                </c:pt>
                <c:pt idx="3">
                  <c:v>7.2674418604651159</c:v>
                </c:pt>
                <c:pt idx="4">
                  <c:v>8.7032201914708445</c:v>
                </c:pt>
                <c:pt idx="5">
                  <c:v>10.37344398340249</c:v>
                </c:pt>
              </c:numCache>
            </c:numRef>
          </c:xVal>
          <c:yVal>
            <c:numRef>
              <c:f>Δy!$M$15:$M$20</c:f>
              <c:numCache>
                <c:formatCode>0.0E+00</c:formatCode>
                <c:ptCount val="6"/>
                <c:pt idx="0">
                  <c:v>1.3882137826325924</c:v>
                </c:pt>
                <c:pt idx="1">
                  <c:v>1.4911559695892289</c:v>
                </c:pt>
                <c:pt idx="2">
                  <c:v>1.7291238728723088</c:v>
                </c:pt>
                <c:pt idx="3">
                  <c:v>1.8153546568144545</c:v>
                </c:pt>
                <c:pt idx="4">
                  <c:v>2.1822647774758113</c:v>
                </c:pt>
                <c:pt idx="5">
                  <c:v>2.6090869406156054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A95-9A4D-989D-116BF8153058}"/>
            </c:ext>
          </c:extLst>
        </c:ser>
        <c:ser>
          <c:idx val="12"/>
          <c:order val="11"/>
          <c:tx>
            <c:v>Aj lin (n=3)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Δy!$K$25:$K$30</c:f>
              <c:numCache>
                <c:formatCode>General</c:formatCode>
                <c:ptCount val="6"/>
                <c:pt idx="0">
                  <c:v>3.3377837116154874</c:v>
                </c:pt>
                <c:pt idx="1">
                  <c:v>3.599712023038157</c:v>
                </c:pt>
                <c:pt idx="2">
                  <c:v>4.0371417036737984</c:v>
                </c:pt>
                <c:pt idx="3">
                  <c:v>4.3029259896729775</c:v>
                </c:pt>
                <c:pt idx="4">
                  <c:v>5.1813471502590671</c:v>
                </c:pt>
                <c:pt idx="5">
                  <c:v>6.1881188118811883</c:v>
                </c:pt>
              </c:numCache>
            </c:numRef>
          </c:xVal>
          <c:yVal>
            <c:numRef>
              <c:f>Δy!$M$25:$M$30</c:f>
              <c:numCache>
                <c:formatCode>General</c:formatCode>
                <c:ptCount val="6"/>
                <c:pt idx="0">
                  <c:v>1.3974314586954113</c:v>
                </c:pt>
                <c:pt idx="1">
                  <c:v>1.5094224843574993</c:v>
                </c:pt>
                <c:pt idx="2">
                  <c:v>1.6964515165508676</c:v>
                </c:pt>
                <c:pt idx="3">
                  <c:v>1.8100912167888528</c:v>
                </c:pt>
                <c:pt idx="4">
                  <c:v>2.1856721771019636</c:v>
                </c:pt>
                <c:pt idx="5">
                  <c:v>2.6161311465054049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A95-9A4D-989D-116BF8153058}"/>
            </c:ext>
          </c:extLst>
        </c:ser>
        <c:ser>
          <c:idx val="13"/>
          <c:order val="12"/>
          <c:tx>
            <c:v>Aj lin (n=4)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Δy!$K$35:$K$40</c:f>
              <c:numCache>
                <c:formatCode>General</c:formatCode>
                <c:ptCount val="6"/>
                <c:pt idx="0">
                  <c:v>2.3952095808383231</c:v>
                </c:pt>
                <c:pt idx="1">
                  <c:v>2.5536261491317673</c:v>
                </c:pt>
                <c:pt idx="2">
                  <c:v>2.8818443804034581</c:v>
                </c:pt>
                <c:pt idx="3">
                  <c:v>3.0590394616090548</c:v>
                </c:pt>
                <c:pt idx="4">
                  <c:v>3.707823507601038</c:v>
                </c:pt>
                <c:pt idx="5">
                  <c:v>4.401408450704225</c:v>
                </c:pt>
              </c:numCache>
            </c:numRef>
          </c:xVal>
          <c:yVal>
            <c:numRef>
              <c:f>Δy!$M$35:$M$40</c:f>
              <c:numCache>
                <c:formatCode>General</c:formatCode>
                <c:ptCount val="6"/>
                <c:pt idx="0">
                  <c:v>1.4049231822885992</c:v>
                </c:pt>
                <c:pt idx="1">
                  <c:v>1.5002827365038243</c:v>
                </c:pt>
                <c:pt idx="2">
                  <c:v>1.6978551530543551</c:v>
                </c:pt>
                <c:pt idx="3">
                  <c:v>1.8045185162045814</c:v>
                </c:pt>
                <c:pt idx="4">
                  <c:v>2.1950569433035971</c:v>
                </c:pt>
                <c:pt idx="5">
                  <c:v>2.6125634686450443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A95-9A4D-989D-116BF8153058}"/>
            </c:ext>
          </c:extLst>
        </c:ser>
        <c:ser>
          <c:idx val="14"/>
          <c:order val="13"/>
          <c:tx>
            <c:v>Aj lin (n=5)</c:v>
          </c:tx>
          <c:spPr>
            <a:ln w="12700" cap="rnd">
              <a:solidFill>
                <a:srgbClr val="5895D9"/>
              </a:solidFill>
              <a:round/>
            </a:ln>
            <a:effectLst/>
          </c:spPr>
          <c:marker>
            <c:symbol val="none"/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Δy!$M$45:$M$50</c:f>
              <c:numCache>
                <c:formatCode>General</c:formatCode>
                <c:ptCount val="6"/>
                <c:pt idx="0">
                  <c:v>1.400278620259124</c:v>
                </c:pt>
                <c:pt idx="1">
                  <c:v>1.5012762708393232</c:v>
                </c:pt>
                <c:pt idx="2">
                  <c:v>1.7044151348527312</c:v>
                </c:pt>
                <c:pt idx="3">
                  <c:v>1.804601952793391</c:v>
                </c:pt>
                <c:pt idx="4">
                  <c:v>2.1915552125265148</c:v>
                </c:pt>
                <c:pt idx="5">
                  <c:v>2.613072808728917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A95-9A4D-989D-116BF8153058}"/>
            </c:ext>
          </c:extLst>
        </c:ser>
        <c:ser>
          <c:idx val="15"/>
          <c:order val="14"/>
          <c:tx>
            <c:v>Aj lin (n=6)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Δy!$M$55:$M$60</c:f>
              <c:numCache>
                <c:formatCode>General</c:formatCode>
                <c:ptCount val="6"/>
                <c:pt idx="0">
                  <c:v>1.4053710278577911</c:v>
                </c:pt>
                <c:pt idx="1">
                  <c:v>1.4864884462853218</c:v>
                </c:pt>
                <c:pt idx="2">
                  <c:v>1.7094374361284617</c:v>
                </c:pt>
                <c:pt idx="3">
                  <c:v>1.8050709732099861</c:v>
                </c:pt>
                <c:pt idx="4">
                  <c:v>2.2048615763118828</c:v>
                </c:pt>
                <c:pt idx="5">
                  <c:v>2.6039705402065563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A95-9A4D-989D-116BF8153058}"/>
            </c:ext>
          </c:extLst>
        </c:ser>
        <c:ser>
          <c:idx val="16"/>
          <c:order val="15"/>
          <c:tx>
            <c:v>Aj lin (n=7)</c:v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Δy!$M$65:$M$70</c:f>
              <c:numCache>
                <c:formatCode>General</c:formatCode>
                <c:ptCount val="6"/>
                <c:pt idx="0">
                  <c:v>1.402589878101691</c:v>
                </c:pt>
                <c:pt idx="1">
                  <c:v>1.4920805552448659</c:v>
                </c:pt>
                <c:pt idx="2">
                  <c:v>1.7030219095319534</c:v>
                </c:pt>
                <c:pt idx="3">
                  <c:v>1.8134019443457641</c:v>
                </c:pt>
                <c:pt idx="4">
                  <c:v>2.1955770172191373</c:v>
                </c:pt>
                <c:pt idx="5">
                  <c:v>2.6085286955565898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A95-9A4D-989D-116BF8153058}"/>
            </c:ext>
          </c:extLst>
        </c:ser>
        <c:ser>
          <c:idx val="17"/>
          <c:order val="16"/>
          <c:tx>
            <c:v>Aj lin (n=8)</c:v>
          </c:tx>
          <c:spPr>
            <a:ln w="127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Δy!$M$75:$M$80</c:f>
              <c:numCache>
                <c:formatCode>General</c:formatCode>
                <c:ptCount val="6"/>
                <c:pt idx="0">
                  <c:v>1.3993914040203683</c:v>
                </c:pt>
                <c:pt idx="1">
                  <c:v>1.4793045634389026</c:v>
                </c:pt>
                <c:pt idx="2">
                  <c:v>1.7343862977798403</c:v>
                </c:pt>
                <c:pt idx="3">
                  <c:v>1.8081602168579742</c:v>
                </c:pt>
                <c:pt idx="4">
                  <c:v>2.1843587168358058</c:v>
                </c:pt>
                <c:pt idx="5">
                  <c:v>2.6095988010671083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A95-9A4D-989D-116BF8153058}"/>
            </c:ext>
          </c:extLst>
        </c:ser>
        <c:ser>
          <c:idx val="18"/>
          <c:order val="17"/>
          <c:tx>
            <c:v>Aj lin (n=9)</c:v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Δy!$M$85:$M$90</c:f>
              <c:numCache>
                <c:formatCode>General</c:formatCode>
                <c:ptCount val="6"/>
                <c:pt idx="0">
                  <c:v>1.4049387103846189</c:v>
                </c:pt>
                <c:pt idx="1">
                  <c:v>1.4868612457579427</c:v>
                </c:pt>
                <c:pt idx="2">
                  <c:v>1.7026537418713255</c:v>
                </c:pt>
                <c:pt idx="3">
                  <c:v>1.814586871566378</c:v>
                </c:pt>
                <c:pt idx="4">
                  <c:v>2.2015513560250901</c:v>
                </c:pt>
                <c:pt idx="5">
                  <c:v>2.6046080743946467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A95-9A4D-989D-116BF8153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63232"/>
        <c:axId val="1914112960"/>
      </c:scatterChart>
      <c:valAx>
        <c:axId val="180956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8350129950114962"/>
              <c:y val="0.9109187371600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4112960"/>
        <c:crosses val="autoZero"/>
        <c:crossBetween val="midCat"/>
      </c:valAx>
      <c:valAx>
        <c:axId val="19141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956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427892951216505"/>
          <c:y val="0.50486402674920905"/>
          <c:w val="0.28982858294817171"/>
          <c:h val="0.3305390512662391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(n=6)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Δy!$K$55:$K$60</c:f>
              <c:numCache>
                <c:formatCode>General</c:formatCode>
                <c:ptCount val="6"/>
                <c:pt idx="0">
                  <c:v>1.5199878400972791</c:v>
                </c:pt>
                <c:pt idx="1">
                  <c:v>1.606425702811245</c:v>
                </c:pt>
                <c:pt idx="2">
                  <c:v>1.8439977872026554</c:v>
                </c:pt>
                <c:pt idx="3">
                  <c:v>1.9459038723487061</c:v>
                </c:pt>
                <c:pt idx="4">
                  <c:v>2.3719165085388996</c:v>
                </c:pt>
                <c:pt idx="5">
                  <c:v>2.7972027972027971</c:v>
                </c:pt>
              </c:numCache>
            </c:numRef>
          </c:xVal>
          <c:yVal>
            <c:numRef>
              <c:f>Δy!$N$55:$N$60</c:f>
              <c:numCache>
                <c:formatCode>General</c:formatCode>
                <c:ptCount val="6"/>
                <c:pt idx="0">
                  <c:v>-1.6289721422089176E-3</c:v>
                </c:pt>
                <c:pt idx="1">
                  <c:v>-1.031155371467829E-2</c:v>
                </c:pt>
                <c:pt idx="2">
                  <c:v>9.4374361284614849E-3</c:v>
                </c:pt>
                <c:pt idx="3">
                  <c:v>4.6709732099858847E-3</c:v>
                </c:pt>
                <c:pt idx="4">
                  <c:v>3.2615763118832852E-3</c:v>
                </c:pt>
                <c:pt idx="5">
                  <c:v>-5.4294597934441136E-3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A-8444-9487-77D3283B9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906144"/>
        <c:axId val="119535759"/>
      </c:scatterChart>
      <c:valAx>
        <c:axId val="191390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9535759"/>
        <c:crosses val="autoZero"/>
        <c:crossBetween val="midCat"/>
      </c:valAx>
      <c:valAx>
        <c:axId val="11953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390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(n=5)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Δy!$K$45:$K$50</c:f>
              <c:numCache>
                <c:formatCode>General</c:formatCode>
                <c:ptCount val="6"/>
                <c:pt idx="0">
                  <c:v>1.8639328984156571</c:v>
                </c:pt>
                <c:pt idx="1">
                  <c:v>1.9932230416583616</c:v>
                </c:pt>
                <c:pt idx="2">
                  <c:v>2.253267237494367</c:v>
                </c:pt>
                <c:pt idx="3">
                  <c:v>2.3815194093831864</c:v>
                </c:pt>
                <c:pt idx="4">
                  <c:v>2.8768699654775602</c:v>
                </c:pt>
                <c:pt idx="5">
                  <c:v>3.4164673727365904</c:v>
                </c:pt>
              </c:numCache>
            </c:numRef>
          </c:xVal>
          <c:yVal>
            <c:numRef>
              <c:f>Δy!$N$45:$N$50</c:f>
              <c:numCache>
                <c:formatCode>General</c:formatCode>
                <c:ptCount val="6"/>
                <c:pt idx="0">
                  <c:v>-6.7213797408760545E-3</c:v>
                </c:pt>
                <c:pt idx="1">
                  <c:v>4.4762708393231154E-3</c:v>
                </c:pt>
                <c:pt idx="2">
                  <c:v>4.4151348527310397E-3</c:v>
                </c:pt>
                <c:pt idx="3">
                  <c:v>4.2019527933907508E-3</c:v>
                </c:pt>
                <c:pt idx="4">
                  <c:v>-1.0044787473484806E-2</c:v>
                </c:pt>
                <c:pt idx="5">
                  <c:v>3.6728087289166211E-3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D-5E45-BC45-947DFDEE8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902432"/>
        <c:axId val="1914277136"/>
      </c:scatterChart>
      <c:valAx>
        <c:axId val="171390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4277136"/>
        <c:crosses val="autoZero"/>
        <c:crossBetween val="midCat"/>
      </c:valAx>
      <c:valAx>
        <c:axId val="19142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390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Δy!$K$65:$K$70</c:f>
              <c:numCache>
                <c:formatCode>General</c:formatCode>
                <c:ptCount val="6"/>
                <c:pt idx="0">
                  <c:v>1.2805736970162633</c:v>
                </c:pt>
                <c:pt idx="1">
                  <c:v>1.3607293509320997</c:v>
                </c:pt>
                <c:pt idx="2">
                  <c:v>1.5496668216333489</c:v>
                </c:pt>
                <c:pt idx="3">
                  <c:v>1.6485328058028355</c:v>
                </c:pt>
                <c:pt idx="4">
                  <c:v>1.9908421262193907</c:v>
                </c:pt>
                <c:pt idx="5">
                  <c:v>2.3607176581680833</c:v>
                </c:pt>
              </c:numCache>
            </c:numRef>
          </c:xVal>
          <c:yVal>
            <c:numRef>
              <c:f>Δy!$N$65:$N$70</c:f>
              <c:numCache>
                <c:formatCode>General</c:formatCode>
                <c:ptCount val="6"/>
                <c:pt idx="0">
                  <c:v>-4.4101218983090273E-3</c:v>
                </c:pt>
                <c:pt idx="1">
                  <c:v>-4.7194447551341945E-3</c:v>
                </c:pt>
                <c:pt idx="2">
                  <c:v>3.0219095319532485E-3</c:v>
                </c:pt>
                <c:pt idx="3">
                  <c:v>1.3001944345763849E-2</c:v>
                </c:pt>
                <c:pt idx="4">
                  <c:v>-6.0229827808622183E-3</c:v>
                </c:pt>
                <c:pt idx="5">
                  <c:v>-8.7130444341054769E-4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4-6943-8982-80FDC97F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48112"/>
        <c:axId val="560915295"/>
      </c:scatterChart>
      <c:valAx>
        <c:axId val="179524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0915295"/>
        <c:crosses val="autoZero"/>
        <c:crossBetween val="midCat"/>
      </c:valAx>
      <c:valAx>
        <c:axId val="56091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9524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Δy!$K$75:$K$80</c:f>
              <c:numCache>
                <c:formatCode>General</c:formatCode>
                <c:ptCount val="6"/>
                <c:pt idx="0">
                  <c:v>1.1116051578479325</c:v>
                </c:pt>
                <c:pt idx="1">
                  <c:v>1.1735711770918906</c:v>
                </c:pt>
                <c:pt idx="2">
                  <c:v>1.3713658804168953</c:v>
                </c:pt>
                <c:pt idx="3">
                  <c:v>1.4285714285714286</c:v>
                </c:pt>
                <c:pt idx="4">
                  <c:v>1.720282126268708</c:v>
                </c:pt>
                <c:pt idx="5">
                  <c:v>2.0500205002050018</c:v>
                </c:pt>
              </c:numCache>
            </c:numRef>
          </c:xVal>
          <c:yVal>
            <c:numRef>
              <c:f>Δy!$N$75:$N$80</c:f>
              <c:numCache>
                <c:formatCode>General</c:formatCode>
                <c:ptCount val="6"/>
                <c:pt idx="0">
                  <c:v>-7.6085959796317049E-3</c:v>
                </c:pt>
                <c:pt idx="1">
                  <c:v>-1.7495436561097533E-2</c:v>
                </c:pt>
                <c:pt idx="2">
                  <c:v>3.4386297779840147E-2</c:v>
                </c:pt>
                <c:pt idx="3">
                  <c:v>7.7602168579740116E-3</c:v>
                </c:pt>
                <c:pt idx="4">
                  <c:v>-1.724128316419371E-2</c:v>
                </c:pt>
                <c:pt idx="5">
                  <c:v>1.9880106710790102E-4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FB46-B440-2B17810B5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850880"/>
        <c:axId val="1803642016"/>
      </c:scatterChart>
      <c:valAx>
        <c:axId val="191585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3642016"/>
        <c:crossesAt val="-100"/>
        <c:crossBetween val="midCat"/>
      </c:valAx>
      <c:valAx>
        <c:axId val="18036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1585088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Res. de l (n=9)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Δy!$K$85:$K$90</c:f>
              <c:numCache>
                <c:formatCode>General</c:formatCode>
                <c:ptCount val="6"/>
                <c:pt idx="0">
                  <c:v>0.97761266986020134</c:v>
                </c:pt>
                <c:pt idx="1">
                  <c:v>1.0330578512396693</c:v>
                </c:pt>
                <c:pt idx="2">
                  <c:v>1.1791062374719961</c:v>
                </c:pt>
                <c:pt idx="3">
                  <c:v>1.2548625925461163</c:v>
                </c:pt>
                <c:pt idx="4">
                  <c:v>1.5167602002123464</c:v>
                </c:pt>
                <c:pt idx="5">
                  <c:v>1.7895490336435218</c:v>
                </c:pt>
              </c:numCache>
            </c:numRef>
          </c:xVal>
          <c:yVal>
            <c:numRef>
              <c:f>Δy!$N$85:$N$90</c:f>
              <c:numCache>
                <c:formatCode>General</c:formatCode>
                <c:ptCount val="6"/>
                <c:pt idx="0">
                  <c:v>-2.0612896153811011E-3</c:v>
                </c:pt>
                <c:pt idx="1">
                  <c:v>-9.9387542420574793E-3</c:v>
                </c:pt>
                <c:pt idx="2">
                  <c:v>2.6537418713252769E-3</c:v>
                </c:pt>
                <c:pt idx="3">
                  <c:v>1.4186871566377768E-2</c:v>
                </c:pt>
                <c:pt idx="4">
                  <c:v>-4.8643974909445831E-5</c:v>
                </c:pt>
                <c:pt idx="5">
                  <c:v>-4.7919256053536863E-3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2-A64C-94D2-4E490CD20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257280"/>
        <c:axId val="1783030720"/>
      </c:scatterChart>
      <c:valAx>
        <c:axId val="1905257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1/f (x10</a:t>
                </a:r>
                <a:r>
                  <a:rPr lang="pt-PT" sz="1000" b="0" i="0" baseline="30000">
                    <a:effectLst/>
                  </a:rPr>
                  <a:t>-4</a:t>
                </a:r>
                <a:r>
                  <a:rPr lang="pt-PT" sz="1000" b="0" i="0" baseline="0">
                    <a:effectLst/>
                  </a:rPr>
                  <a:t> Hz</a:t>
                </a:r>
                <a:r>
                  <a:rPr lang="pt-PT" sz="1000" b="0" i="0" baseline="30000">
                    <a:effectLst/>
                  </a:rPr>
                  <a:t>-1</a:t>
                </a:r>
                <a:r>
                  <a:rPr lang="pt-PT" sz="1000" b="0" i="0" baseline="0">
                    <a:effectLst/>
                  </a:rPr>
                  <a:t>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83030720"/>
        <c:crossesAt val="-100"/>
        <c:crossBetween val="midCat"/>
      </c:valAx>
      <c:valAx>
        <c:axId val="178303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baseline="0">
                    <a:effectLst/>
                  </a:rPr>
                  <a:t>Resíduos (cm)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05257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9742426828623038E-2"/>
          <c:y val="3.2811334824757642E-2"/>
          <c:w val="0.92937715211031247"/>
          <c:h val="0.8890229996418233"/>
        </c:manualLayout>
      </c:layout>
      <c:scatterChart>
        <c:scatterStyle val="lineMarker"/>
        <c:varyColors val="0"/>
        <c:ser>
          <c:idx val="0"/>
          <c:order val="0"/>
          <c:tx>
            <c:v>Dados exp</c:v>
          </c:tx>
          <c:spPr>
            <a:ln w="25402" cap="rnd">
              <a:noFill/>
              <a:custDash>
                <a:ds d="100000" sp="100000"/>
              </a:custDash>
              <a:round/>
            </a:ln>
          </c:spPr>
          <c:marker>
            <c:symbol val="circle"/>
            <c:size val="3"/>
          </c:marker>
          <c:errBars>
            <c:errDir val="y"/>
            <c:errBarType val="both"/>
            <c:errValType val="cust"/>
            <c:noEndCap val="0"/>
            <c:spPr>
              <a:noFill/>
              <a:ln w="9528" cap="flat">
                <a:solidFill>
                  <a:srgbClr val="595959"/>
                </a:solidFill>
                <a:prstDash val="solid"/>
                <a:round/>
              </a:ln>
            </c:spPr>
          </c:errBars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(v)'!$J$8:$J$42</c:f>
              <c:numCache>
                <c:formatCode>General</c:formatCode>
                <c:ptCount val="35"/>
                <c:pt idx="0">
                  <c:v>1360</c:v>
                </c:pt>
                <c:pt idx="1">
                  <c:v>1703</c:v>
                </c:pt>
                <c:pt idx="2">
                  <c:v>2048</c:v>
                </c:pt>
                <c:pt idx="3">
                  <c:v>2392</c:v>
                </c:pt>
                <c:pt idx="4">
                  <c:v>2735</c:v>
                </c:pt>
                <c:pt idx="5">
                  <c:v>3077</c:v>
                </c:pt>
                <c:pt idx="6">
                  <c:v>3412</c:v>
                </c:pt>
                <c:pt idx="7">
                  <c:v>3789</c:v>
                </c:pt>
                <c:pt idx="8">
                  <c:v>4141</c:v>
                </c:pt>
                <c:pt idx="9">
                  <c:v>4456</c:v>
                </c:pt>
                <c:pt idx="10">
                  <c:v>4810</c:v>
                </c:pt>
                <c:pt idx="11">
                  <c:v>5123</c:v>
                </c:pt>
                <c:pt idx="12">
                  <c:v>5490</c:v>
                </c:pt>
                <c:pt idx="13">
                  <c:v>5836</c:v>
                </c:pt>
                <c:pt idx="14">
                  <c:v>6181</c:v>
                </c:pt>
                <c:pt idx="15">
                  <c:v>6525</c:v>
                </c:pt>
                <c:pt idx="16">
                  <c:v>6879</c:v>
                </c:pt>
                <c:pt idx="17">
                  <c:v>7224</c:v>
                </c:pt>
                <c:pt idx="18">
                  <c:v>7573</c:v>
                </c:pt>
                <c:pt idx="19">
                  <c:v>7911</c:v>
                </c:pt>
                <c:pt idx="20">
                  <c:v>8253</c:v>
                </c:pt>
                <c:pt idx="21">
                  <c:v>8602</c:v>
                </c:pt>
                <c:pt idx="22">
                  <c:v>8941</c:v>
                </c:pt>
                <c:pt idx="23">
                  <c:v>9285</c:v>
                </c:pt>
                <c:pt idx="24">
                  <c:v>9628</c:v>
                </c:pt>
                <c:pt idx="25">
                  <c:v>9976</c:v>
                </c:pt>
                <c:pt idx="26">
                  <c:v>10318</c:v>
                </c:pt>
                <c:pt idx="27">
                  <c:v>10669</c:v>
                </c:pt>
                <c:pt idx="28">
                  <c:v>11007</c:v>
                </c:pt>
                <c:pt idx="29">
                  <c:v>11361</c:v>
                </c:pt>
                <c:pt idx="30">
                  <c:v>11700</c:v>
                </c:pt>
                <c:pt idx="31">
                  <c:v>12046</c:v>
                </c:pt>
                <c:pt idx="32">
                  <c:v>12395</c:v>
                </c:pt>
                <c:pt idx="33">
                  <c:v>12739</c:v>
                </c:pt>
                <c:pt idx="34">
                  <c:v>13093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4-1C42-B419-240B807E8374}"/>
            </c:ext>
          </c:extLst>
        </c:ser>
        <c:ser>
          <c:idx val="2"/>
          <c:order val="1"/>
          <c:tx>
            <c:v>Aj lin</c:v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(v)'!$K$8:$K$42</c:f>
              <c:numCache>
                <c:formatCode>0.0</c:formatCode>
                <c:ptCount val="35"/>
                <c:pt idx="0">
                  <c:v>1356.7619047619069</c:v>
                </c:pt>
                <c:pt idx="1">
                  <c:v>1701.6212885154082</c:v>
                </c:pt>
                <c:pt idx="2">
                  <c:v>2046.4806722689093</c:v>
                </c:pt>
                <c:pt idx="3">
                  <c:v>2391.3400560224109</c:v>
                </c:pt>
                <c:pt idx="4">
                  <c:v>2736.1994397759117</c:v>
                </c:pt>
                <c:pt idx="5">
                  <c:v>3081.0588235294131</c:v>
                </c:pt>
                <c:pt idx="6">
                  <c:v>3425.9182072829144</c:v>
                </c:pt>
                <c:pt idx="7">
                  <c:v>3770.7775910364157</c:v>
                </c:pt>
                <c:pt idx="8">
                  <c:v>4115.6369747899171</c:v>
                </c:pt>
                <c:pt idx="9">
                  <c:v>4460.496358543418</c:v>
                </c:pt>
                <c:pt idx="10">
                  <c:v>4805.3557422969197</c:v>
                </c:pt>
                <c:pt idx="11">
                  <c:v>5150.2151260504206</c:v>
                </c:pt>
                <c:pt idx="12">
                  <c:v>5495.0745098039224</c:v>
                </c:pt>
                <c:pt idx="13">
                  <c:v>5839.9338935574233</c:v>
                </c:pt>
                <c:pt idx="14">
                  <c:v>6184.7932773109251</c:v>
                </c:pt>
                <c:pt idx="15">
                  <c:v>6529.652661064426</c:v>
                </c:pt>
                <c:pt idx="16">
                  <c:v>6874.5120448179268</c:v>
                </c:pt>
                <c:pt idx="17">
                  <c:v>7219.3714285714286</c:v>
                </c:pt>
                <c:pt idx="18">
                  <c:v>7564.2308123249295</c:v>
                </c:pt>
                <c:pt idx="19">
                  <c:v>7909.0901960784313</c:v>
                </c:pt>
                <c:pt idx="20">
                  <c:v>8253.9495798319331</c:v>
                </c:pt>
                <c:pt idx="21">
                  <c:v>8598.808963585434</c:v>
                </c:pt>
                <c:pt idx="22">
                  <c:v>8943.6683473389348</c:v>
                </c:pt>
                <c:pt idx="23">
                  <c:v>9288.5277310924357</c:v>
                </c:pt>
                <c:pt idx="24">
                  <c:v>9633.3871148459366</c:v>
                </c:pt>
                <c:pt idx="25">
                  <c:v>9978.2464985994393</c:v>
                </c:pt>
                <c:pt idx="26">
                  <c:v>10323.10588235294</c:v>
                </c:pt>
                <c:pt idx="27">
                  <c:v>10667.965266106441</c:v>
                </c:pt>
                <c:pt idx="28">
                  <c:v>11012.824649859942</c:v>
                </c:pt>
                <c:pt idx="29">
                  <c:v>11357.684033613445</c:v>
                </c:pt>
                <c:pt idx="30">
                  <c:v>11702.543417366946</c:v>
                </c:pt>
                <c:pt idx="31">
                  <c:v>12047.402801120446</c:v>
                </c:pt>
                <c:pt idx="32">
                  <c:v>12392.262184873947</c:v>
                </c:pt>
                <c:pt idx="33">
                  <c:v>12737.121568627448</c:v>
                </c:pt>
                <c:pt idx="34">
                  <c:v>13081.980952380951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B74-1C42-B419-240B807E8374}"/>
            </c:ext>
          </c:extLst>
        </c:ser>
        <c:ser>
          <c:idx val="1"/>
          <c:order val="2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'2ª Parte (v)'!$I$43:$I$49</c:f>
              <c:numCache>
                <c:formatCode>General</c:formatCode>
                <c:ptCount val="7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</c:numCache>
            </c:numRef>
          </c:xVal>
          <c:yVal>
            <c:numRef>
              <c:f>'2ª Parte (v)'!$J$43:$J$49</c:f>
              <c:numCache>
                <c:formatCode>General</c:formatCode>
                <c:ptCount val="7"/>
                <c:pt idx="0">
                  <c:v>13343</c:v>
                </c:pt>
                <c:pt idx="1">
                  <c:v>13489</c:v>
                </c:pt>
                <c:pt idx="2">
                  <c:v>13748</c:v>
                </c:pt>
                <c:pt idx="3">
                  <c:v>14089</c:v>
                </c:pt>
                <c:pt idx="4">
                  <c:v>14461</c:v>
                </c:pt>
                <c:pt idx="5">
                  <c:v>14812</c:v>
                </c:pt>
                <c:pt idx="6">
                  <c:v>15144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5B-3248-9795-1B1B6065F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1455"/>
        <c:axId val="2126809391"/>
      </c:scatterChart>
      <c:valAx>
        <c:axId val="2126809391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f(Hz) x10</a:t>
                </a:r>
                <a:r>
                  <a:rPr lang="pt-PT" sz="1000" b="0" i="0" u="none" strike="noStrike" kern="1200" cap="none" spc="0" baseline="30000">
                    <a:solidFill>
                      <a:srgbClr val="595959"/>
                    </a:solidFill>
                    <a:uFillTx/>
                    <a:latin typeface="Calibri"/>
                  </a:rPr>
                  <a:t>3</a:t>
                </a:r>
                <a:endParaRPr lang="pt-PT" sz="1000" b="0" i="0" u="none" strike="noStrike" kern="1200" cap="none" spc="0" baseline="0">
                  <a:solidFill>
                    <a:srgbClr val="595959"/>
                  </a:solidFill>
                  <a:uFillTx/>
                  <a:latin typeface="Calibri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1455"/>
        <c:crosses val="autoZero"/>
        <c:crossBetween val="midCat"/>
        <c:dispUnits>
          <c:builtInUnit val="thousands"/>
        </c:dispUnits>
      </c:valAx>
      <c:valAx>
        <c:axId val="2126821455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09391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9037077348316509"/>
          <c:y val="0.70415073954681839"/>
          <c:w val="0.16099643570678362"/>
          <c:h val="0.15096408250982049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880394830334846E-2"/>
          <c:y val="3.1638904301939781E-2"/>
          <c:w val="0.93769989429508582"/>
          <c:h val="0.8929882571425334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(v)'!$L$8:$L$42</c:f>
              <c:numCache>
                <c:formatCode>0.0</c:formatCode>
                <c:ptCount val="35"/>
                <c:pt idx="0">
                  <c:v>-3.2380952380931376</c:v>
                </c:pt>
                <c:pt idx="1">
                  <c:v>-1.378711484591804</c:v>
                </c:pt>
                <c:pt idx="2">
                  <c:v>-1.5193277310906979</c:v>
                </c:pt>
                <c:pt idx="3">
                  <c:v>-0.65994397758913692</c:v>
                </c:pt>
                <c:pt idx="4">
                  <c:v>1.1994397759117419</c:v>
                </c:pt>
                <c:pt idx="5">
                  <c:v>4.0588235294130754</c:v>
                </c:pt>
                <c:pt idx="6">
                  <c:v>13.918207282914409</c:v>
                </c:pt>
                <c:pt idx="7">
                  <c:v>-18.222408963584257</c:v>
                </c:pt>
                <c:pt idx="8">
                  <c:v>-25.363025210082924</c:v>
                </c:pt>
                <c:pt idx="9">
                  <c:v>4.4963585434179549</c:v>
                </c:pt>
                <c:pt idx="10">
                  <c:v>-4.6442577030802568</c:v>
                </c:pt>
                <c:pt idx="11">
                  <c:v>27.215126050420622</c:v>
                </c:pt>
                <c:pt idx="12">
                  <c:v>5.0745098039224104</c:v>
                </c:pt>
                <c:pt idx="13">
                  <c:v>3.9338935574232892</c:v>
                </c:pt>
                <c:pt idx="14">
                  <c:v>3.7932773109250775</c:v>
                </c:pt>
                <c:pt idx="15">
                  <c:v>4.6526610644259563</c:v>
                </c:pt>
                <c:pt idx="16">
                  <c:v>-4.4879551820731649</c:v>
                </c:pt>
                <c:pt idx="17">
                  <c:v>-4.6285714285713766</c:v>
                </c:pt>
                <c:pt idx="18">
                  <c:v>-8.7691876750704978</c:v>
                </c:pt>
                <c:pt idx="19">
                  <c:v>-1.9098039215687095</c:v>
                </c:pt>
                <c:pt idx="20">
                  <c:v>0.94957983193307882</c:v>
                </c:pt>
                <c:pt idx="21">
                  <c:v>-3.1910364145660424</c:v>
                </c:pt>
                <c:pt idx="22">
                  <c:v>2.6683473389348364</c:v>
                </c:pt>
                <c:pt idx="23">
                  <c:v>3.5277310924357153</c:v>
                </c:pt>
                <c:pt idx="24">
                  <c:v>5.3871148459365941</c:v>
                </c:pt>
                <c:pt idx="25">
                  <c:v>2.2464985994392919</c:v>
                </c:pt>
                <c:pt idx="26">
                  <c:v>5.1058823529401707</c:v>
                </c:pt>
                <c:pt idx="27">
                  <c:v>-1.0347338935589505</c:v>
                </c:pt>
                <c:pt idx="28">
                  <c:v>5.8246498599419283</c:v>
                </c:pt>
                <c:pt idx="29">
                  <c:v>-3.3159663865553739</c:v>
                </c:pt>
                <c:pt idx="30">
                  <c:v>2.5434173669455049</c:v>
                </c:pt>
                <c:pt idx="31">
                  <c:v>1.4028011204463837</c:v>
                </c:pt>
                <c:pt idx="32">
                  <c:v>-2.7378151260527375</c:v>
                </c:pt>
                <c:pt idx="33">
                  <c:v>-1.8784313725518587</c:v>
                </c:pt>
                <c:pt idx="34">
                  <c:v>-11.019047619049161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4C-2047-8985-4ED4605E90DB}"/>
            </c:ext>
          </c:extLst>
        </c:ser>
        <c:ser>
          <c:idx val="1"/>
          <c:order val="1"/>
          <c:tx>
            <c:v>Ptos duvidosos</c:v>
          </c:tx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(v)'!$I$43:$I$49</c:f>
              <c:numCache>
                <c:formatCode>General</c:formatCode>
                <c:ptCount val="7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41</c:v>
                </c:pt>
                <c:pt idx="6">
                  <c:v>42</c:v>
                </c:pt>
              </c:numCache>
            </c:numRef>
          </c:xVal>
          <c:yVal>
            <c:numRef>
              <c:f>'2ª Parte (v)'!$L$43:$L$49</c:f>
              <c:numCache>
                <c:formatCode>0.0</c:formatCode>
                <c:ptCount val="7"/>
                <c:pt idx="0">
                  <c:v>83.840336134451718</c:v>
                </c:pt>
                <c:pt idx="1">
                  <c:v>282.6997198879526</c:v>
                </c:pt>
                <c:pt idx="2">
                  <c:v>368.55910364145348</c:v>
                </c:pt>
                <c:pt idx="3">
                  <c:v>372.41848739495617</c:v>
                </c:pt>
                <c:pt idx="4">
                  <c:v>345.27787114845705</c:v>
                </c:pt>
                <c:pt idx="5">
                  <c:v>339.13725490195793</c:v>
                </c:pt>
                <c:pt idx="6">
                  <c:v>351.99663865545881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A9-C74A-980E-D75973FC4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2703"/>
        <c:axId val="2126814383"/>
      </c:scatterChart>
      <c:valAx>
        <c:axId val="212681438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Resíduos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2703"/>
        <c:crosses val="autoZero"/>
        <c:crossBetween val="midCat"/>
      </c:valAx>
      <c:valAx>
        <c:axId val="2126822703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14383"/>
        <c:crossesAt val="-99990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8923883888250796E-2"/>
          <c:y val="5.9154201590991703E-2"/>
          <c:w val="0.12240375996482701"/>
          <c:h val="9.8875460770344564E-2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4.3880394830334846E-2"/>
          <c:y val="3.1638904301939781E-2"/>
          <c:w val="0.93769989429508582"/>
          <c:h val="0.8929882571425334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'2ª Parte (v)'!$I$8:$I$42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</c:numCache>
            </c:numRef>
          </c:xVal>
          <c:yVal>
            <c:numRef>
              <c:f>'2ª Parte (v)'!$L$8:$L$42</c:f>
              <c:numCache>
                <c:formatCode>0.0</c:formatCode>
                <c:ptCount val="35"/>
                <c:pt idx="0">
                  <c:v>-3.2380952380931376</c:v>
                </c:pt>
                <c:pt idx="1">
                  <c:v>-1.378711484591804</c:v>
                </c:pt>
                <c:pt idx="2">
                  <c:v>-1.5193277310906979</c:v>
                </c:pt>
                <c:pt idx="3">
                  <c:v>-0.65994397758913692</c:v>
                </c:pt>
                <c:pt idx="4">
                  <c:v>1.1994397759117419</c:v>
                </c:pt>
                <c:pt idx="5">
                  <c:v>4.0588235294130754</c:v>
                </c:pt>
                <c:pt idx="6">
                  <c:v>13.918207282914409</c:v>
                </c:pt>
                <c:pt idx="7">
                  <c:v>-18.222408963584257</c:v>
                </c:pt>
                <c:pt idx="8">
                  <c:v>-25.363025210082924</c:v>
                </c:pt>
                <c:pt idx="9">
                  <c:v>4.4963585434179549</c:v>
                </c:pt>
                <c:pt idx="10">
                  <c:v>-4.6442577030802568</c:v>
                </c:pt>
                <c:pt idx="11">
                  <c:v>27.215126050420622</c:v>
                </c:pt>
                <c:pt idx="12">
                  <c:v>5.0745098039224104</c:v>
                </c:pt>
                <c:pt idx="13">
                  <c:v>3.9338935574232892</c:v>
                </c:pt>
                <c:pt idx="14">
                  <c:v>3.7932773109250775</c:v>
                </c:pt>
                <c:pt idx="15">
                  <c:v>4.6526610644259563</c:v>
                </c:pt>
                <c:pt idx="16">
                  <c:v>-4.4879551820731649</c:v>
                </c:pt>
                <c:pt idx="17">
                  <c:v>-4.6285714285713766</c:v>
                </c:pt>
                <c:pt idx="18">
                  <c:v>-8.7691876750704978</c:v>
                </c:pt>
                <c:pt idx="19">
                  <c:v>-1.9098039215687095</c:v>
                </c:pt>
                <c:pt idx="20">
                  <c:v>0.94957983193307882</c:v>
                </c:pt>
                <c:pt idx="21">
                  <c:v>-3.1910364145660424</c:v>
                </c:pt>
                <c:pt idx="22">
                  <c:v>2.6683473389348364</c:v>
                </c:pt>
                <c:pt idx="23">
                  <c:v>3.5277310924357153</c:v>
                </c:pt>
                <c:pt idx="24">
                  <c:v>5.3871148459365941</c:v>
                </c:pt>
                <c:pt idx="25">
                  <c:v>2.2464985994392919</c:v>
                </c:pt>
                <c:pt idx="26">
                  <c:v>5.1058823529401707</c:v>
                </c:pt>
                <c:pt idx="27">
                  <c:v>-1.0347338935589505</c:v>
                </c:pt>
                <c:pt idx="28">
                  <c:v>5.8246498599419283</c:v>
                </c:pt>
                <c:pt idx="29">
                  <c:v>-3.3159663865553739</c:v>
                </c:pt>
                <c:pt idx="30">
                  <c:v>2.5434173669455049</c:v>
                </c:pt>
                <c:pt idx="31">
                  <c:v>1.4028011204463837</c:v>
                </c:pt>
                <c:pt idx="32">
                  <c:v>-2.7378151260527375</c:v>
                </c:pt>
                <c:pt idx="33">
                  <c:v>-1.8784313725518587</c:v>
                </c:pt>
                <c:pt idx="34">
                  <c:v>-11.019047619049161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1C-4C38-A83B-B531CAD2E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22703"/>
        <c:axId val="2126814383"/>
      </c:scatterChart>
      <c:valAx>
        <c:axId val="2126814383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Resíduos (Hz)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22703"/>
        <c:crosses val="autoZero"/>
        <c:crossBetween val="midCat"/>
      </c:valAx>
      <c:valAx>
        <c:axId val="2126822703"/>
        <c:scaling>
          <c:orientation val="minMax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 kern="1200" cap="none" spc="0" baseline="0">
                    <a:solidFill>
                      <a:srgbClr val="595959"/>
                    </a:solidFill>
                    <a:uFillTx/>
                    <a:latin typeface="Calibri"/>
                  </a:rPr>
                  <a:t>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126814383"/>
        <c:crossesAt val="-99990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9.8923883888250796E-2"/>
          <c:y val="5.9154201590991703E-2"/>
          <c:w val="0.12240375996482701"/>
          <c:h val="9.8875460770344564E-2"/>
        </c:manualLayout>
      </c:layout>
      <c:overlay val="0"/>
      <c:spPr>
        <a:solidFill>
          <a:schemeClr val="bg1"/>
        </a:solidFill>
        <a:ln w="9528">
          <a:solidFill>
            <a:srgbClr val="0070C0"/>
          </a:solidFill>
          <a:prstDash val="solid"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PT" sz="1000" b="0" i="0" u="none" strike="noStrike" kern="1200" baseline="0">
          <a:solidFill>
            <a:srgbClr val="000000"/>
          </a:solidFill>
          <a:latin typeface="Calibri"/>
        </a:defRPr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6708333333333336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'[1]p(T)'!$D$3</c:f>
              <c:strCache>
                <c:ptCount val="1"/>
                <c:pt idx="0">
                  <c:v>pH2O (mmHg)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'p(T)'!$C$4:$C$21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32.5</c:v>
                </c:pt>
                <c:pt idx="16">
                  <c:v>35</c:v>
                </c:pt>
                <c:pt idx="17">
                  <c:v>37.5</c:v>
                </c:pt>
              </c:numCache>
            </c:numRef>
          </c:xVal>
          <c:yVal>
            <c:numRef>
              <c:f>'p(T)'!$D$4:$D$22</c:f>
              <c:numCache>
                <c:formatCode>General</c:formatCode>
                <c:ptCount val="19"/>
                <c:pt idx="0">
                  <c:v>4.58</c:v>
                </c:pt>
                <c:pt idx="1">
                  <c:v>6.54</c:v>
                </c:pt>
                <c:pt idx="2">
                  <c:v>9.2100000000000009</c:v>
                </c:pt>
                <c:pt idx="3">
                  <c:v>10.52</c:v>
                </c:pt>
                <c:pt idx="4">
                  <c:v>11.9</c:v>
                </c:pt>
                <c:pt idx="5">
                  <c:v>12.79</c:v>
                </c:pt>
                <c:pt idx="6">
                  <c:v>13.64</c:v>
                </c:pt>
                <c:pt idx="7">
                  <c:v>15.49</c:v>
                </c:pt>
                <c:pt idx="8">
                  <c:v>17.54</c:v>
                </c:pt>
                <c:pt idx="9">
                  <c:v>19.84</c:v>
                </c:pt>
                <c:pt idx="10">
                  <c:v>22.39</c:v>
                </c:pt>
                <c:pt idx="11">
                  <c:v>23.77</c:v>
                </c:pt>
                <c:pt idx="12">
                  <c:v>25.22</c:v>
                </c:pt>
                <c:pt idx="13">
                  <c:v>28.36</c:v>
                </c:pt>
                <c:pt idx="14">
                  <c:v>31.83</c:v>
                </c:pt>
                <c:pt idx="15">
                  <c:v>36.69</c:v>
                </c:pt>
                <c:pt idx="16">
                  <c:v>42.18</c:v>
                </c:pt>
                <c:pt idx="17">
                  <c:v>48.37</c:v>
                </c:pt>
                <c:pt idx="18">
                  <c:v>55.33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DC-4B0B-BFA5-1868E55D8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804751"/>
        <c:axId val="1617804335"/>
      </c:scatterChart>
      <c:valAx>
        <c:axId val="161780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17804335"/>
        <c:crosses val="autoZero"/>
        <c:crossBetween val="midCat"/>
      </c:valAx>
      <c:valAx>
        <c:axId val="161780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1780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25400</xdr:colOff>
      <xdr:row>18</xdr:row>
      <xdr:rowOff>57150</xdr:rowOff>
    </xdr:from>
    <xdr:ext cx="65" cy="172098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E51D946-0FB0-5F4C-8BC6-ECFA355C0137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494553</xdr:colOff>
      <xdr:row>1</xdr:row>
      <xdr:rowOff>185021</xdr:rowOff>
    </xdr:from>
    <xdr:to>
      <xdr:col>43</xdr:col>
      <xdr:colOff>486086</xdr:colOff>
      <xdr:row>14</xdr:row>
      <xdr:rowOff>79782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320E79-BB8E-CC44-89FF-A9E173DBD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479226</xdr:colOff>
      <xdr:row>15</xdr:row>
      <xdr:rowOff>79879</xdr:rowOff>
    </xdr:from>
    <xdr:to>
      <xdr:col>43</xdr:col>
      <xdr:colOff>492397</xdr:colOff>
      <xdr:row>29</xdr:row>
      <xdr:rowOff>130564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03AE70D-FFB1-9042-BE37-0431A1B5E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516255</xdr:colOff>
      <xdr:row>1</xdr:row>
      <xdr:rowOff>121709</xdr:rowOff>
    </xdr:from>
    <xdr:to>
      <xdr:col>31</xdr:col>
      <xdr:colOff>536575</xdr:colOff>
      <xdr:row>11</xdr:row>
      <xdr:rowOff>22225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6F52BD-1AA0-2346-A7A5-E2140BA4E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736600</xdr:colOff>
      <xdr:row>1</xdr:row>
      <xdr:rowOff>120650</xdr:rowOff>
    </xdr:from>
    <xdr:to>
      <xdr:col>36</xdr:col>
      <xdr:colOff>25400</xdr:colOff>
      <xdr:row>10</xdr:row>
      <xdr:rowOff>190500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DA2D144-32E6-2D4E-ACEB-2D94C478B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513644</xdr:colOff>
      <xdr:row>11</xdr:row>
      <xdr:rowOff>129822</xdr:rowOff>
    </xdr:from>
    <xdr:to>
      <xdr:col>31</xdr:col>
      <xdr:colOff>550333</xdr:colOff>
      <xdr:row>22</xdr:row>
      <xdr:rowOff>12700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48BDA3A-AE64-6E42-935E-4DFD1A388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754322</xdr:colOff>
      <xdr:row>12</xdr:row>
      <xdr:rowOff>18413</xdr:rowOff>
    </xdr:from>
    <xdr:to>
      <xdr:col>36</xdr:col>
      <xdr:colOff>35832</xdr:colOff>
      <xdr:row>22</xdr:row>
      <xdr:rowOff>33617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576D49D-5281-D249-863F-0D8D3588C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448733</xdr:colOff>
      <xdr:row>23</xdr:row>
      <xdr:rowOff>118533</xdr:rowOff>
    </xdr:from>
    <xdr:to>
      <xdr:col>31</xdr:col>
      <xdr:colOff>728134</xdr:colOff>
      <xdr:row>35</xdr:row>
      <xdr:rowOff>33867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B2C2969-6BD5-5943-A55E-D633FA616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194983</xdr:colOff>
      <xdr:row>23</xdr:row>
      <xdr:rowOff>40714</xdr:rowOff>
    </xdr:from>
    <xdr:to>
      <xdr:col>36</xdr:col>
      <xdr:colOff>306490</xdr:colOff>
      <xdr:row>34</xdr:row>
      <xdr:rowOff>134470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673F3F0-3409-ED4D-B09A-B57A09AEE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5773</xdr:colOff>
      <xdr:row>37</xdr:row>
      <xdr:rowOff>135081</xdr:rowOff>
    </xdr:from>
    <xdr:to>
      <xdr:col>36</xdr:col>
      <xdr:colOff>219364</xdr:colOff>
      <xdr:row>48</xdr:row>
      <xdr:rowOff>161636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6A40E7C-7C72-A74A-99DC-F05ED1684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386080</xdr:colOff>
      <xdr:row>37</xdr:row>
      <xdr:rowOff>149860</xdr:rowOff>
    </xdr:from>
    <xdr:to>
      <xdr:col>31</xdr:col>
      <xdr:colOff>772161</xdr:colOff>
      <xdr:row>48</xdr:row>
      <xdr:rowOff>162559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36C518A2-343C-2C44-8134-D9085EEA3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310444</xdr:colOff>
      <xdr:row>51</xdr:row>
      <xdr:rowOff>4232</xdr:rowOff>
    </xdr:from>
    <xdr:to>
      <xdr:col>31</xdr:col>
      <xdr:colOff>790222</xdr:colOff>
      <xdr:row>62</xdr:row>
      <xdr:rowOff>183445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DFE71F77-B77F-3F49-A447-7217AE431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15147</xdr:colOff>
      <xdr:row>66</xdr:row>
      <xdr:rowOff>183859</xdr:rowOff>
    </xdr:from>
    <xdr:to>
      <xdr:col>36</xdr:col>
      <xdr:colOff>326238</xdr:colOff>
      <xdr:row>77</xdr:row>
      <xdr:rowOff>34955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E7208D9-9309-3040-956D-C4FE0D6B3A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347134</xdr:colOff>
      <xdr:row>66</xdr:row>
      <xdr:rowOff>164533</xdr:rowOff>
    </xdr:from>
    <xdr:to>
      <xdr:col>31</xdr:col>
      <xdr:colOff>720182</xdr:colOff>
      <xdr:row>77</xdr:row>
      <xdr:rowOff>7744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3BB79AB-36AB-4446-8078-348209810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31</xdr:col>
      <xdr:colOff>792368</xdr:colOff>
      <xdr:row>80</xdr:row>
      <xdr:rowOff>70955</xdr:rowOff>
    </xdr:from>
    <xdr:to>
      <xdr:col>36</xdr:col>
      <xdr:colOff>469347</xdr:colOff>
      <xdr:row>90</xdr:row>
      <xdr:rowOff>193262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70EA9C77-67AA-004F-B0E8-4B8CA209C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27</xdr:col>
      <xdr:colOff>372534</xdr:colOff>
      <xdr:row>80</xdr:row>
      <xdr:rowOff>88169</xdr:rowOff>
    </xdr:from>
    <xdr:to>
      <xdr:col>31</xdr:col>
      <xdr:colOff>736600</xdr:colOff>
      <xdr:row>91</xdr:row>
      <xdr:rowOff>543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E8BE307C-BC50-8F4D-875E-251AF5B3A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201234</xdr:colOff>
      <xdr:row>98</xdr:row>
      <xdr:rowOff>21905</xdr:rowOff>
    </xdr:from>
    <xdr:to>
      <xdr:col>31</xdr:col>
      <xdr:colOff>778388</xdr:colOff>
      <xdr:row>109</xdr:row>
      <xdr:rowOff>95591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61C79B46-7A58-2E40-96FE-63B864B63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32</xdr:col>
      <xdr:colOff>6226</xdr:colOff>
      <xdr:row>97</xdr:row>
      <xdr:rowOff>188616</xdr:rowOff>
    </xdr:from>
    <xdr:to>
      <xdr:col>36</xdr:col>
      <xdr:colOff>655484</xdr:colOff>
      <xdr:row>109</xdr:row>
      <xdr:rowOff>163871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61318710-2EA4-B34F-80A6-6787E52C8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32</xdr:col>
      <xdr:colOff>137711</xdr:colOff>
      <xdr:row>115</xdr:row>
      <xdr:rowOff>142593</xdr:rowOff>
    </xdr:from>
    <xdr:to>
      <xdr:col>37</xdr:col>
      <xdr:colOff>487</xdr:colOff>
      <xdr:row>128</xdr:row>
      <xdr:rowOff>15302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3ED7D454-30C7-844B-8AB6-7F40DCB14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27</xdr:col>
      <xdr:colOff>325120</xdr:colOff>
      <xdr:row>115</xdr:row>
      <xdr:rowOff>147320</xdr:rowOff>
    </xdr:from>
    <xdr:to>
      <xdr:col>32</xdr:col>
      <xdr:colOff>60960</xdr:colOff>
      <xdr:row>128</xdr:row>
      <xdr:rowOff>50800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12594F46-E033-6D4C-8722-403332213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oneCellAnchor>
    <xdr:from>
      <xdr:col>8</xdr:col>
      <xdr:colOff>342900</xdr:colOff>
      <xdr:row>17</xdr:row>
      <xdr:rowOff>184150</xdr:rowOff>
    </xdr:from>
    <xdr:ext cx="65" cy="172098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6D800E4C-1FCB-C348-A251-D413A0BCB916}"/>
            </a:ext>
          </a:extLst>
        </xdr:cNvPr>
        <xdr:cNvSpPr txBox="1"/>
      </xdr:nvSpPr>
      <xdr:spPr>
        <a:xfrm>
          <a:off x="6629400" y="371475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32</xdr:col>
      <xdr:colOff>371475</xdr:colOff>
      <xdr:row>51</xdr:row>
      <xdr:rowOff>38100</xdr:rowOff>
    </xdr:from>
    <xdr:to>
      <xdr:col>36</xdr:col>
      <xdr:colOff>682566</xdr:colOff>
      <xdr:row>61</xdr:row>
      <xdr:rowOff>89221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0C531128-3A72-4A2F-8967-A7BB3D6238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793844</xdr:colOff>
      <xdr:row>27</xdr:row>
      <xdr:rowOff>206233</xdr:rowOff>
    </xdr:from>
    <xdr:ext cx="65" cy="34419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D4FD020-C29B-6649-B627-D8F91E25CC9B}"/>
            </a:ext>
          </a:extLst>
        </xdr:cNvPr>
        <xdr:cNvSpPr txBox="1"/>
      </xdr:nvSpPr>
      <xdr:spPr>
        <a:xfrm>
          <a:off x="12591073" y="5783522"/>
          <a:ext cx="65" cy="344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 b="0"/>
        </a:p>
        <a:p>
          <a:endParaRPr lang="pt-PT" sz="1100"/>
        </a:p>
      </xdr:txBody>
    </xdr:sp>
    <xdr:clientData/>
  </xdr:oneCellAnchor>
  <xdr:oneCellAnchor>
    <xdr:from>
      <xdr:col>15</xdr:col>
      <xdr:colOff>118454</xdr:colOff>
      <xdr:row>16</xdr:row>
      <xdr:rowOff>201538</xdr:rowOff>
    </xdr:from>
    <xdr:ext cx="65" cy="172098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7D92B00-D2B4-E34B-868C-F1AC9AB4CC31}"/>
            </a:ext>
          </a:extLst>
        </xdr:cNvPr>
        <xdr:cNvSpPr txBox="1"/>
      </xdr:nvSpPr>
      <xdr:spPr>
        <a:xfrm>
          <a:off x="11963875" y="3429949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  <xdr:twoCellAnchor>
    <xdr:from>
      <xdr:col>19</xdr:col>
      <xdr:colOff>568633</xdr:colOff>
      <xdr:row>0</xdr:row>
      <xdr:rowOff>0</xdr:rowOff>
    </xdr:from>
    <xdr:to>
      <xdr:col>23</xdr:col>
      <xdr:colOff>810775</xdr:colOff>
      <xdr:row>10</xdr:row>
      <xdr:rowOff>151973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EB46A72-44FA-ED49-9DA6-6C6245013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417184</xdr:colOff>
      <xdr:row>10</xdr:row>
      <xdr:rowOff>105251</xdr:rowOff>
    </xdr:from>
    <xdr:to>
      <xdr:col>37</xdr:col>
      <xdr:colOff>68418</xdr:colOff>
      <xdr:row>23</xdr:row>
      <xdr:rowOff>131885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B6DE572-7E3C-864B-A865-EE27134C0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474310</xdr:colOff>
      <xdr:row>11</xdr:row>
      <xdr:rowOff>79006</xdr:rowOff>
    </xdr:from>
    <xdr:to>
      <xdr:col>23</xdr:col>
      <xdr:colOff>641257</xdr:colOff>
      <xdr:row>22</xdr:row>
      <xdr:rowOff>183513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50CDC06-2F99-D843-AA7E-9BB42CED9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205748</xdr:colOff>
      <xdr:row>23</xdr:row>
      <xdr:rowOff>108682</xdr:rowOff>
    </xdr:from>
    <xdr:to>
      <xdr:col>23</xdr:col>
      <xdr:colOff>428836</xdr:colOff>
      <xdr:row>33</xdr:row>
      <xdr:rowOff>15327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B57A0A51-8950-E540-80BD-EA74B5D85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238138</xdr:colOff>
      <xdr:row>33</xdr:row>
      <xdr:rowOff>105055</xdr:rowOff>
    </xdr:from>
    <xdr:to>
      <xdr:col>23</xdr:col>
      <xdr:colOff>464520</xdr:colOff>
      <xdr:row>43</xdr:row>
      <xdr:rowOff>9905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B7317CA-86D7-3240-8F64-132E524C4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313660</xdr:colOff>
      <xdr:row>9</xdr:row>
      <xdr:rowOff>109181</xdr:rowOff>
    </xdr:from>
    <xdr:to>
      <xdr:col>30</xdr:col>
      <xdr:colOff>749792</xdr:colOff>
      <xdr:row>22</xdr:row>
      <xdr:rowOff>145705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41D1B6E2-A5B1-474B-AB0B-0F001768B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354101</xdr:colOff>
      <xdr:row>53</xdr:row>
      <xdr:rowOff>61156</xdr:rowOff>
    </xdr:from>
    <xdr:to>
      <xdr:col>23</xdr:col>
      <xdr:colOff>100099</xdr:colOff>
      <xdr:row>63</xdr:row>
      <xdr:rowOff>18246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542FC28F-4B0F-844D-A47E-C9C6A9232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253345</xdr:colOff>
      <xdr:row>43</xdr:row>
      <xdr:rowOff>90385</xdr:rowOff>
    </xdr:from>
    <xdr:to>
      <xdr:col>23</xdr:col>
      <xdr:colOff>467126</xdr:colOff>
      <xdr:row>52</xdr:row>
      <xdr:rowOff>175172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4454E870-D9C2-0C40-A4E3-D5A25E425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273385</xdr:colOff>
      <xdr:row>62</xdr:row>
      <xdr:rowOff>118442</xdr:rowOff>
    </xdr:from>
    <xdr:to>
      <xdr:col>23</xdr:col>
      <xdr:colOff>353936</xdr:colOff>
      <xdr:row>71</xdr:row>
      <xdr:rowOff>145738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E265F8E-B4B6-DE4A-A5C4-597A70374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153444</xdr:colOff>
      <xdr:row>72</xdr:row>
      <xdr:rowOff>48481</xdr:rowOff>
    </xdr:from>
    <xdr:to>
      <xdr:col>23</xdr:col>
      <xdr:colOff>365343</xdr:colOff>
      <xdr:row>82</xdr:row>
      <xdr:rowOff>139178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ECCF476-44C9-AD47-94BE-3F58FD362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19</xdr:col>
      <xdr:colOff>161191</xdr:colOff>
      <xdr:row>83</xdr:row>
      <xdr:rowOff>32655</xdr:rowOff>
    </xdr:from>
    <xdr:to>
      <xdr:col>23</xdr:col>
      <xdr:colOff>501549</xdr:colOff>
      <xdr:row>93</xdr:row>
      <xdr:rowOff>104018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3AB504EB-6ADF-1745-8059-776D88B61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205575</xdr:colOff>
      <xdr:row>1</xdr:row>
      <xdr:rowOff>0</xdr:rowOff>
    </xdr:from>
    <xdr:ext cx="6690527" cy="418522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AF419F-0E74-BD4B-BFA6-784E1AA70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26</xdr:col>
      <xdr:colOff>455191</xdr:colOff>
      <xdr:row>0</xdr:row>
      <xdr:rowOff>188664</xdr:rowOff>
    </xdr:from>
    <xdr:ext cx="7335175" cy="4333775"/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B94450-91E6-C742-A7B0-F1B9BD2C2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25</xdr:col>
      <xdr:colOff>7326</xdr:colOff>
      <xdr:row>23</xdr:row>
      <xdr:rowOff>0</xdr:rowOff>
    </xdr:from>
    <xdr:ext cx="7335175" cy="4333775"/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495940F-3A16-4584-B2AB-473A9EB26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468923</xdr:colOff>
      <xdr:row>5</xdr:row>
      <xdr:rowOff>14653</xdr:rowOff>
    </xdr:from>
    <xdr:to>
      <xdr:col>10</xdr:col>
      <xdr:colOff>29308</xdr:colOff>
      <xdr:row>18</xdr:row>
      <xdr:rowOff>186103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708B7E5-F468-4E13-A411-7C1AF6170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rgi\Desktop\T2AFALSO.xlsx" TargetMode="External"/><Relationship Id="rId1" Type="http://schemas.openxmlformats.org/officeDocument/2006/relationships/externalLinkPath" Target="/Users/sergi/Desktop/T2AFALS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ubos"/>
      <sheetName val="1ª Parte (v)"/>
      <sheetName val="Δy"/>
      <sheetName val="2ª Parte (v)"/>
      <sheetName val="p(T)"/>
    </sheetNames>
    <sheetDataSet>
      <sheetData sheetId="0"/>
      <sheetData sheetId="1"/>
      <sheetData sheetId="2"/>
      <sheetData sheetId="3"/>
      <sheetData sheetId="4">
        <row r="3">
          <cell r="D3" t="str">
            <v>pH2O (mmHg)</v>
          </cell>
        </row>
        <row r="4">
          <cell r="C4">
            <v>0</v>
          </cell>
          <cell r="D4">
            <v>4.58</v>
          </cell>
        </row>
        <row r="5">
          <cell r="C5">
            <v>5</v>
          </cell>
          <cell r="D5">
            <v>6.54</v>
          </cell>
        </row>
        <row r="6">
          <cell r="C6">
            <v>10</v>
          </cell>
          <cell r="D6">
            <v>9.2100000000000009</v>
          </cell>
        </row>
        <row r="7">
          <cell r="C7">
            <v>12</v>
          </cell>
          <cell r="D7">
            <v>10.52</v>
          </cell>
        </row>
        <row r="8">
          <cell r="C8">
            <v>14</v>
          </cell>
          <cell r="D8">
            <v>11.9</v>
          </cell>
        </row>
        <row r="9">
          <cell r="C9">
            <v>15</v>
          </cell>
          <cell r="D9">
            <v>12.79</v>
          </cell>
        </row>
        <row r="10">
          <cell r="C10">
            <v>16</v>
          </cell>
          <cell r="D10">
            <v>13.64</v>
          </cell>
        </row>
        <row r="11">
          <cell r="C11">
            <v>18</v>
          </cell>
          <cell r="D11">
            <v>15.49</v>
          </cell>
        </row>
        <row r="12">
          <cell r="C12">
            <v>20</v>
          </cell>
          <cell r="D12">
            <v>17.54</v>
          </cell>
        </row>
        <row r="13">
          <cell r="C13">
            <v>22</v>
          </cell>
          <cell r="D13">
            <v>19.84</v>
          </cell>
        </row>
        <row r="14">
          <cell r="C14">
            <v>24</v>
          </cell>
          <cell r="D14">
            <v>22.39</v>
          </cell>
        </row>
        <row r="15">
          <cell r="C15">
            <v>25</v>
          </cell>
          <cell r="D15">
            <v>23.77</v>
          </cell>
        </row>
        <row r="16">
          <cell r="C16">
            <v>26</v>
          </cell>
          <cell r="D16">
            <v>25.22</v>
          </cell>
        </row>
        <row r="17">
          <cell r="C17">
            <v>28</v>
          </cell>
          <cell r="D17">
            <v>28.36</v>
          </cell>
        </row>
        <row r="18">
          <cell r="C18">
            <v>30</v>
          </cell>
          <cell r="D18">
            <v>31.83</v>
          </cell>
        </row>
        <row r="19">
          <cell r="C19">
            <v>32.5</v>
          </cell>
          <cell r="D19">
            <v>36.69</v>
          </cell>
        </row>
        <row r="20">
          <cell r="C20">
            <v>35</v>
          </cell>
          <cell r="D20">
            <v>42.18</v>
          </cell>
        </row>
        <row r="21">
          <cell r="C21">
            <v>37.5</v>
          </cell>
          <cell r="D21">
            <v>48.37</v>
          </cell>
        </row>
        <row r="22">
          <cell r="C22">
            <v>40</v>
          </cell>
          <cell r="D22">
            <v>55.33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47A3-DF51-5D47-A19F-5B6BB5E8F4BC}">
  <dimension ref="B3:Q12"/>
  <sheetViews>
    <sheetView zoomScale="92" workbookViewId="0">
      <selection activeCell="G17" sqref="G17"/>
    </sheetView>
  </sheetViews>
  <sheetFormatPr defaultColWidth="11" defaultRowHeight="15.75"/>
  <cols>
    <col min="1" max="1" width="4.25" customWidth="1"/>
    <col min="2" max="2" width="17.5" customWidth="1"/>
  </cols>
  <sheetData>
    <row r="3" spans="2:17">
      <c r="C3" s="45" t="s">
        <v>0</v>
      </c>
      <c r="D3" s="45" t="s">
        <v>1</v>
      </c>
      <c r="E3" s="45" t="s">
        <v>2</v>
      </c>
      <c r="F3" s="45" t="s">
        <v>3</v>
      </c>
      <c r="G3" s="45" t="s">
        <v>4</v>
      </c>
      <c r="H3" s="45" t="s">
        <v>5</v>
      </c>
      <c r="I3" s="45" t="s">
        <v>6</v>
      </c>
      <c r="J3" s="45" t="s">
        <v>7</v>
      </c>
      <c r="K3" s="45" t="s">
        <v>8</v>
      </c>
      <c r="L3" s="45" t="s">
        <v>9</v>
      </c>
      <c r="M3" s="45" t="s">
        <v>10</v>
      </c>
      <c r="N3" s="45" t="s">
        <v>11</v>
      </c>
      <c r="O3" s="45" t="s">
        <v>12</v>
      </c>
      <c r="P3" s="45" t="s">
        <v>13</v>
      </c>
      <c r="Q3" s="45" t="s">
        <v>14</v>
      </c>
    </row>
    <row r="4" spans="2:17">
      <c r="B4" s="70" t="s">
        <v>15</v>
      </c>
      <c r="C4" s="44">
        <v>1</v>
      </c>
      <c r="D4" s="19">
        <v>6.06</v>
      </c>
      <c r="E4" s="19">
        <v>6.07</v>
      </c>
      <c r="F4" s="19">
        <v>6.0609999999999999</v>
      </c>
      <c r="G4" s="19">
        <v>6.08</v>
      </c>
      <c r="H4" s="19">
        <v>6.0839999999999996</v>
      </c>
      <c r="I4" s="19">
        <f>AVERAGE(D4:H4)</f>
        <v>6.0709999999999997</v>
      </c>
      <c r="J4" s="19">
        <f>(_xlfn.STDEV.S(D4:H4))/(SQRT(5))</f>
        <v>4.8579831205964518E-3</v>
      </c>
      <c r="K4" s="19">
        <v>0.96</v>
      </c>
      <c r="L4" s="19">
        <v>0.97</v>
      </c>
      <c r="M4" s="19">
        <v>0.95799999999999996</v>
      </c>
      <c r="N4" s="19">
        <v>0.94</v>
      </c>
      <c r="O4" s="19">
        <v>1.06</v>
      </c>
      <c r="P4" s="19">
        <f>AVERAGE(K4:O4)</f>
        <v>0.97760000000000002</v>
      </c>
      <c r="Q4" s="19">
        <f>(_xlfn.STDEV.S(K4:O4))/(SQRT(5))</f>
        <v>2.1160340261914524E-2</v>
      </c>
    </row>
    <row r="5" spans="2:17">
      <c r="B5" s="70"/>
      <c r="C5" s="44">
        <v>2</v>
      </c>
      <c r="D5" s="19">
        <v>12.07</v>
      </c>
      <c r="E5" s="19">
        <v>12.06</v>
      </c>
      <c r="F5" s="19">
        <v>12.077999999999999</v>
      </c>
      <c r="G5" s="19">
        <v>12.064</v>
      </c>
      <c r="H5" s="19">
        <v>12.071999999999999</v>
      </c>
      <c r="I5" s="19">
        <f t="shared" ref="I5:I12" si="0">AVERAGE(D5:H5)</f>
        <v>12.0688</v>
      </c>
      <c r="J5" s="19">
        <f t="shared" ref="J5:J12" si="1">(_xlfn.STDEV.S(D5:H5))/(SQRT(5))</f>
        <v>3.1368774282714259E-3</v>
      </c>
      <c r="K5" s="19">
        <v>1.054</v>
      </c>
      <c r="L5" s="19">
        <v>1.048</v>
      </c>
      <c r="M5" s="19">
        <v>1.05</v>
      </c>
      <c r="N5" s="19">
        <v>1.054</v>
      </c>
      <c r="O5" s="19">
        <v>1.056</v>
      </c>
      <c r="P5" s="19">
        <f t="shared" ref="P5:P12" si="2">AVERAGE(K5:O5)</f>
        <v>1.0524</v>
      </c>
      <c r="Q5" s="19">
        <f t="shared" ref="Q5:Q12" si="3">(_xlfn.STDEV.S(K5:O5))/(SQRT(5))</f>
        <v>1.469693845669908E-3</v>
      </c>
    </row>
    <row r="6" spans="2:17">
      <c r="B6" s="70"/>
      <c r="C6" s="44">
        <v>3</v>
      </c>
      <c r="D6" s="19">
        <v>13.01</v>
      </c>
      <c r="E6" s="19">
        <v>13.012</v>
      </c>
      <c r="F6" s="19">
        <v>13.007999999999999</v>
      </c>
      <c r="G6" s="19">
        <v>13.01</v>
      </c>
      <c r="H6" s="19">
        <v>13.013999999999999</v>
      </c>
      <c r="I6" s="19">
        <f t="shared" si="0"/>
        <v>13.0108</v>
      </c>
      <c r="J6" s="19">
        <f t="shared" si="1"/>
        <v>1.0198039027186187E-3</v>
      </c>
      <c r="K6" s="19">
        <v>1.05</v>
      </c>
      <c r="L6" s="19">
        <v>1.054</v>
      </c>
      <c r="M6" s="19">
        <v>1.0580000000000001</v>
      </c>
      <c r="N6" s="19">
        <v>1.048</v>
      </c>
      <c r="O6" s="19">
        <v>1.07</v>
      </c>
      <c r="P6" s="19">
        <f t="shared" si="2"/>
        <v>1.056</v>
      </c>
      <c r="Q6" s="19">
        <f t="shared" si="3"/>
        <v>3.8987177379235893E-3</v>
      </c>
    </row>
    <row r="7" spans="2:17">
      <c r="B7" s="70"/>
      <c r="C7" s="44">
        <v>4</v>
      </c>
      <c r="D7" s="19">
        <v>14.1</v>
      </c>
      <c r="E7" s="19">
        <v>14.01</v>
      </c>
      <c r="F7" s="19">
        <v>14.08</v>
      </c>
      <c r="G7" s="19">
        <v>14.06</v>
      </c>
      <c r="H7" s="19">
        <v>14.1</v>
      </c>
      <c r="I7" s="19">
        <f t="shared" si="0"/>
        <v>14.069999999999999</v>
      </c>
      <c r="J7" s="19">
        <f t="shared" si="1"/>
        <v>1.6733200530681471E-2</v>
      </c>
      <c r="K7" s="19">
        <v>1.07</v>
      </c>
      <c r="L7" s="19">
        <v>1.0649999999999999</v>
      </c>
      <c r="M7" s="19">
        <v>1.0489999999999999</v>
      </c>
      <c r="N7" s="19">
        <v>1.073</v>
      </c>
      <c r="O7" s="19">
        <v>1.081</v>
      </c>
      <c r="P7" s="19">
        <f t="shared" si="2"/>
        <v>1.0675999999999999</v>
      </c>
      <c r="Q7" s="19">
        <f t="shared" si="3"/>
        <v>5.3254107822777461E-3</v>
      </c>
    </row>
    <row r="8" spans="2:17">
      <c r="B8" s="70" t="s">
        <v>16</v>
      </c>
      <c r="C8" s="44">
        <v>5</v>
      </c>
      <c r="D8" s="19">
        <v>14.95</v>
      </c>
      <c r="E8" s="19">
        <v>15</v>
      </c>
      <c r="F8" s="19">
        <v>14.9</v>
      </c>
      <c r="G8" s="19">
        <v>14.98</v>
      </c>
      <c r="H8" s="19">
        <v>15.01</v>
      </c>
      <c r="I8" s="19">
        <f t="shared" si="0"/>
        <v>14.968</v>
      </c>
      <c r="J8" s="19">
        <f>(_xlfn.STDEV.S(D8:H8))/(SQRT(5))</f>
        <v>1.984943324127917E-2</v>
      </c>
      <c r="K8" s="54">
        <v>1</v>
      </c>
      <c r="L8" s="54">
        <v>1.006</v>
      </c>
      <c r="M8" s="54">
        <v>1.0089999999999999</v>
      </c>
      <c r="N8" s="54">
        <v>1.0149999999999999</v>
      </c>
      <c r="O8" s="54">
        <v>0.995</v>
      </c>
      <c r="P8" s="19">
        <f t="shared" si="2"/>
        <v>1.0050000000000001</v>
      </c>
      <c r="Q8" s="19">
        <f t="shared" si="3"/>
        <v>3.4785054261851976E-3</v>
      </c>
    </row>
    <row r="9" spans="2:17">
      <c r="B9" s="70"/>
      <c r="C9" s="44">
        <v>6</v>
      </c>
      <c r="D9" s="19">
        <v>16.98</v>
      </c>
      <c r="E9" s="19">
        <v>17</v>
      </c>
      <c r="F9" s="19">
        <v>16.989999999999998</v>
      </c>
      <c r="G9" s="19">
        <v>17.02</v>
      </c>
      <c r="H9" s="19">
        <v>17.010000000000002</v>
      </c>
      <c r="I9" s="19">
        <f t="shared" si="0"/>
        <v>17</v>
      </c>
      <c r="J9" s="19">
        <f t="shared" si="1"/>
        <v>7.0710678118655751E-3</v>
      </c>
      <c r="K9" s="54">
        <v>1.01</v>
      </c>
      <c r="L9" s="54">
        <v>1.0069999999999999</v>
      </c>
      <c r="M9" s="54">
        <v>1.014</v>
      </c>
      <c r="N9" s="54">
        <v>1.0049999999999999</v>
      </c>
      <c r="O9" s="54">
        <v>1.0089999999999999</v>
      </c>
      <c r="P9" s="19">
        <f t="shared" si="2"/>
        <v>1.0089999999999999</v>
      </c>
      <c r="Q9" s="19">
        <f t="shared" si="3"/>
        <v>1.5165750888103335E-3</v>
      </c>
    </row>
    <row r="10" spans="2:17">
      <c r="B10" s="70"/>
      <c r="C10" s="44">
        <v>7</v>
      </c>
      <c r="D10" s="19">
        <v>18</v>
      </c>
      <c r="E10" s="19">
        <v>18</v>
      </c>
      <c r="F10" s="19">
        <v>18.010000000000002</v>
      </c>
      <c r="G10" s="19">
        <v>18.03</v>
      </c>
      <c r="H10" s="19">
        <v>17.98</v>
      </c>
      <c r="I10" s="19">
        <f t="shared" si="0"/>
        <v>18.004000000000001</v>
      </c>
      <c r="J10" s="19">
        <f t="shared" si="1"/>
        <v>8.1240384046361372E-3</v>
      </c>
      <c r="K10" s="54">
        <v>1.04</v>
      </c>
      <c r="L10" s="54">
        <v>1.0409999999999999</v>
      </c>
      <c r="M10" s="54">
        <v>1.0469999999999999</v>
      </c>
      <c r="N10" s="54">
        <v>1.038</v>
      </c>
      <c r="O10" s="54">
        <v>1.0349999999999999</v>
      </c>
      <c r="P10" s="19">
        <f t="shared" si="2"/>
        <v>1.0402</v>
      </c>
      <c r="Q10" s="19">
        <f t="shared" si="3"/>
        <v>1.9849433241279158E-3</v>
      </c>
    </row>
    <row r="11" spans="2:17">
      <c r="B11" s="70"/>
      <c r="C11" s="44">
        <v>8</v>
      </c>
      <c r="D11" s="19">
        <v>21.9</v>
      </c>
      <c r="E11" s="19">
        <v>22</v>
      </c>
      <c r="F11" s="19">
        <v>22.1</v>
      </c>
      <c r="G11" s="19">
        <v>22.09</v>
      </c>
      <c r="H11" s="19">
        <v>21.99</v>
      </c>
      <c r="I11" s="19">
        <f t="shared" si="0"/>
        <v>22.015999999999998</v>
      </c>
      <c r="J11" s="19">
        <f t="shared" si="1"/>
        <v>3.6687872655688708E-2</v>
      </c>
      <c r="K11" s="54">
        <v>1.05</v>
      </c>
      <c r="L11" s="54">
        <v>1.07</v>
      </c>
      <c r="M11" s="54">
        <v>1.02</v>
      </c>
      <c r="N11" s="54">
        <v>0.995</v>
      </c>
      <c r="O11" s="54">
        <v>0.999</v>
      </c>
      <c r="P11" s="19">
        <f t="shared" si="2"/>
        <v>1.0267999999999999</v>
      </c>
      <c r="Q11" s="19">
        <f t="shared" si="3"/>
        <v>1.4551288602732073E-2</v>
      </c>
    </row>
    <row r="12" spans="2:17">
      <c r="B12" s="70"/>
      <c r="C12" s="44">
        <v>9</v>
      </c>
      <c r="D12" s="19">
        <v>26.1</v>
      </c>
      <c r="E12" s="19">
        <v>26.12</v>
      </c>
      <c r="F12" s="19">
        <v>26.21</v>
      </c>
      <c r="G12" s="19">
        <v>25.99</v>
      </c>
      <c r="H12" s="19">
        <v>26.05</v>
      </c>
      <c r="I12" s="19">
        <f t="shared" si="0"/>
        <v>26.094000000000001</v>
      </c>
      <c r="J12" s="19">
        <f t="shared" si="1"/>
        <v>3.6687872655688639E-2</v>
      </c>
      <c r="K12" s="54">
        <v>1.038</v>
      </c>
      <c r="L12" s="54">
        <v>1.0449999999999999</v>
      </c>
      <c r="M12" s="54">
        <v>1.0409999999999999</v>
      </c>
      <c r="N12" s="54">
        <v>1.0349999999999999</v>
      </c>
      <c r="O12" s="54">
        <v>1.0389999999999999</v>
      </c>
      <c r="P12" s="19">
        <f t="shared" si="2"/>
        <v>1.0395999999999999</v>
      </c>
      <c r="Q12" s="19">
        <f t="shared" si="3"/>
        <v>1.6613247725836111E-3</v>
      </c>
    </row>
  </sheetData>
  <mergeCells count="2">
    <mergeCell ref="B4:B7"/>
    <mergeCell ref="B8:B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06A8-5049-E942-8831-3A487B26A723}">
  <dimension ref="A2:AA131"/>
  <sheetViews>
    <sheetView topLeftCell="N56" zoomScale="85" zoomScaleNormal="85" workbookViewId="0">
      <selection activeCell="O57" sqref="O57"/>
    </sheetView>
  </sheetViews>
  <sheetFormatPr defaultColWidth="10.75" defaultRowHeight="15.75"/>
  <cols>
    <col min="1" max="1" width="5.25" style="1" customWidth="1"/>
    <col min="2" max="2" width="15" style="1" customWidth="1"/>
    <col min="3" max="5" width="10.75" style="1"/>
    <col min="6" max="6" width="12.25" style="1" bestFit="1" customWidth="1"/>
    <col min="7" max="11" width="10.75" style="1"/>
    <col min="12" max="12" width="12.25" style="1" bestFit="1" customWidth="1"/>
    <col min="13" max="20" width="10.75" style="1"/>
    <col min="21" max="21" width="15.75" style="1" bestFit="1" customWidth="1"/>
    <col min="22" max="22" width="12.25" style="1" customWidth="1"/>
    <col min="23" max="24" width="10.75" style="1"/>
    <col min="25" max="25" width="12.5" style="1" customWidth="1"/>
    <col min="26" max="16384" width="10.75" style="1"/>
  </cols>
  <sheetData>
    <row r="2" spans="2:27">
      <c r="B2" s="45" t="s">
        <v>0</v>
      </c>
      <c r="C2" s="45" t="s">
        <v>6</v>
      </c>
      <c r="D2" s="45" t="s">
        <v>7</v>
      </c>
      <c r="E2" s="45" t="s">
        <v>17</v>
      </c>
      <c r="F2" s="45" t="s">
        <v>18</v>
      </c>
      <c r="G2" s="45" t="s">
        <v>13</v>
      </c>
      <c r="H2" s="45" t="s">
        <v>14</v>
      </c>
      <c r="I2" s="45" t="s">
        <v>19</v>
      </c>
      <c r="J2" s="45" t="s">
        <v>20</v>
      </c>
    </row>
    <row r="3" spans="2:27" ht="16.5" thickBot="1">
      <c r="B3" s="2">
        <v>1</v>
      </c>
      <c r="C3" s="15">
        <f>Tubos!I4</f>
        <v>6.0709999999999997</v>
      </c>
      <c r="D3" s="15">
        <f>Tubos!J4</f>
        <v>4.8579831205964518E-3</v>
      </c>
      <c r="E3" s="13">
        <f>C3*10^-3</f>
        <v>6.071E-3</v>
      </c>
      <c r="F3" s="13">
        <f>D3*10^-3</f>
        <v>4.8579831205964523E-6</v>
      </c>
      <c r="G3" s="15">
        <f>Tubos!P4</f>
        <v>0.97760000000000002</v>
      </c>
      <c r="H3" s="15">
        <f>Tubos!Q4</f>
        <v>2.1160340261914524E-2</v>
      </c>
      <c r="I3" s="13">
        <f>G3*10^-3</f>
        <v>9.7760000000000013E-4</v>
      </c>
      <c r="J3" s="13">
        <f>H3*10^-3</f>
        <v>2.1160340261914524E-5</v>
      </c>
      <c r="T3" s="71">
        <v>1</v>
      </c>
      <c r="U3" s="72"/>
      <c r="V3" s="73"/>
    </row>
    <row r="4" spans="2:27" ht="16.5" thickBot="1">
      <c r="B4" s="2">
        <v>2</v>
      </c>
      <c r="C4" s="15">
        <f>Tubos!I5</f>
        <v>12.0688</v>
      </c>
      <c r="D4" s="15">
        <f>Tubos!J5</f>
        <v>3.1368774282714259E-3</v>
      </c>
      <c r="E4" s="13">
        <f t="shared" ref="E4:E11" si="0">C4*10^-3</f>
        <v>1.2068799999999999E-2</v>
      </c>
      <c r="F4" s="13">
        <f t="shared" ref="F4:F11" si="1">D4*10^-3</f>
        <v>3.136877428271426E-6</v>
      </c>
      <c r="G4" s="15">
        <f>Tubos!P5</f>
        <v>1.0524</v>
      </c>
      <c r="H4" s="15">
        <f>Tubos!Q5</f>
        <v>1.469693845669908E-3</v>
      </c>
      <c r="I4" s="13">
        <f t="shared" ref="I4:I11" si="2">G4*10^-3</f>
        <v>1.0524E-3</v>
      </c>
      <c r="J4" s="13">
        <f t="shared" ref="J4:J11" si="3">H4*10^-3</f>
        <v>1.4696938456699081E-6</v>
      </c>
      <c r="K4" s="69"/>
      <c r="S4" s="46" t="s">
        <v>21</v>
      </c>
      <c r="T4" s="46" t="s">
        <v>22</v>
      </c>
      <c r="U4" s="46" t="s">
        <v>23</v>
      </c>
      <c r="V4" s="46" t="s">
        <v>24</v>
      </c>
      <c r="X4" s="74">
        <v>1</v>
      </c>
      <c r="Y4" s="75"/>
      <c r="Z4" s="75"/>
      <c r="AA4" s="76"/>
    </row>
    <row r="5" spans="2:27">
      <c r="B5" s="2">
        <v>3</v>
      </c>
      <c r="C5" s="15">
        <f>Tubos!I6</f>
        <v>13.0108</v>
      </c>
      <c r="D5" s="15">
        <f>Tubos!J6</f>
        <v>1.0198039027186187E-3</v>
      </c>
      <c r="E5" s="13">
        <f t="shared" si="0"/>
        <v>1.3010799999999999E-2</v>
      </c>
      <c r="F5" s="13">
        <f t="shared" si="1"/>
        <v>1.0198039027186187E-6</v>
      </c>
      <c r="G5" s="15">
        <f>Tubos!P6</f>
        <v>1.056</v>
      </c>
      <c r="H5" s="15">
        <f>Tubos!Q6</f>
        <v>3.8987177379235893E-3</v>
      </c>
      <c r="I5" s="13">
        <f t="shared" si="2"/>
        <v>1.0560000000000001E-3</v>
      </c>
      <c r="J5" s="13">
        <f t="shared" si="3"/>
        <v>3.8987177379235894E-6</v>
      </c>
      <c r="K5" s="69"/>
      <c r="R5" s="2"/>
      <c r="S5" s="47">
        <v>1</v>
      </c>
      <c r="T5" s="1">
        <v>1330</v>
      </c>
      <c r="U5" s="8" cm="1">
        <f t="array" ref="U5:U8">$Y$5*S5:S8+$Z$5</f>
        <v>1302.8000000000006</v>
      </c>
      <c r="V5" s="2">
        <f>U5-R5</f>
        <v>1302.8000000000006</v>
      </c>
      <c r="X5" s="48" t="s">
        <v>25</v>
      </c>
      <c r="Y5" s="7">
        <f t="array" ref="Y5:Z7">LINEST(T5:T8,S5:S8,1,1)</f>
        <v>2729.7999999999997</v>
      </c>
      <c r="Z5" s="11">
        <v>-1426.9999999999991</v>
      </c>
      <c r="AA5" s="48" t="s">
        <v>26</v>
      </c>
    </row>
    <row r="6" spans="2:27">
      <c r="B6" s="2">
        <v>4</v>
      </c>
      <c r="C6" s="15">
        <f>Tubos!I7</f>
        <v>14.069999999999999</v>
      </c>
      <c r="D6" s="15">
        <f>Tubos!J7</f>
        <v>1.6733200530681471E-2</v>
      </c>
      <c r="E6" s="13">
        <f t="shared" si="0"/>
        <v>1.4069999999999999E-2</v>
      </c>
      <c r="F6" s="13">
        <f t="shared" si="1"/>
        <v>1.673320053068147E-5</v>
      </c>
      <c r="G6" s="15">
        <f>Tubos!P7</f>
        <v>1.0675999999999999</v>
      </c>
      <c r="H6" s="15">
        <f>Tubos!Q7</f>
        <v>5.3254107822777461E-3</v>
      </c>
      <c r="I6" s="13">
        <f t="shared" si="2"/>
        <v>1.0675999999999999E-3</v>
      </c>
      <c r="J6" s="13">
        <f t="shared" si="3"/>
        <v>5.3254107822777466E-6</v>
      </c>
      <c r="K6" s="69"/>
      <c r="S6" s="47">
        <v>2</v>
      </c>
      <c r="T6" s="2">
        <v>4015</v>
      </c>
      <c r="U6" s="2">
        <v>4032.6000000000004</v>
      </c>
      <c r="V6" s="2">
        <f t="shared" ref="V6:V8" si="4">U6-T6</f>
        <v>17.600000000000364</v>
      </c>
      <c r="X6" s="45" t="s">
        <v>27</v>
      </c>
      <c r="Y6" s="10">
        <v>21.346662502602122</v>
      </c>
      <c r="Z6" s="10">
        <v>58.460242900624316</v>
      </c>
      <c r="AA6" s="45" t="s">
        <v>28</v>
      </c>
    </row>
    <row r="7" spans="2:27" ht="17.25">
      <c r="B7" s="2">
        <v>5</v>
      </c>
      <c r="C7" s="6">
        <f>Tubos!I8</f>
        <v>14.968</v>
      </c>
      <c r="D7" s="6">
        <f>Tubos!J8</f>
        <v>1.984943324127917E-2</v>
      </c>
      <c r="E7" s="14">
        <f t="shared" si="0"/>
        <v>1.4968E-2</v>
      </c>
      <c r="F7" s="14">
        <f t="shared" si="1"/>
        <v>1.9849433241279172E-5</v>
      </c>
      <c r="G7" s="15">
        <f>Tubos!P8</f>
        <v>1.0050000000000001</v>
      </c>
      <c r="H7" s="15">
        <f>Tubos!Q8</f>
        <v>3.4785054261851976E-3</v>
      </c>
      <c r="I7" s="13">
        <f t="shared" si="2"/>
        <v>1.005E-3</v>
      </c>
      <c r="J7" s="13">
        <f t="shared" si="3"/>
        <v>3.4785054261851976E-6</v>
      </c>
      <c r="K7" s="69"/>
      <c r="S7" s="47">
        <v>3</v>
      </c>
      <c r="T7" s="2">
        <v>6716</v>
      </c>
      <c r="U7" s="2">
        <v>6762.4000000000005</v>
      </c>
      <c r="V7" s="2">
        <f t="shared" si="4"/>
        <v>46.400000000000546</v>
      </c>
      <c r="X7" s="45" t="s">
        <v>29</v>
      </c>
      <c r="Y7" s="13">
        <v>0.99987771443535101</v>
      </c>
      <c r="Z7" s="10">
        <v>47.732588448564123</v>
      </c>
      <c r="AA7" s="45" t="s">
        <v>30</v>
      </c>
    </row>
    <row r="8" spans="2:27">
      <c r="B8" s="2">
        <v>6</v>
      </c>
      <c r="C8" s="6">
        <f>Tubos!I9</f>
        <v>17</v>
      </c>
      <c r="D8" s="6">
        <f>Tubos!J9</f>
        <v>7.0710678118655751E-3</v>
      </c>
      <c r="E8" s="14">
        <f t="shared" si="0"/>
        <v>1.7000000000000001E-2</v>
      </c>
      <c r="F8" s="14">
        <f t="shared" si="1"/>
        <v>7.0710678118655755E-6</v>
      </c>
      <c r="G8" s="15">
        <f>Tubos!P9</f>
        <v>1.0089999999999999</v>
      </c>
      <c r="H8" s="15">
        <f>Tubos!Q9</f>
        <v>1.5165750888103335E-3</v>
      </c>
      <c r="I8" s="13">
        <f t="shared" si="2"/>
        <v>1.0089999999999999E-3</v>
      </c>
      <c r="J8" s="13">
        <f t="shared" si="3"/>
        <v>1.5165750888103334E-6</v>
      </c>
      <c r="K8" s="69"/>
      <c r="S8" s="47">
        <v>4</v>
      </c>
      <c r="T8" s="2">
        <v>9529</v>
      </c>
      <c r="U8" s="2">
        <v>9492.2000000000007</v>
      </c>
      <c r="V8" s="2">
        <f t="shared" si="4"/>
        <v>-36.799999999999272</v>
      </c>
      <c r="Y8" s="3"/>
      <c r="Z8" s="3"/>
      <c r="AA8" s="3"/>
    </row>
    <row r="9" spans="2:27">
      <c r="B9" s="2">
        <v>7</v>
      </c>
      <c r="C9" s="6">
        <f>Tubos!I10</f>
        <v>18.004000000000001</v>
      </c>
      <c r="D9" s="6">
        <f>Tubos!J10</f>
        <v>8.1240384046361372E-3</v>
      </c>
      <c r="E9" s="14">
        <f t="shared" si="0"/>
        <v>1.8004000000000003E-2</v>
      </c>
      <c r="F9" s="14">
        <f t="shared" si="1"/>
        <v>8.1240384046361374E-6</v>
      </c>
      <c r="G9" s="15">
        <f>Tubos!P10</f>
        <v>1.0402</v>
      </c>
      <c r="H9" s="15">
        <f>Tubos!Q10</f>
        <v>1.9849433241279158E-3</v>
      </c>
      <c r="I9" s="13">
        <f t="shared" si="2"/>
        <v>1.0402E-3</v>
      </c>
      <c r="J9" s="13">
        <f t="shared" si="3"/>
        <v>1.9849433241279158E-6</v>
      </c>
      <c r="K9" s="69"/>
      <c r="X9" s="1" t="s">
        <v>88</v>
      </c>
      <c r="Y9" s="3"/>
      <c r="Z9" s="3"/>
      <c r="AA9" s="3"/>
    </row>
    <row r="10" spans="2:27">
      <c r="B10" s="2">
        <v>8</v>
      </c>
      <c r="C10" s="6">
        <f>Tubos!I11</f>
        <v>22.015999999999998</v>
      </c>
      <c r="D10" s="6">
        <f>Tubos!J11</f>
        <v>3.6687872655688708E-2</v>
      </c>
      <c r="E10" s="14">
        <f t="shared" si="0"/>
        <v>2.2015999999999997E-2</v>
      </c>
      <c r="F10" s="14">
        <f t="shared" si="1"/>
        <v>3.6687872655688708E-5</v>
      </c>
      <c r="G10" s="15">
        <f>Tubos!P11</f>
        <v>1.0267999999999999</v>
      </c>
      <c r="H10" s="15">
        <f>Tubos!Q11</f>
        <v>1.4551288602732073E-2</v>
      </c>
      <c r="I10" s="13">
        <f t="shared" si="2"/>
        <v>1.0268E-3</v>
      </c>
      <c r="J10" s="13">
        <f t="shared" si="3"/>
        <v>1.4551288602732073E-5</v>
      </c>
      <c r="K10" s="69"/>
      <c r="Y10" s="35" t="s">
        <v>31</v>
      </c>
      <c r="Z10" s="34">
        <f>2*Z7</f>
        <v>95.465176897128245</v>
      </c>
    </row>
    <row r="11" spans="2:27">
      <c r="B11" s="2">
        <v>9</v>
      </c>
      <c r="C11" s="6">
        <f>Tubos!I12</f>
        <v>26.094000000000001</v>
      </c>
      <c r="D11" s="6">
        <f>Tubos!J12</f>
        <v>3.6687872655688639E-2</v>
      </c>
      <c r="E11" s="14">
        <f t="shared" si="0"/>
        <v>2.6094000000000003E-2</v>
      </c>
      <c r="F11" s="14">
        <f t="shared" si="1"/>
        <v>3.668787265568864E-5</v>
      </c>
      <c r="G11" s="15">
        <f>Tubos!P12</f>
        <v>1.0395999999999999</v>
      </c>
      <c r="H11" s="15">
        <f>Tubos!Q12</f>
        <v>1.6613247725836111E-3</v>
      </c>
      <c r="I11" s="13">
        <f t="shared" si="2"/>
        <v>1.0395999999999999E-3</v>
      </c>
      <c r="J11" s="13">
        <f t="shared" si="3"/>
        <v>1.6613247725836112E-6</v>
      </c>
      <c r="K11" s="69"/>
    </row>
    <row r="13" spans="2:27" ht="16.5" thickBot="1">
      <c r="T13" s="71">
        <v>2</v>
      </c>
      <c r="U13" s="72"/>
      <c r="V13" s="73"/>
    </row>
    <row r="14" spans="2:27" ht="18.75" thickBot="1">
      <c r="B14" s="83"/>
      <c r="C14" s="2" t="s">
        <v>33</v>
      </c>
      <c r="D14" s="2" t="s">
        <v>34</v>
      </c>
      <c r="E14" s="2" t="s">
        <v>35</v>
      </c>
      <c r="G14" s="81" t="s">
        <v>92</v>
      </c>
      <c r="H14" s="81"/>
      <c r="I14" s="81"/>
      <c r="J14" s="81"/>
      <c r="S14" s="46" t="s">
        <v>21</v>
      </c>
      <c r="T14" s="46" t="s">
        <v>22</v>
      </c>
      <c r="U14" s="46" t="s">
        <v>23</v>
      </c>
      <c r="V14" s="46" t="s">
        <v>24</v>
      </c>
      <c r="X14" s="74">
        <v>2</v>
      </c>
      <c r="Y14" s="75"/>
      <c r="Z14" s="75"/>
      <c r="AA14" s="76"/>
    </row>
    <row r="15" spans="2:27">
      <c r="B15" s="2" t="s">
        <v>93</v>
      </c>
      <c r="C15" s="6">
        <v>22.5</v>
      </c>
      <c r="D15" s="6">
        <f>((4*10^-6)*(C15^4))+(0.0001*(C15^3))+(0.0123*(C15^2))+(0.3219*C15)+4.5882</f>
        <v>20.222043750000001</v>
      </c>
      <c r="E15" s="6">
        <f>0.1*(4*4*10^-6*C15^3-3*0.0001*C15^2+2*0.0123*C15+0.3219)</f>
        <v>9.0577500000000005E-2</v>
      </c>
      <c r="S15" s="47">
        <v>1</v>
      </c>
      <c r="T15" s="2">
        <v>688</v>
      </c>
      <c r="U15" s="2" cm="1">
        <f t="array" ref="U15:U21">$Y$15*S15:S21+$Z$15</f>
        <v>683.60714285714403</v>
      </c>
      <c r="V15" s="2">
        <f t="shared" ref="V15:V21" si="5">U15-T15</f>
        <v>-4.3928571428559735</v>
      </c>
      <c r="X15" s="48" t="s">
        <v>25</v>
      </c>
      <c r="Y15" s="18" cm="1">
        <f t="array" ref="Y15:Z19">LINEST(T15:T21,S15:S21,1,1)</f>
        <v>1408.8928571428569</v>
      </c>
      <c r="Z15" s="18">
        <v>-725.28571428571286</v>
      </c>
      <c r="AA15" s="48" t="s">
        <v>26</v>
      </c>
    </row>
    <row r="16" spans="2:27">
      <c r="B16" s="82"/>
      <c r="C16" s="83"/>
      <c r="D16" s="83"/>
      <c r="E16" s="83"/>
      <c r="S16" s="47">
        <v>2</v>
      </c>
      <c r="T16" s="2">
        <v>2122</v>
      </c>
      <c r="U16" s="2">
        <v>2092.5000000000009</v>
      </c>
      <c r="V16" s="2">
        <f t="shared" si="5"/>
        <v>-29.499999999999091</v>
      </c>
      <c r="X16" s="45" t="s">
        <v>27</v>
      </c>
      <c r="Y16" s="16">
        <v>5.7452509225677977</v>
      </c>
      <c r="Z16" s="16">
        <v>25.693543221309952</v>
      </c>
      <c r="AA16" s="45" t="s">
        <v>28</v>
      </c>
    </row>
    <row r="17" spans="2:27" ht="17.25">
      <c r="B17" s="82"/>
      <c r="C17" s="83"/>
      <c r="D17" s="83"/>
      <c r="E17" s="83"/>
      <c r="S17" s="47">
        <v>3</v>
      </c>
      <c r="T17" s="2">
        <v>3503</v>
      </c>
      <c r="U17" s="2">
        <v>3501.3928571428578</v>
      </c>
      <c r="V17" s="2">
        <f t="shared" si="5"/>
        <v>-1.6071428571422075</v>
      </c>
      <c r="X17" s="45" t="s">
        <v>29</v>
      </c>
      <c r="Y17" s="12">
        <v>0.99991686269074875</v>
      </c>
      <c r="Z17" s="16">
        <v>30.401010321557603</v>
      </c>
      <c r="AA17" s="45" t="s">
        <v>30</v>
      </c>
    </row>
    <row r="18" spans="2:27">
      <c r="B18" s="82"/>
      <c r="C18" s="83"/>
      <c r="D18" s="83"/>
      <c r="E18" s="83"/>
      <c r="S18" s="47">
        <v>4</v>
      </c>
      <c r="T18" s="2">
        <v>4860</v>
      </c>
      <c r="U18" s="2">
        <v>4910.2857142857147</v>
      </c>
      <c r="V18" s="2">
        <f t="shared" si="5"/>
        <v>50.285714285714675</v>
      </c>
      <c r="Y18" s="3">
        <v>60136.470117703735</v>
      </c>
      <c r="Z18" s="3">
        <v>5</v>
      </c>
    </row>
    <row r="19" spans="2:27">
      <c r="B19" s="82"/>
      <c r="C19" s="83"/>
      <c r="D19" s="83"/>
      <c r="E19" s="83"/>
      <c r="S19" s="47">
        <v>5</v>
      </c>
      <c r="T19" s="2">
        <v>6297</v>
      </c>
      <c r="U19" s="2">
        <v>6319.1785714285716</v>
      </c>
      <c r="V19" s="2">
        <f t="shared" si="5"/>
        <v>22.178571428571558</v>
      </c>
      <c r="Y19" s="3">
        <v>55579414.321428575</v>
      </c>
      <c r="Z19" s="3">
        <v>4621.1071428572595</v>
      </c>
    </row>
    <row r="20" spans="2:27">
      <c r="B20" s="82"/>
      <c r="C20" s="83"/>
      <c r="D20" s="83"/>
      <c r="E20" s="83"/>
      <c r="S20" s="47">
        <v>6</v>
      </c>
      <c r="T20" s="2">
        <v>7743</v>
      </c>
      <c r="U20" s="2">
        <v>7728.0714285714284</v>
      </c>
      <c r="V20" s="2">
        <f t="shared" si="5"/>
        <v>-14.928571428571558</v>
      </c>
      <c r="Y20" s="35" t="s">
        <v>31</v>
      </c>
      <c r="Z20" s="34">
        <f>Z17*2</f>
        <v>60.802020643115206</v>
      </c>
    </row>
    <row r="21" spans="2:27">
      <c r="B21" s="82"/>
      <c r="C21" s="83"/>
      <c r="D21" s="83"/>
      <c r="E21" s="83"/>
      <c r="S21" s="47">
        <v>7</v>
      </c>
      <c r="T21" s="2">
        <v>9159</v>
      </c>
      <c r="U21" s="2">
        <v>9136.9642857142862</v>
      </c>
      <c r="V21" s="2">
        <f t="shared" si="5"/>
        <v>-22.035714285713766</v>
      </c>
    </row>
    <row r="22" spans="2:27">
      <c r="B22" s="82"/>
      <c r="C22" s="83"/>
      <c r="D22" s="83"/>
      <c r="E22" s="83"/>
    </row>
    <row r="23" spans="2:27">
      <c r="B23" s="82"/>
      <c r="C23" s="83"/>
      <c r="D23" s="83"/>
      <c r="E23" s="83"/>
    </row>
    <row r="24" spans="2:27">
      <c r="C24" s="26"/>
    </row>
    <row r="25" spans="2:27" ht="16.5" thickBot="1">
      <c r="C25" s="25"/>
      <c r="D25" s="25"/>
      <c r="T25" s="71">
        <v>3</v>
      </c>
      <c r="U25" s="72"/>
      <c r="V25" s="73"/>
    </row>
    <row r="26" spans="2:27" ht="16.5" thickBot="1">
      <c r="S26" s="46" t="s">
        <v>21</v>
      </c>
      <c r="T26" s="46" t="s">
        <v>22</v>
      </c>
      <c r="U26" s="46" t="s">
        <v>23</v>
      </c>
      <c r="V26" s="46" t="s">
        <v>24</v>
      </c>
      <c r="X26" s="74">
        <v>3</v>
      </c>
      <c r="Y26" s="75"/>
      <c r="Z26" s="75"/>
      <c r="AA26" s="76"/>
    </row>
    <row r="27" spans="2:27">
      <c r="S27" s="47">
        <v>1</v>
      </c>
      <c r="T27" s="2">
        <v>637</v>
      </c>
      <c r="U27" s="8" cm="1">
        <f t="array" ref="U27:U33">$Y$27*S27:S33+$Z$27</f>
        <v>641.21428571428646</v>
      </c>
      <c r="V27" s="2">
        <f>U27-T27</f>
        <v>4.2142857142864614</v>
      </c>
      <c r="X27" s="48" t="s">
        <v>25</v>
      </c>
      <c r="Y27" s="18" cm="1">
        <f t="array" ref="Y27:Z31">LINEST(T27:T33,S27:S33,1,1)</f>
        <v>1293.2142857142856</v>
      </c>
      <c r="Z27" s="7">
        <v>-651.99999999999909</v>
      </c>
      <c r="AA27" s="48" t="s">
        <v>26</v>
      </c>
    </row>
    <row r="28" spans="2:27">
      <c r="B28" s="2" t="s">
        <v>32</v>
      </c>
      <c r="C28" s="2" t="s">
        <v>36</v>
      </c>
      <c r="D28" s="2" t="s">
        <v>90</v>
      </c>
      <c r="E28" s="2" t="s">
        <v>37</v>
      </c>
      <c r="F28" s="2" t="s">
        <v>38</v>
      </c>
      <c r="G28" s="2" t="s">
        <v>39</v>
      </c>
      <c r="H28" s="2" t="s">
        <v>91</v>
      </c>
      <c r="I28" s="2" t="s">
        <v>37</v>
      </c>
      <c r="J28" s="2" t="s">
        <v>38</v>
      </c>
      <c r="K28" s="2" t="s">
        <v>39</v>
      </c>
      <c r="S28" s="47">
        <v>2</v>
      </c>
      <c r="T28" s="2">
        <v>1927</v>
      </c>
      <c r="U28" s="2">
        <v>1934.428571428572</v>
      </c>
      <c r="V28" s="2">
        <f t="shared" ref="V28:V31" si="6">U28-T28</f>
        <v>7.4285714285720132</v>
      </c>
      <c r="X28" s="45" t="s">
        <v>27</v>
      </c>
      <c r="Y28" s="16">
        <v>4.5115498038537787</v>
      </c>
      <c r="Z28" s="10">
        <v>20.176264090585782</v>
      </c>
      <c r="AA28" s="45" t="s">
        <v>28</v>
      </c>
    </row>
    <row r="29" spans="2:27" ht="17.25">
      <c r="B29" s="2">
        <v>1</v>
      </c>
      <c r="C29" s="15">
        <f>331.4+0.607*(C$15)+0.08*D$15</f>
        <v>346.67526350000003</v>
      </c>
      <c r="D29" s="15">
        <f>Y5*20*(E3+Δy!$AH$28)</f>
        <v>331.09415546364539</v>
      </c>
      <c r="E29" s="4">
        <f>SQRT((2*(Δy!AH28+E3))^2*Y6^2+(2*Y5)^2*F3^2+(2*Y5)^2*Δy!AH29^2)</f>
        <v>0.26028085114415683</v>
      </c>
      <c r="F29" s="8">
        <f>E29/D29*100</f>
        <v>7.8612336354797432E-2</v>
      </c>
      <c r="G29" s="15">
        <f t="shared" ref="G29:G37" si="7">(C29-D29)/C29*100</f>
        <v>4.4944389394989628</v>
      </c>
      <c r="H29" s="15">
        <f>ABS(Z5)*40*(E3+Δy!$AH$28)</f>
        <v>346.1582239333444</v>
      </c>
      <c r="I29" s="4">
        <f>SQRT((2*(Δy!AH28+E3))^2*Z6^2+(2*Z5)^2*F3^2+(2*Z5)^2*Δy!AH29^2)</f>
        <v>0.70919427378396904</v>
      </c>
      <c r="J29" s="6">
        <f>I29/H29*100</f>
        <v>0.20487575471283045</v>
      </c>
      <c r="K29" s="15">
        <f>ABS(H29-C29)/C29*100</f>
        <v>0.14914233032828603</v>
      </c>
      <c r="P29" s="25"/>
      <c r="Q29" s="25"/>
      <c r="R29" s="25"/>
      <c r="S29" s="47">
        <v>3</v>
      </c>
      <c r="T29" s="2">
        <v>3223</v>
      </c>
      <c r="U29" s="2">
        <v>3227.6428571428578</v>
      </c>
      <c r="V29" s="2">
        <f t="shared" si="6"/>
        <v>4.6428571428577925</v>
      </c>
      <c r="X29" s="45" t="s">
        <v>29</v>
      </c>
      <c r="Y29" s="13">
        <v>0.99993915090798113</v>
      </c>
      <c r="Z29" s="10">
        <v>23.872877616958668</v>
      </c>
      <c r="AA29" s="45" t="s">
        <v>30</v>
      </c>
    </row>
    <row r="30" spans="2:27">
      <c r="B30" s="2">
        <v>2</v>
      </c>
      <c r="C30" s="15">
        <f t="shared" ref="C30:C37" si="8">331.4+0.607*(C$15)+0.08*D$15</f>
        <v>346.67526350000003</v>
      </c>
      <c r="D30" s="15">
        <f>Y15*20*(E4+Δy!$AH$28)</f>
        <v>339.8880699810104</v>
      </c>
      <c r="E30" s="4">
        <f>SQRT((2*(Δy!AH28+E4))^2*Y16^2+(2*Y15)^2*F4^2+4*Δy!AH29^2*Y15^2)</f>
        <v>0.13889014702189351</v>
      </c>
      <c r="F30" s="8">
        <f t="shared" ref="F30:F37" si="9">E30/D30*100</f>
        <v>4.0863495747189157E-2</v>
      </c>
      <c r="G30" s="15">
        <f t="shared" si="7"/>
        <v>1.9577957338134753</v>
      </c>
      <c r="H30" s="15">
        <f>ABS(Z15)*40*(E4+Δy!$AH$28)</f>
        <v>349.94280844504789</v>
      </c>
      <c r="I30" s="4">
        <f>SQRT((2*(Δy!AH28+E4))^2*Z16^2+(2*Z15)^2*F4^2+(2*Z15)^2*Δy!AH29^2)</f>
        <v>0.619860500145482</v>
      </c>
      <c r="J30" s="6">
        <f t="shared" ref="J30" si="10">I30/H30*100</f>
        <v>0.17713194418819433</v>
      </c>
      <c r="K30" s="15">
        <f t="shared" ref="K30:K37" si="11">ABS(H30-C30)/C30*100</f>
        <v>0.94253766826598495</v>
      </c>
      <c r="P30" s="25"/>
      <c r="Q30" s="25"/>
      <c r="R30" s="25"/>
      <c r="S30" s="47">
        <v>4</v>
      </c>
      <c r="T30" s="2">
        <v>4545</v>
      </c>
      <c r="U30" s="2">
        <v>4520.8571428571431</v>
      </c>
      <c r="V30" s="2">
        <f t="shared" si="6"/>
        <v>-24.142857142856883</v>
      </c>
      <c r="Y30" s="3">
        <v>82165.494811249737</v>
      </c>
      <c r="Z30" s="3">
        <v>5</v>
      </c>
    </row>
    <row r="31" spans="2:27">
      <c r="B31" s="2">
        <v>3</v>
      </c>
      <c r="C31" s="15">
        <f t="shared" si="8"/>
        <v>346.67526350000003</v>
      </c>
      <c r="D31" s="15">
        <f>Y27*20*(E5+Δy!$AH$28)</f>
        <v>336.3453737519572</v>
      </c>
      <c r="E31" s="4">
        <f>SQRT((2*(Δy!AH28+E5))^2*Y28^2+(2*Y27)^2*F5^2+4*Δy!AH29^2*Y27^2)</f>
        <v>0.11737556758913999</v>
      </c>
      <c r="F31" s="8">
        <f>E31/D31*100</f>
        <v>3.4897333737582581E-2</v>
      </c>
      <c r="G31" s="15">
        <f t="shared" si="7"/>
        <v>2.9797019965466411</v>
      </c>
      <c r="H31" s="15">
        <f>ABS(Z27)*40*(E5+Δy!$AH$28)</f>
        <v>339.15057405223547</v>
      </c>
      <c r="I31" s="4">
        <f>SQRT((2*(Δy!AH28+E5))^2*Z28^2+(2*Z27)^2*F5^2+(2*Z27)^2*Δy!AH29^2)</f>
        <v>0.52475605738486275</v>
      </c>
      <c r="J31" s="6">
        <f>I31/H31*100</f>
        <v>0.15472657206944329</v>
      </c>
      <c r="K31" s="15">
        <f t="shared" si="11"/>
        <v>2.1705296685422604</v>
      </c>
      <c r="P31" s="25"/>
      <c r="Q31" s="25"/>
      <c r="R31" s="25"/>
      <c r="S31" s="47">
        <v>5</v>
      </c>
      <c r="T31" s="2">
        <v>5838</v>
      </c>
      <c r="U31" s="2">
        <v>5814.0714285714284</v>
      </c>
      <c r="V31" s="2">
        <f t="shared" si="6"/>
        <v>-23.928571428571558</v>
      </c>
      <c r="Y31" s="3">
        <v>46827289.285714276</v>
      </c>
      <c r="Z31" s="3">
        <v>2849.5714285714307</v>
      </c>
    </row>
    <row r="32" spans="2:27">
      <c r="B32" s="2">
        <v>4</v>
      </c>
      <c r="C32" s="15">
        <f t="shared" si="8"/>
        <v>346.67526350000003</v>
      </c>
      <c r="D32" s="15">
        <f>Y41*20*(E6+Δy!$AH$28)</f>
        <v>338.46480572956909</v>
      </c>
      <c r="E32" s="4">
        <f>SQRT((2*(Δy!AH28+E6))^2*Y42^2+(2*Y41)^2*F6^2+4*Δy!AH29^2*Y41^2)</f>
        <v>7.6308095018623345E-2</v>
      </c>
      <c r="F32" s="8">
        <f t="shared" si="9"/>
        <v>2.2545355891328021E-2</v>
      </c>
      <c r="G32" s="15">
        <f t="shared" si="7"/>
        <v>2.3683425484526772</v>
      </c>
      <c r="H32" s="15">
        <f>ABS(Z41)*40*(E6+Δy!$AH$28)</f>
        <v>351.38285649048339</v>
      </c>
      <c r="I32" s="4">
        <f>SQRT((2*(Δy!AH28+E6))^2*Z42^2+(2*Z41)^2*F6^2+(2*Z41)^2*Δy!AH29^2)</f>
        <v>0.36527389797868981</v>
      </c>
      <c r="J32" s="6">
        <f t="shared" ref="J32:J37" si="12">I32/H32*100</f>
        <v>0.10395324963401639</v>
      </c>
      <c r="K32" s="15">
        <f t="shared" si="11"/>
        <v>1.3579258418832536</v>
      </c>
      <c r="P32" s="25"/>
      <c r="Q32" s="25"/>
      <c r="R32" s="25"/>
      <c r="S32" s="47">
        <v>6</v>
      </c>
      <c r="T32" s="2">
        <v>7068</v>
      </c>
      <c r="U32" s="2">
        <v>7107.2857142857147</v>
      </c>
      <c r="V32" s="2">
        <f>U32-T32</f>
        <v>39.285714285714675</v>
      </c>
      <c r="Y32" s="35" t="s">
        <v>31</v>
      </c>
      <c r="Z32" s="34">
        <f>2*Z29</f>
        <v>47.745755233917336</v>
      </c>
    </row>
    <row r="33" spans="2:27">
      <c r="B33" s="2">
        <v>5</v>
      </c>
      <c r="C33" s="15">
        <f t="shared" si="8"/>
        <v>346.67526350000003</v>
      </c>
      <c r="D33" s="15">
        <f>Y55*20*(E7+Δy!$AH$28)</f>
        <v>341.68301493466163</v>
      </c>
      <c r="E33" s="4">
        <f>SQRT((2*(Δy!AH28+E7))^2*Y56^2+(2*Y55)^2*F7^2+4*Δy!AH29^2*Y55^2)</f>
        <v>0.11466044294511965</v>
      </c>
      <c r="F33" s="8">
        <f t="shared" si="9"/>
        <v>3.3557548351370529E-2</v>
      </c>
      <c r="G33" s="15">
        <f t="shared" si="7"/>
        <v>1.4400359907243281</v>
      </c>
      <c r="H33" s="15">
        <f>ABS(Z55)*40*(E7+Δy!$AH$28)</f>
        <v>377.58684344523232</v>
      </c>
      <c r="I33" s="4">
        <f>SQRT((2*(Δy!AH28+E7))^2*Z56^2+(2*Z55)^2*F7^2+(2*Z55)^2*Δy!AH29^2)</f>
        <v>0.65392761306767766</v>
      </c>
      <c r="J33" s="6">
        <f t="shared" si="12"/>
        <v>0.17318601652033663</v>
      </c>
      <c r="K33" s="15">
        <f t="shared" si="11"/>
        <v>8.9165807889354323</v>
      </c>
      <c r="P33" s="25"/>
      <c r="Q33" s="25"/>
      <c r="R33" s="25"/>
      <c r="S33" s="47">
        <v>7</v>
      </c>
      <c r="T33" s="2">
        <v>8408</v>
      </c>
      <c r="U33" s="2">
        <v>8400.5</v>
      </c>
      <c r="V33" s="2">
        <f>U33-T33</f>
        <v>-7.5</v>
      </c>
    </row>
    <row r="34" spans="2:27">
      <c r="B34" s="2">
        <v>6</v>
      </c>
      <c r="C34" s="15">
        <f t="shared" si="8"/>
        <v>346.67526350000003</v>
      </c>
      <c r="D34" s="15">
        <f>Y70*20*(E8+Δy!$AH$28)</f>
        <v>338.55804331790262</v>
      </c>
      <c r="E34" s="4">
        <f>SQRT((2*(Δy!AH28+E8))^2*Y71^2+(2*Y70)^2*F8^2+4*Δy!AH29^2*Y70^2)</f>
        <v>0.16431388207873338</v>
      </c>
      <c r="F34" s="8">
        <f t="shared" si="9"/>
        <v>4.8533445098051999E-2</v>
      </c>
      <c r="G34" s="15">
        <f t="shared" si="7"/>
        <v>2.3414477572315775</v>
      </c>
      <c r="H34" s="15">
        <f>ABS(Z70)*40*(E8+Δy!$AH$28)</f>
        <v>360.38451246857835</v>
      </c>
      <c r="I34" s="4">
        <f>SQRT((2*(Δy!AH28+E8))^2*Z71^2+(2*Z70)^2*F8^2+(2*Z70)^2*Δy!AH29^2)</f>
        <v>1.2048649637667339</v>
      </c>
      <c r="J34" s="6">
        <f t="shared" si="12"/>
        <v>0.33432762010597922</v>
      </c>
      <c r="K34" s="15">
        <f t="shared" si="11"/>
        <v>3.9544929829059812</v>
      </c>
      <c r="P34" s="25"/>
      <c r="Q34" s="25"/>
      <c r="R34" s="25"/>
    </row>
    <row r="35" spans="2:27">
      <c r="B35" s="2">
        <v>7</v>
      </c>
      <c r="C35" s="15">
        <f t="shared" si="8"/>
        <v>346.67526350000003</v>
      </c>
      <c r="D35" s="15">
        <f>Y86*20*(E9+Δy!$AH$28)</f>
        <v>337.94031844195393</v>
      </c>
      <c r="E35" s="4">
        <f>SQRT((2*(Δy!AH28+E9))^2*Y87^2+(2*Y86)^2*F9^2+4*Δy!AH29^2*Y86^2)</f>
        <v>9.6533516088334437E-2</v>
      </c>
      <c r="F35" s="8">
        <f t="shared" si="9"/>
        <v>2.8565255703549747E-2</v>
      </c>
      <c r="G35" s="15">
        <f t="shared" si="7"/>
        <v>2.5196332065515521</v>
      </c>
      <c r="H35" s="15">
        <f>ABS(Z86)*40*(E9+Δy!$AH$28)</f>
        <v>368.81662548234544</v>
      </c>
      <c r="I35" s="4">
        <f>SQRT((2*(Δy!AH28+E9))^2*Z87^2+(2*Z86)^2*F9^2+(2*Z86)^2*Δy!AH29^2)</f>
        <v>0.70155496375760118</v>
      </c>
      <c r="J35" s="6">
        <f t="shared" si="12"/>
        <v>0.1902178251428048</v>
      </c>
      <c r="K35" s="15">
        <f t="shared" si="11"/>
        <v>6.3867729583035038</v>
      </c>
      <c r="P35" s="25"/>
      <c r="Q35" s="25"/>
      <c r="R35" s="25"/>
    </row>
    <row r="36" spans="2:27">
      <c r="B36" s="2">
        <v>8</v>
      </c>
      <c r="C36" s="15">
        <f t="shared" si="8"/>
        <v>346.67526350000003</v>
      </c>
      <c r="D36" s="15">
        <f>Y102*20*(E10+Δy!$AH$28)</f>
        <v>339.90604872838054</v>
      </c>
      <c r="E36" s="4">
        <f>SQRT((2*(Δy!AH28+E10))^2*Y103^2+(2*Y102)^2*F10^2+4*Δy!AH29^2*Y102^2)</f>
        <v>0.15434990149223951</v>
      </c>
      <c r="F36" s="8">
        <f t="shared" si="9"/>
        <v>4.540957775528754E-2</v>
      </c>
      <c r="G36" s="15">
        <f t="shared" si="7"/>
        <v>1.9526096852939978</v>
      </c>
      <c r="H36" s="15">
        <f>ABS(Z102)*40*(E10+Δy!$AH$28)</f>
        <v>361.71909660660441</v>
      </c>
      <c r="I36" s="4">
        <f>SQRT((2*(Δy!AH28+E10))^2*Z103^2+(2*Z102)^2*F10^2+(2*Z102)^2*Δy!AH29^2)</f>
        <v>1.2228451022018005</v>
      </c>
      <c r="J36" s="6">
        <f t="shared" si="12"/>
        <v>0.33806484470233339</v>
      </c>
      <c r="K36" s="15">
        <f t="shared" si="11"/>
        <v>4.3394596299497383</v>
      </c>
      <c r="P36" s="25"/>
      <c r="Q36" s="25"/>
      <c r="R36" s="25"/>
    </row>
    <row r="37" spans="2:27">
      <c r="B37" s="2">
        <v>9</v>
      </c>
      <c r="C37" s="15">
        <f t="shared" si="8"/>
        <v>346.67526350000003</v>
      </c>
      <c r="D37" s="15">
        <f>Y120*20*(E11+Δy!$AH$28)</f>
        <v>341.56485606179552</v>
      </c>
      <c r="E37" s="4">
        <f>SQRT((2*(Δy!AH28+E11))^2*Y121^2+(2*Y120)^2*F11^2+4*Δy!AH29^2*Y120^2)</f>
        <v>0.10690998318874874</v>
      </c>
      <c r="F37" s="8">
        <f t="shared" si="9"/>
        <v>3.1300053647617281E-2</v>
      </c>
      <c r="G37" s="15">
        <f t="shared" si="7"/>
        <v>1.4741194357538878</v>
      </c>
      <c r="H37" s="15">
        <f>ABS(Z120)*40*(E11+Δy!$AH$28)</f>
        <v>362.44149699101939</v>
      </c>
      <c r="I37" s="4">
        <f>SQRT((2*(Δy!AH28+E11))^2*Z121^2+(2*Z120)^2*F11^2+(2*Z120)^2*Δy!AH29^2)</f>
        <v>0.70338538749570167</v>
      </c>
      <c r="J37" s="6">
        <f t="shared" si="12"/>
        <v>0.19406866855346042</v>
      </c>
      <c r="K37" s="15">
        <f t="shared" si="11"/>
        <v>4.547839188710781</v>
      </c>
      <c r="P37" s="25"/>
      <c r="Q37" s="25"/>
      <c r="R37" s="25"/>
    </row>
    <row r="38" spans="2:27">
      <c r="B38" s="1" t="s">
        <v>40</v>
      </c>
      <c r="C38" s="27">
        <f>AVERAGE(C32:C37)</f>
        <v>346.67526350000003</v>
      </c>
      <c r="G38" s="27">
        <f>AVERAGE(G29:G37)</f>
        <v>2.392013921540789</v>
      </c>
      <c r="K38" s="27">
        <f>AVERAGE(K29:K37)</f>
        <v>3.6405867842028021</v>
      </c>
      <c r="N38" s="20"/>
      <c r="O38" s="27"/>
      <c r="P38" s="25"/>
      <c r="Q38" s="25"/>
      <c r="R38" s="25"/>
    </row>
    <row r="39" spans="2:27" ht="16.5" thickBot="1">
      <c r="M39" s="25"/>
      <c r="O39" s="20"/>
      <c r="P39" s="25"/>
      <c r="Q39" s="25"/>
      <c r="R39" s="25"/>
      <c r="T39" s="71">
        <v>4</v>
      </c>
      <c r="U39" s="72"/>
      <c r="V39" s="73"/>
    </row>
    <row r="40" spans="2:27" ht="16.5" thickBot="1">
      <c r="O40" s="20"/>
      <c r="P40" s="25"/>
      <c r="Q40" s="25"/>
      <c r="R40" s="25"/>
      <c r="S40" s="46" t="s">
        <v>21</v>
      </c>
      <c r="T40" s="46" t="s">
        <v>22</v>
      </c>
      <c r="U40" s="46" t="s">
        <v>23</v>
      </c>
      <c r="V40" s="46" t="s">
        <v>24</v>
      </c>
      <c r="X40" s="74">
        <v>4</v>
      </c>
      <c r="Y40" s="75"/>
      <c r="Z40" s="75"/>
      <c r="AA40" s="76"/>
    </row>
    <row r="41" spans="2:27">
      <c r="O41" s="20"/>
      <c r="P41" s="25"/>
      <c r="Q41" s="25"/>
      <c r="R41" s="25" t="s">
        <v>87</v>
      </c>
      <c r="S41" s="47">
        <v>1</v>
      </c>
      <c r="T41" s="2">
        <v>593</v>
      </c>
      <c r="U41" s="2" cm="1">
        <f t="array" ref="U41:U49">$Y$41*S41:S49+$Z$41</f>
        <v>578.71111111111122</v>
      </c>
      <c r="V41" s="2">
        <f>U41-T41</f>
        <v>-14.288888888888778</v>
      </c>
      <c r="X41" s="48" t="s">
        <v>25</v>
      </c>
      <c r="Y41" s="18" cm="1">
        <f t="array" ref="Y41:Z45">LINEST(T41:T49,S41:S49,1,1)</f>
        <v>1203.3499999999999</v>
      </c>
      <c r="Z41" s="11">
        <v>-624.63888888888869</v>
      </c>
      <c r="AA41" s="48" t="s">
        <v>26</v>
      </c>
    </row>
    <row r="42" spans="2:27">
      <c r="O42" s="20"/>
      <c r="P42" s="25"/>
      <c r="Q42" s="25"/>
      <c r="R42" s="25"/>
      <c r="S42" s="47">
        <v>2</v>
      </c>
      <c r="T42" s="2">
        <v>1787</v>
      </c>
      <c r="U42" s="2">
        <v>1782.0611111111111</v>
      </c>
      <c r="V42" s="2">
        <f t="shared" ref="V42:V46" si="13">U42-T42</f>
        <v>-4.9388888888888687</v>
      </c>
      <c r="X42" s="45" t="s">
        <v>27</v>
      </c>
      <c r="Y42" s="16">
        <v>2.3040021540628315</v>
      </c>
      <c r="Z42" s="10">
        <v>12.965344357979673</v>
      </c>
      <c r="AA42" s="45" t="s">
        <v>28</v>
      </c>
    </row>
    <row r="43" spans="2:27" ht="19.5">
      <c r="B43" s="35" t="s">
        <v>41</v>
      </c>
      <c r="C43" s="37">
        <f>C38</f>
        <v>346.67526350000003</v>
      </c>
      <c r="O43" s="20"/>
      <c r="P43" s="25"/>
      <c r="Q43" s="25"/>
      <c r="R43" s="25"/>
      <c r="S43" s="47">
        <v>3</v>
      </c>
      <c r="T43" s="2">
        <v>2996</v>
      </c>
      <c r="U43" s="2">
        <v>2985.411111111111</v>
      </c>
      <c r="V43" s="2">
        <f t="shared" si="13"/>
        <v>-10.58888888888896</v>
      </c>
      <c r="X43" s="45" t="s">
        <v>29</v>
      </c>
      <c r="Y43" s="13">
        <v>0.9999743392862227</v>
      </c>
      <c r="Z43" s="10">
        <v>17.846723944622727</v>
      </c>
      <c r="AA43" s="45" t="s">
        <v>30</v>
      </c>
    </row>
    <row r="44" spans="2:27">
      <c r="O44" s="20"/>
      <c r="P44" s="25"/>
      <c r="Q44" s="25"/>
      <c r="R44" s="25"/>
      <c r="S44" s="47">
        <v>4</v>
      </c>
      <c r="T44" s="2">
        <v>4175</v>
      </c>
      <c r="U44" s="2">
        <v>4188.7611111111109</v>
      </c>
      <c r="V44" s="2">
        <f t="shared" si="13"/>
        <v>13.761111111110949</v>
      </c>
      <c r="X44" s="3"/>
      <c r="Y44" s="3">
        <v>272783.54124294507</v>
      </c>
      <c r="Z44" s="3">
        <v>7</v>
      </c>
      <c r="AA44" s="3"/>
    </row>
    <row r="45" spans="2:27">
      <c r="O45" s="20"/>
      <c r="P45" s="25"/>
      <c r="Q45" s="25"/>
      <c r="R45" s="25"/>
      <c r="S45" s="47">
        <v>5</v>
      </c>
      <c r="T45" s="2">
        <v>5365</v>
      </c>
      <c r="U45" s="2">
        <v>5392.1111111111113</v>
      </c>
      <c r="V45" s="2">
        <f t="shared" si="13"/>
        <v>27.111111111111313</v>
      </c>
      <c r="X45" s="3"/>
      <c r="Y45" s="3">
        <v>86883073.350000009</v>
      </c>
      <c r="Z45" s="3">
        <v>2229.5388888889916</v>
      </c>
      <c r="AA45" s="3"/>
    </row>
    <row r="46" spans="2:27">
      <c r="B46" s="39"/>
      <c r="C46" s="39"/>
      <c r="O46" s="20"/>
      <c r="P46" s="25"/>
      <c r="Q46" s="25"/>
      <c r="R46" s="25"/>
      <c r="S46" s="47">
        <v>6</v>
      </c>
      <c r="T46" s="2">
        <v>6579</v>
      </c>
      <c r="U46" s="2">
        <v>6595.4611111111108</v>
      </c>
      <c r="V46" s="2">
        <f t="shared" si="13"/>
        <v>16.461111111110768</v>
      </c>
      <c r="Y46" s="35" t="s">
        <v>31</v>
      </c>
      <c r="Z46" s="34">
        <f>2*Z43</f>
        <v>35.693447889245455</v>
      </c>
    </row>
    <row r="47" spans="2:27" ht="19.5">
      <c r="B47" s="35" t="s">
        <v>44</v>
      </c>
      <c r="C47" s="38">
        <f>AVERAGE(D29:D37)</f>
        <v>338.38274293454174</v>
      </c>
      <c r="O47" s="20"/>
      <c r="P47" s="25"/>
      <c r="Q47" s="25"/>
      <c r="R47" s="25"/>
      <c r="S47" s="47">
        <v>7</v>
      </c>
      <c r="T47" s="2">
        <v>7809</v>
      </c>
      <c r="U47" s="2">
        <v>7798.8111111111102</v>
      </c>
      <c r="V47" s="2">
        <f>U47-T47</f>
        <v>-10.188888888889778</v>
      </c>
    </row>
    <row r="48" spans="2:27" ht="19.5">
      <c r="B48" s="35" t="s">
        <v>45</v>
      </c>
      <c r="C48" s="38">
        <f>_xlfn.STDEV.S(D32:D37)/SQRT(6)</f>
        <v>0.66777231201927445</v>
      </c>
      <c r="O48" s="20"/>
      <c r="P48" s="25"/>
      <c r="Q48" s="25"/>
      <c r="R48" s="25"/>
      <c r="S48" s="47">
        <v>8</v>
      </c>
      <c r="T48" s="2">
        <v>8996</v>
      </c>
      <c r="U48" s="2">
        <v>9002.1611111111106</v>
      </c>
      <c r="V48" s="2">
        <f>U48-T48</f>
        <v>6.1611111111105856</v>
      </c>
    </row>
    <row r="49" spans="2:27" ht="19.5">
      <c r="B49" s="35" t="s">
        <v>46</v>
      </c>
      <c r="C49" s="38">
        <f>C48/C47*100</f>
        <v>0.19734230718392495</v>
      </c>
      <c r="O49" s="20"/>
      <c r="P49" s="25"/>
      <c r="Q49" s="25"/>
      <c r="R49" s="25"/>
      <c r="S49" s="47">
        <v>9</v>
      </c>
      <c r="T49" s="2">
        <v>10229</v>
      </c>
      <c r="U49" s="2">
        <v>10205.511111111111</v>
      </c>
      <c r="V49" s="2">
        <f>U49-T49</f>
        <v>-23.488888888889051</v>
      </c>
    </row>
    <row r="50" spans="2:27">
      <c r="B50" s="39"/>
      <c r="C50" s="39"/>
    </row>
    <row r="51" spans="2:27">
      <c r="B51" s="35" t="s">
        <v>39</v>
      </c>
      <c r="C51" s="38">
        <f>(C43-C47)/C43*100</f>
        <v>2.3920139215408107</v>
      </c>
    </row>
    <row r="53" spans="2:27" ht="16.5" thickBot="1">
      <c r="T53" s="71">
        <v>5</v>
      </c>
      <c r="U53" s="72"/>
      <c r="V53" s="73"/>
    </row>
    <row r="54" spans="2:27" ht="16.5" thickBot="1">
      <c r="S54" s="46" t="s">
        <v>21</v>
      </c>
      <c r="T54" s="46" t="s">
        <v>22</v>
      </c>
      <c r="U54" s="46" t="s">
        <v>23</v>
      </c>
      <c r="V54" s="46" t="s">
        <v>24</v>
      </c>
      <c r="X54" s="74">
        <v>5</v>
      </c>
      <c r="Y54" s="75"/>
      <c r="Z54" s="75"/>
      <c r="AA54" s="76"/>
    </row>
    <row r="55" spans="2:27">
      <c r="S55" s="47">
        <v>1</v>
      </c>
      <c r="T55" s="2">
        <v>554</v>
      </c>
      <c r="U55" s="2" cm="1">
        <f t="array" ref="U55:U64">Y55*S55:S64+Z55</f>
        <v>510.945454545453</v>
      </c>
      <c r="V55" s="2">
        <f>U55-T55</f>
        <v>-43.054545454546997</v>
      </c>
      <c r="X55" s="48" t="s">
        <v>25</v>
      </c>
      <c r="Y55" s="18" cm="1">
        <f t="array" ref="Y55:Z59">LINEST(T55:T64,S55:S64,1,1)</f>
        <v>1141.8787878787882</v>
      </c>
      <c r="Z55" s="11">
        <v>-630.93333333333521</v>
      </c>
      <c r="AA55" s="48" t="s">
        <v>26</v>
      </c>
    </row>
    <row r="56" spans="2:27">
      <c r="S56" s="47">
        <v>2</v>
      </c>
      <c r="T56" s="2">
        <v>1667</v>
      </c>
      <c r="U56" s="2">
        <v>1652.8242424242412</v>
      </c>
      <c r="V56" s="2">
        <f>U56-T56</f>
        <v>-14.17575757575878</v>
      </c>
      <c r="X56" s="45" t="s">
        <v>27</v>
      </c>
      <c r="Y56" s="16">
        <v>3.5194670478914043</v>
      </c>
      <c r="Z56" s="10">
        <v>21.837718736075598</v>
      </c>
      <c r="AA56" s="45" t="s">
        <v>28</v>
      </c>
    </row>
    <row r="57" spans="2:27" ht="17.25">
      <c r="S57" s="47">
        <v>3</v>
      </c>
      <c r="T57" s="2">
        <v>2778</v>
      </c>
      <c r="U57" s="2">
        <v>2794.7030303030297</v>
      </c>
      <c r="V57" s="2">
        <f>U57-T57</f>
        <v>16.703030303029664</v>
      </c>
      <c r="X57" s="45" t="s">
        <v>29</v>
      </c>
      <c r="Y57" s="12">
        <v>0.99992400749187682</v>
      </c>
      <c r="Z57" s="10">
        <v>31.967146961348586</v>
      </c>
      <c r="AA57" s="45" t="s">
        <v>30</v>
      </c>
    </row>
    <row r="58" spans="2:27">
      <c r="S58" s="47">
        <v>4</v>
      </c>
      <c r="T58" s="2">
        <v>3916</v>
      </c>
      <c r="U58" s="2">
        <v>3936.5818181818177</v>
      </c>
      <c r="V58" s="2">
        <f>U58-T58</f>
        <v>20.581818181817653</v>
      </c>
      <c r="X58" s="3"/>
      <c r="Y58" s="3">
        <v>105265.53547838301</v>
      </c>
      <c r="Z58" s="3">
        <v>8</v>
      </c>
      <c r="AA58" s="3"/>
    </row>
    <row r="59" spans="2:27">
      <c r="S59" s="47">
        <v>5</v>
      </c>
      <c r="T59" s="2">
        <v>5017</v>
      </c>
      <c r="U59" s="2">
        <v>5078.4606060606056</v>
      </c>
      <c r="V59" s="2">
        <f>U59-T59</f>
        <v>61.460606060605642</v>
      </c>
      <c r="X59" s="3"/>
      <c r="Y59" s="3">
        <v>107570691.21212122</v>
      </c>
      <c r="Z59" s="3">
        <v>8175.1878787876658</v>
      </c>
      <c r="AA59" s="3"/>
    </row>
    <row r="60" spans="2:27">
      <c r="S60" s="47">
        <v>6</v>
      </c>
      <c r="T60" s="2">
        <v>6225</v>
      </c>
      <c r="U60" s="2">
        <v>6220.3393939393945</v>
      </c>
      <c r="V60" s="2">
        <f>U60-T60</f>
        <v>-4.6606060606054598</v>
      </c>
      <c r="Y60" s="35" t="s">
        <v>31</v>
      </c>
      <c r="Z60" s="36">
        <f>2*Z57</f>
        <v>63.934293922697172</v>
      </c>
    </row>
    <row r="61" spans="2:27">
      <c r="S61" s="47">
        <v>7</v>
      </c>
      <c r="T61" s="2">
        <v>7349</v>
      </c>
      <c r="U61" s="2">
        <v>7362.2181818181825</v>
      </c>
      <c r="V61" s="2">
        <f>U61-T61</f>
        <v>13.218181818182529</v>
      </c>
    </row>
    <row r="62" spans="2:27">
      <c r="S62" s="47">
        <v>8</v>
      </c>
      <c r="T62" s="2">
        <v>8521</v>
      </c>
      <c r="U62" s="2">
        <v>8504.0969696969696</v>
      </c>
      <c r="V62" s="2">
        <f>U62-T62</f>
        <v>-16.903030303030391</v>
      </c>
    </row>
    <row r="63" spans="2:27">
      <c r="S63" s="47">
        <v>9</v>
      </c>
      <c r="T63" s="2">
        <v>9680</v>
      </c>
      <c r="U63" s="2">
        <v>9645.9757575757576</v>
      </c>
      <c r="V63" s="2">
        <f>U63-T63</f>
        <v>-34.024242424242402</v>
      </c>
    </row>
    <row r="64" spans="2:27">
      <c r="S64" s="47">
        <v>10</v>
      </c>
      <c r="T64" s="2">
        <v>10787</v>
      </c>
      <c r="U64" s="2">
        <v>10787.854545454546</v>
      </c>
      <c r="V64" s="2">
        <f>U64-T64</f>
        <v>0.85454545454558684</v>
      </c>
    </row>
    <row r="68" spans="19:27" ht="16.5" thickBot="1">
      <c r="T68" s="71">
        <v>6</v>
      </c>
      <c r="U68" s="72"/>
      <c r="V68" s="73"/>
    </row>
    <row r="69" spans="19:27" ht="16.5" thickBot="1">
      <c r="S69" s="46" t="s">
        <v>21</v>
      </c>
      <c r="T69" s="46" t="s">
        <v>22</v>
      </c>
      <c r="U69" s="46" t="s">
        <v>23</v>
      </c>
      <c r="V69" s="46" t="s">
        <v>24</v>
      </c>
      <c r="X69" s="74">
        <v>6</v>
      </c>
      <c r="Y69" s="75"/>
      <c r="Z69" s="75"/>
      <c r="AA69" s="76"/>
    </row>
    <row r="70" spans="19:27">
      <c r="S70" s="47">
        <v>1</v>
      </c>
      <c r="T70" s="2">
        <v>498</v>
      </c>
      <c r="U70" s="9" cm="1">
        <f t="array" ref="U70:U81">Y70*S70:S81+Z70</f>
        <v>465.96153846153777</v>
      </c>
      <c r="V70" s="9">
        <f>U70-T70</f>
        <v>-32.038461538462229</v>
      </c>
      <c r="X70" s="48" t="s">
        <v>25</v>
      </c>
      <c r="Y70" s="18" cm="1">
        <f t="array" ref="Y70:Z74">LINEST(T70:T81,S70:S81,1,1)</f>
        <v>996.1433566433567</v>
      </c>
      <c r="Z70" s="11">
        <v>-530.18181818181893</v>
      </c>
      <c r="AA70" s="48" t="s">
        <v>26</v>
      </c>
    </row>
    <row r="71" spans="19:27">
      <c r="S71" s="47">
        <v>2</v>
      </c>
      <c r="T71" s="2">
        <v>1443</v>
      </c>
      <c r="U71" s="2">
        <v>1462.1048951048945</v>
      </c>
      <c r="V71" s="9">
        <f t="shared" ref="V71:V81" si="14">U71-T71</f>
        <v>19.104895104894467</v>
      </c>
      <c r="X71" s="45" t="s">
        <v>27</v>
      </c>
      <c r="Y71" s="16">
        <v>4.8167330126604053</v>
      </c>
      <c r="Z71" s="10">
        <v>35.450195103969669</v>
      </c>
      <c r="AA71" s="45" t="s">
        <v>28</v>
      </c>
    </row>
    <row r="72" spans="19:27" ht="17.25">
      <c r="S72" s="47">
        <v>3</v>
      </c>
      <c r="T72" s="2">
        <v>2477</v>
      </c>
      <c r="U72" s="2">
        <v>2458.2482517482513</v>
      </c>
      <c r="V72" s="9">
        <f t="shared" si="14"/>
        <v>-18.751748251748722</v>
      </c>
      <c r="X72" s="45" t="s">
        <v>29</v>
      </c>
      <c r="Y72" s="13">
        <v>0.99976624552554028</v>
      </c>
      <c r="Z72" s="10">
        <v>57.59974929529745</v>
      </c>
      <c r="AA72" s="45" t="s">
        <v>30</v>
      </c>
    </row>
    <row r="73" spans="19:27">
      <c r="S73" s="47">
        <v>4</v>
      </c>
      <c r="T73" s="2">
        <v>3470</v>
      </c>
      <c r="U73" s="2">
        <v>3454.3916083916079</v>
      </c>
      <c r="V73" s="9">
        <f t="shared" si="14"/>
        <v>-15.608391608392139</v>
      </c>
      <c r="X73" s="3"/>
      <c r="Y73" s="3">
        <v>42769.929766540467</v>
      </c>
      <c r="Z73" s="3">
        <v>10</v>
      </c>
      <c r="AA73" s="3"/>
    </row>
    <row r="74" spans="19:27">
      <c r="S74" s="47">
        <v>5</v>
      </c>
      <c r="T74" s="2">
        <v>4438</v>
      </c>
      <c r="U74" s="2">
        <v>4450.5349650349644</v>
      </c>
      <c r="V74" s="9">
        <f t="shared" si="14"/>
        <v>12.534965034964443</v>
      </c>
      <c r="X74" s="3"/>
      <c r="Y74" s="3">
        <v>141899126.93881118</v>
      </c>
      <c r="Z74" s="3">
        <v>33177.311188811189</v>
      </c>
      <c r="AA74" s="3"/>
    </row>
    <row r="75" spans="19:27">
      <c r="S75" s="47">
        <v>6</v>
      </c>
      <c r="T75" s="2">
        <v>5423</v>
      </c>
      <c r="U75" s="2">
        <v>5446.6783216783215</v>
      </c>
      <c r="V75" s="9">
        <f t="shared" si="14"/>
        <v>23.678321678321481</v>
      </c>
      <c r="Y75" s="35" t="s">
        <v>31</v>
      </c>
      <c r="Z75" s="34">
        <f>2*Z72</f>
        <v>115.1994985905949</v>
      </c>
    </row>
    <row r="76" spans="19:27">
      <c r="S76" s="47">
        <v>7</v>
      </c>
      <c r="T76" s="2">
        <v>6453</v>
      </c>
      <c r="U76" s="2">
        <v>6442.8216783216776</v>
      </c>
      <c r="V76" s="9">
        <f t="shared" si="14"/>
        <v>-10.178321678322391</v>
      </c>
    </row>
    <row r="77" spans="19:27">
      <c r="S77" s="47">
        <v>8</v>
      </c>
      <c r="T77" s="2">
        <v>7292</v>
      </c>
      <c r="U77" s="2">
        <v>7438.9650349650346</v>
      </c>
      <c r="V77" s="9">
        <f t="shared" si="14"/>
        <v>146.96503496503465</v>
      </c>
    </row>
    <row r="78" spans="19:27">
      <c r="S78" s="47">
        <v>9</v>
      </c>
      <c r="T78" s="2">
        <v>8481</v>
      </c>
      <c r="U78" s="2">
        <v>8435.1083916083917</v>
      </c>
      <c r="V78" s="9">
        <f t="shared" si="14"/>
        <v>-45.891608391608315</v>
      </c>
    </row>
    <row r="79" spans="19:27">
      <c r="S79" s="47">
        <v>10</v>
      </c>
      <c r="T79" s="2">
        <v>9509</v>
      </c>
      <c r="U79" s="2">
        <v>9431.2517482517469</v>
      </c>
      <c r="V79" s="9">
        <f t="shared" si="14"/>
        <v>-77.748251748253097</v>
      </c>
    </row>
    <row r="80" spans="19:27">
      <c r="S80" s="47">
        <v>11</v>
      </c>
      <c r="T80" s="2">
        <v>10446</v>
      </c>
      <c r="U80" s="2">
        <v>10427.395104895106</v>
      </c>
      <c r="V80" s="9">
        <f t="shared" si="14"/>
        <v>-18.60489510489424</v>
      </c>
    </row>
    <row r="81" spans="1:27">
      <c r="A81" s="29"/>
      <c r="B81" s="29"/>
      <c r="C81" s="29"/>
      <c r="S81" s="47">
        <v>12</v>
      </c>
      <c r="T81" s="2">
        <v>11407</v>
      </c>
      <c r="U81" s="2">
        <v>11423.538461538461</v>
      </c>
      <c r="V81" s="9">
        <f t="shared" si="14"/>
        <v>16.538461538460979</v>
      </c>
    </row>
    <row r="84" spans="1:27" ht="16.5" thickBot="1">
      <c r="T84" s="71">
        <v>7</v>
      </c>
      <c r="U84" s="72"/>
      <c r="V84" s="73"/>
    </row>
    <row r="85" spans="1:27" ht="16.899999999999999" customHeight="1" thickBot="1">
      <c r="C85" s="28"/>
      <c r="D85" s="29"/>
      <c r="E85" s="29"/>
      <c r="F85" s="29"/>
      <c r="G85" s="29"/>
      <c r="S85" s="46" t="s">
        <v>21</v>
      </c>
      <c r="T85" s="46" t="s">
        <v>22</v>
      </c>
      <c r="U85" s="46" t="s">
        <v>23</v>
      </c>
      <c r="V85" s="46" t="s">
        <v>24</v>
      </c>
      <c r="X85" s="74">
        <v>7</v>
      </c>
      <c r="Y85" s="75"/>
      <c r="Z85" s="75"/>
      <c r="AA85" s="76"/>
    </row>
    <row r="86" spans="1:27">
      <c r="C86" s="29"/>
      <c r="D86" s="29"/>
      <c r="E86" s="29"/>
      <c r="F86" s="29"/>
      <c r="G86" s="29"/>
      <c r="H86" s="29"/>
      <c r="I86" s="29"/>
      <c r="J86" s="29"/>
      <c r="K86" s="29"/>
      <c r="L86" s="29"/>
      <c r="S86" s="47">
        <v>1</v>
      </c>
      <c r="T86" s="2">
        <v>355</v>
      </c>
      <c r="U86" s="2" cm="1">
        <f t="array" ref="U86:U97">Y86*S86:S97+Z86</f>
        <v>426.53846153846064</v>
      </c>
      <c r="V86" s="2">
        <f>U86-T86</f>
        <v>71.538461538460638</v>
      </c>
      <c r="X86" s="48" t="s">
        <v>25</v>
      </c>
      <c r="Y86" s="17" cm="1">
        <f t="array" ref="Y86:Z90">LINEST(T86:T97,S86:S97,1,1)</f>
        <v>938.85664335664353</v>
      </c>
      <c r="Z86" s="18">
        <v>-512.31818181818289</v>
      </c>
      <c r="AA86" s="48" t="s">
        <v>26</v>
      </c>
    </row>
    <row r="87" spans="1:27">
      <c r="C87" s="29"/>
      <c r="D87" s="29"/>
      <c r="E87" s="29"/>
      <c r="F87" s="29"/>
      <c r="G87" s="29"/>
      <c r="H87" s="29"/>
      <c r="I87" s="29"/>
      <c r="J87" s="29"/>
      <c r="K87" s="29"/>
      <c r="L87" s="29"/>
      <c r="S87" s="47">
        <v>2</v>
      </c>
      <c r="T87" s="2">
        <v>1376</v>
      </c>
      <c r="U87" s="2">
        <v>1365.3951048951042</v>
      </c>
      <c r="V87" s="2">
        <f t="shared" ref="V87:V97" si="15">U87-T87</f>
        <v>-10.604895104895832</v>
      </c>
      <c r="X87" s="45" t="s">
        <v>27</v>
      </c>
      <c r="Y87" s="6">
        <v>2.6480380900661946</v>
      </c>
      <c r="Z87" s="16">
        <v>19.489032646993461</v>
      </c>
      <c r="AA87" s="45" t="s">
        <v>28</v>
      </c>
    </row>
    <row r="88" spans="1:27" ht="17.25">
      <c r="C88" s="29"/>
      <c r="D88" s="29"/>
      <c r="E88" s="29"/>
      <c r="F88" s="29"/>
      <c r="G88" s="29"/>
      <c r="H88" s="29"/>
      <c r="I88" s="29"/>
      <c r="J88" s="29"/>
      <c r="K88" s="29"/>
      <c r="L88" s="29"/>
      <c r="S88" s="47">
        <v>3</v>
      </c>
      <c r="T88" s="2">
        <v>2324</v>
      </c>
      <c r="U88" s="2">
        <v>2304.2517482517478</v>
      </c>
      <c r="V88" s="2">
        <f t="shared" si="15"/>
        <v>-19.748251748252187</v>
      </c>
      <c r="X88" s="45" t="s">
        <v>29</v>
      </c>
      <c r="Y88" s="12">
        <v>0.99992045455042466</v>
      </c>
      <c r="Z88" s="10">
        <v>31.665929938675781</v>
      </c>
      <c r="AA88" s="45" t="s">
        <v>30</v>
      </c>
    </row>
    <row r="89" spans="1:27">
      <c r="C89" s="29"/>
      <c r="D89" s="29"/>
      <c r="E89" s="29"/>
      <c r="F89" s="29"/>
      <c r="G89" s="29"/>
      <c r="H89" s="29"/>
      <c r="I89" s="29"/>
      <c r="J89" s="29"/>
      <c r="K89" s="29"/>
      <c r="L89" s="29"/>
      <c r="S89" s="47">
        <v>4</v>
      </c>
      <c r="T89" s="2">
        <v>3269</v>
      </c>
      <c r="U89" s="2">
        <v>3243.1083916083912</v>
      </c>
      <c r="V89" s="2">
        <f t="shared" si="15"/>
        <v>-25.89160839160877</v>
      </c>
      <c r="X89" s="3"/>
      <c r="Y89" s="3">
        <v>125704.29356920609</v>
      </c>
      <c r="Z89" s="3">
        <v>10</v>
      </c>
    </row>
    <row r="90" spans="1:27">
      <c r="C90" s="29"/>
      <c r="D90" s="29"/>
      <c r="E90" s="29"/>
      <c r="F90" s="29"/>
      <c r="G90" s="29"/>
      <c r="H90" s="29"/>
      <c r="I90" s="29"/>
      <c r="J90" s="29"/>
      <c r="K90" s="29"/>
      <c r="L90" s="29"/>
      <c r="S90" s="47">
        <v>5</v>
      </c>
      <c r="T90" s="2">
        <v>4199</v>
      </c>
      <c r="U90" s="2">
        <v>4181.9650349650346</v>
      </c>
      <c r="V90" s="2">
        <f t="shared" si="15"/>
        <v>-17.034965034965353</v>
      </c>
      <c r="X90" s="3"/>
      <c r="Y90" s="3">
        <v>126047606.93881118</v>
      </c>
      <c r="Z90" s="3">
        <v>10027.311188811231</v>
      </c>
    </row>
    <row r="91" spans="1:27">
      <c r="C91" s="29"/>
      <c r="D91" s="29"/>
      <c r="E91" s="29"/>
      <c r="F91" s="29"/>
      <c r="G91" s="29"/>
      <c r="H91" s="29"/>
      <c r="I91" s="29"/>
      <c r="J91" s="29"/>
      <c r="K91" s="29"/>
      <c r="L91" s="29"/>
      <c r="S91" s="47">
        <v>6</v>
      </c>
      <c r="T91" s="2">
        <v>5139</v>
      </c>
      <c r="U91" s="2">
        <v>5120.8216783216785</v>
      </c>
      <c r="V91" s="2">
        <f t="shared" si="15"/>
        <v>-18.178321678321481</v>
      </c>
      <c r="Y91" s="35" t="s">
        <v>31</v>
      </c>
      <c r="Z91" s="34">
        <f>2*Z88</f>
        <v>63.331859877351562</v>
      </c>
    </row>
    <row r="92" spans="1:27">
      <c r="C92" s="29"/>
      <c r="D92" s="29"/>
      <c r="E92" s="29"/>
      <c r="F92" s="29"/>
      <c r="G92" s="29"/>
      <c r="H92" s="29"/>
      <c r="I92" s="29"/>
      <c r="J92" s="29"/>
      <c r="K92" s="29"/>
      <c r="L92" s="29"/>
      <c r="S92" s="47">
        <v>7</v>
      </c>
      <c r="T92" s="2">
        <v>6066</v>
      </c>
      <c r="U92" s="2">
        <v>6059.6783216783215</v>
      </c>
      <c r="V92" s="2">
        <f t="shared" si="15"/>
        <v>-6.3216783216785188</v>
      </c>
    </row>
    <row r="93" spans="1:27">
      <c r="C93" s="29"/>
      <c r="D93" s="29"/>
      <c r="E93" s="29"/>
      <c r="F93" s="29"/>
      <c r="G93" s="29"/>
      <c r="H93" s="29"/>
      <c r="I93" s="29"/>
      <c r="J93" s="29"/>
      <c r="K93" s="29"/>
      <c r="L93" s="29"/>
      <c r="S93" s="47">
        <v>8</v>
      </c>
      <c r="T93" s="2">
        <v>7000</v>
      </c>
      <c r="U93" s="2">
        <v>6998.5349650349654</v>
      </c>
      <c r="V93" s="2">
        <f t="shared" si="15"/>
        <v>-1.465034965034647</v>
      </c>
    </row>
    <row r="94" spans="1:27">
      <c r="C94" s="29"/>
      <c r="D94" s="29"/>
      <c r="E94" s="29"/>
      <c r="F94" s="29"/>
      <c r="G94" s="29"/>
      <c r="H94" s="29"/>
      <c r="I94" s="29"/>
      <c r="J94" s="29"/>
      <c r="K94" s="29"/>
      <c r="L94" s="29"/>
      <c r="S94" s="47">
        <v>9</v>
      </c>
      <c r="T94" s="2">
        <v>7969</v>
      </c>
      <c r="U94" s="2">
        <v>7937.3916083916092</v>
      </c>
      <c r="V94" s="2">
        <f t="shared" si="15"/>
        <v>-31.608391608390775</v>
      </c>
    </row>
    <row r="95" spans="1:27">
      <c r="C95" s="29"/>
      <c r="D95" s="29"/>
      <c r="E95" s="29"/>
      <c r="F95" s="29"/>
      <c r="G95" s="29"/>
      <c r="H95" s="29"/>
      <c r="I95" s="29"/>
      <c r="J95" s="29"/>
      <c r="K95" s="29"/>
      <c r="L95" s="29"/>
      <c r="S95" s="47">
        <v>10</v>
      </c>
      <c r="T95" s="56">
        <v>8866</v>
      </c>
      <c r="U95" s="2">
        <v>8876.2482517482531</v>
      </c>
      <c r="V95" s="2">
        <f t="shared" si="15"/>
        <v>10.248251748253097</v>
      </c>
    </row>
    <row r="96" spans="1:27">
      <c r="C96" s="29"/>
      <c r="D96" s="29"/>
      <c r="E96" s="29"/>
      <c r="F96" s="29"/>
      <c r="G96" s="29"/>
      <c r="H96" s="29"/>
      <c r="I96" s="29"/>
      <c r="J96" s="29"/>
      <c r="K96" s="29"/>
      <c r="L96" s="29"/>
      <c r="S96" s="47">
        <v>11</v>
      </c>
      <c r="T96" s="2">
        <v>9771</v>
      </c>
      <c r="U96" s="2">
        <v>9815.1048951048942</v>
      </c>
      <c r="V96" s="2">
        <f t="shared" si="15"/>
        <v>44.10489510489424</v>
      </c>
    </row>
    <row r="97" spans="19:27">
      <c r="S97" s="47">
        <v>12</v>
      </c>
      <c r="T97" s="2">
        <v>10749</v>
      </c>
      <c r="U97" s="2">
        <v>10753.961538461539</v>
      </c>
      <c r="V97" s="2">
        <f t="shared" si="15"/>
        <v>4.9615384615390212</v>
      </c>
    </row>
    <row r="100" spans="19:27" ht="16.5" thickBot="1">
      <c r="T100" s="71">
        <v>8</v>
      </c>
      <c r="U100" s="72"/>
      <c r="V100" s="73"/>
    </row>
    <row r="101" spans="19:27" ht="16.5" thickBot="1">
      <c r="S101" s="46" t="s">
        <v>21</v>
      </c>
      <c r="T101" s="46" t="s">
        <v>22</v>
      </c>
      <c r="U101" s="46" t="s">
        <v>23</v>
      </c>
      <c r="V101" s="46" t="s">
        <v>24</v>
      </c>
      <c r="X101" s="74">
        <v>8</v>
      </c>
      <c r="Y101" s="75"/>
      <c r="Z101" s="75"/>
      <c r="AA101" s="76"/>
    </row>
    <row r="102" spans="19:27">
      <c r="S102" s="47">
        <v>1</v>
      </c>
      <c r="T102" s="1">
        <v>268</v>
      </c>
      <c r="U102" s="2" cm="1">
        <f t="array" ref="U102:U115">Y102*S102:S115+Z102</f>
        <v>361.31428571428569</v>
      </c>
      <c r="V102" s="13">
        <f>U102-T102</f>
        <v>93.314285714285688</v>
      </c>
      <c r="X102" s="48" t="s">
        <v>25</v>
      </c>
      <c r="Y102" s="18" cm="1">
        <f t="array" ref="Y102:Z106">LINEST(T102:T115,S102:S115,1,1)</f>
        <v>772.18241758241766</v>
      </c>
      <c r="Z102" s="18">
        <v>-410.86813186813197</v>
      </c>
      <c r="AA102" s="48" t="s">
        <v>26</v>
      </c>
    </row>
    <row r="103" spans="19:27">
      <c r="S103" s="47">
        <v>2</v>
      </c>
      <c r="T103" s="2">
        <v>1149</v>
      </c>
      <c r="U103" s="2">
        <v>1133.4967032967033</v>
      </c>
      <c r="V103" s="13">
        <f t="shared" ref="V103:V114" si="16">U103-T103</f>
        <v>-15.503296703296655</v>
      </c>
      <c r="X103" s="45" t="s">
        <v>27</v>
      </c>
      <c r="Y103" s="16">
        <v>3.2616053526310083</v>
      </c>
      <c r="Z103" s="16">
        <v>27.77156886156353</v>
      </c>
      <c r="AA103" s="45" t="s">
        <v>28</v>
      </c>
    </row>
    <row r="104" spans="19:27" ht="17.25">
      <c r="S104" s="47">
        <v>3</v>
      </c>
      <c r="T104" s="2">
        <v>1930</v>
      </c>
      <c r="U104" s="2">
        <v>1905.679120879121</v>
      </c>
      <c r="V104" s="13">
        <f t="shared" si="16"/>
        <v>-24.320879120878999</v>
      </c>
      <c r="X104" s="45" t="s">
        <v>29</v>
      </c>
      <c r="Y104" s="12">
        <v>0.99978595194724307</v>
      </c>
      <c r="Z104" s="16">
        <v>49.195129899826547</v>
      </c>
      <c r="AA104" s="45" t="s">
        <v>30</v>
      </c>
    </row>
    <row r="105" spans="19:27">
      <c r="S105" s="47">
        <v>4</v>
      </c>
      <c r="T105" s="2">
        <v>2697</v>
      </c>
      <c r="U105" s="2">
        <v>2677.8615384615387</v>
      </c>
      <c r="V105" s="13">
        <f t="shared" si="16"/>
        <v>-19.138461538461343</v>
      </c>
      <c r="Y105" s="3">
        <v>56050.177840179196</v>
      </c>
      <c r="Z105" s="3">
        <v>12</v>
      </c>
    </row>
    <row r="106" spans="19:27">
      <c r="S106" s="47">
        <v>5</v>
      </c>
      <c r="T106" s="2">
        <v>3476</v>
      </c>
      <c r="U106" s="2">
        <v>3450.0439560439563</v>
      </c>
      <c r="V106" s="13">
        <f t="shared" si="16"/>
        <v>-25.956043956043686</v>
      </c>
      <c r="Y106" s="3">
        <v>135650443.57032967</v>
      </c>
      <c r="Z106" s="3">
        <v>29041.929670329693</v>
      </c>
    </row>
    <row r="107" spans="19:27">
      <c r="S107" s="47">
        <v>6</v>
      </c>
      <c r="T107" s="2">
        <v>4216</v>
      </c>
      <c r="U107" s="2">
        <v>4222.226373626374</v>
      </c>
      <c r="V107" s="13">
        <f t="shared" si="16"/>
        <v>6.2263736263739702</v>
      </c>
      <c r="Y107" s="35" t="s">
        <v>31</v>
      </c>
      <c r="Z107" s="34">
        <f>2*Z104</f>
        <v>98.390259799653094</v>
      </c>
    </row>
    <row r="108" spans="19:27">
      <c r="S108" s="47">
        <v>7</v>
      </c>
      <c r="T108" s="2">
        <v>5023</v>
      </c>
      <c r="U108" s="2">
        <v>4994.4087912087916</v>
      </c>
      <c r="V108" s="13">
        <f t="shared" si="16"/>
        <v>-28.591208791208373</v>
      </c>
    </row>
    <row r="109" spans="19:27">
      <c r="S109" s="47">
        <v>8</v>
      </c>
      <c r="T109" s="2">
        <v>5813</v>
      </c>
      <c r="U109" s="2">
        <v>5766.5912087912093</v>
      </c>
      <c r="V109" s="13">
        <f t="shared" si="16"/>
        <v>-46.408791208790717</v>
      </c>
    </row>
    <row r="110" spans="19:27">
      <c r="S110" s="47">
        <v>9</v>
      </c>
      <c r="T110" s="2">
        <v>6593</v>
      </c>
      <c r="U110" s="2">
        <v>6538.7736263736269</v>
      </c>
      <c r="V110" s="13">
        <f t="shared" si="16"/>
        <v>-54.226373626373061</v>
      </c>
    </row>
    <row r="111" spans="19:27">
      <c r="S111" s="47">
        <v>10</v>
      </c>
      <c r="T111" s="2">
        <v>7267</v>
      </c>
      <c r="U111" s="2">
        <v>7310.9560439560446</v>
      </c>
      <c r="V111" s="13">
        <f t="shared" si="16"/>
        <v>43.956043956044596</v>
      </c>
    </row>
    <row r="112" spans="19:27">
      <c r="S112" s="47">
        <v>11</v>
      </c>
      <c r="T112" s="2">
        <v>8081</v>
      </c>
      <c r="U112" s="2">
        <v>8083.1384615384613</v>
      </c>
      <c r="V112" s="13">
        <f t="shared" si="16"/>
        <v>2.1384615384613426</v>
      </c>
    </row>
    <row r="113" spans="19:27">
      <c r="S113" s="47">
        <v>12</v>
      </c>
      <c r="T113" s="2">
        <v>8755</v>
      </c>
      <c r="U113" s="2">
        <v>8855.3208791208799</v>
      </c>
      <c r="V113" s="13">
        <f t="shared" si="16"/>
        <v>100.32087912087991</v>
      </c>
    </row>
    <row r="114" spans="19:27">
      <c r="S114" s="47">
        <v>13</v>
      </c>
      <c r="T114" s="2">
        <v>9645</v>
      </c>
      <c r="U114" s="2">
        <v>9627.5032967032985</v>
      </c>
      <c r="V114" s="13">
        <f t="shared" si="16"/>
        <v>-17.496703296701526</v>
      </c>
    </row>
    <row r="115" spans="19:27">
      <c r="S115" s="47">
        <v>14</v>
      </c>
      <c r="T115" s="2">
        <v>10414</v>
      </c>
      <c r="U115" s="2">
        <v>10399.685714285715</v>
      </c>
      <c r="V115" s="13">
        <f>U115-T115</f>
        <v>-14.314285714284779</v>
      </c>
    </row>
    <row r="118" spans="19:27" ht="16.5" thickBot="1">
      <c r="T118" s="71">
        <v>9</v>
      </c>
      <c r="U118" s="72"/>
      <c r="V118" s="73"/>
    </row>
    <row r="119" spans="19:27" ht="16.5" thickBot="1">
      <c r="S119" s="46" t="s">
        <v>21</v>
      </c>
      <c r="T119" s="46" t="s">
        <v>22</v>
      </c>
      <c r="U119" s="46" t="s">
        <v>23</v>
      </c>
      <c r="V119" s="46" t="s">
        <v>24</v>
      </c>
      <c r="X119" s="74">
        <v>9</v>
      </c>
      <c r="Y119" s="75"/>
      <c r="Z119" s="75"/>
      <c r="AA119" s="76"/>
    </row>
    <row r="120" spans="19:27">
      <c r="S120" s="47">
        <v>1</v>
      </c>
      <c r="T120" s="2">
        <v>308</v>
      </c>
      <c r="U120" s="16" cm="1">
        <f t="array" ref="U120:U131">Y120*S120:S131+Z120</f>
        <v>307.32051282051111</v>
      </c>
      <c r="V120" s="16">
        <f>U120-T120</f>
        <v>-0.6794871794888877</v>
      </c>
      <c r="X120" s="48" t="s">
        <v>25</v>
      </c>
      <c r="Y120" s="17" cm="1">
        <f t="array" ref="Y120:Z124">LINEST(T120:T131,S120:S131,1,1)</f>
        <v>654.65384615384642</v>
      </c>
      <c r="Z120" s="18">
        <v>-347.3333333333353</v>
      </c>
      <c r="AA120" s="48" t="s">
        <v>26</v>
      </c>
    </row>
    <row r="121" spans="19:27">
      <c r="S121" s="47">
        <v>2</v>
      </c>
      <c r="T121" s="2">
        <v>964</v>
      </c>
      <c r="U121" s="16">
        <v>961.97435897435753</v>
      </c>
      <c r="V121" s="16">
        <f t="shared" ref="V121:V131" si="17">U121-T121</f>
        <v>-2.0256410256424715</v>
      </c>
      <c r="X121" s="45" t="s">
        <v>27</v>
      </c>
      <c r="Y121" s="6">
        <v>1.8305454212769683</v>
      </c>
      <c r="Z121" s="16">
        <v>13.472449513057958</v>
      </c>
      <c r="AA121" s="45" t="s">
        <v>28</v>
      </c>
    </row>
    <row r="122" spans="19:27" ht="17.25">
      <c r="S122" s="47">
        <v>3</v>
      </c>
      <c r="T122" s="2">
        <v>1616</v>
      </c>
      <c r="U122" s="16">
        <v>1616.6282051282039</v>
      </c>
      <c r="V122" s="16">
        <f t="shared" si="17"/>
        <v>0.6282051282039447</v>
      </c>
      <c r="X122" s="45" t="s">
        <v>29</v>
      </c>
      <c r="Y122" s="12">
        <v>0.99992181856880402</v>
      </c>
      <c r="Z122" s="16">
        <v>21.890139449720376</v>
      </c>
      <c r="AA122" s="45" t="s">
        <v>30</v>
      </c>
    </row>
    <row r="123" spans="19:27">
      <c r="S123" s="47">
        <v>4</v>
      </c>
      <c r="T123" s="2">
        <v>2272</v>
      </c>
      <c r="U123" s="16">
        <v>2271.2820512820504</v>
      </c>
      <c r="V123" s="16">
        <f t="shared" si="17"/>
        <v>-0.7179487179496391</v>
      </c>
      <c r="Y123" s="3">
        <v>127897.60986357542</v>
      </c>
      <c r="Z123" s="3">
        <v>10</v>
      </c>
    </row>
    <row r="124" spans="19:27">
      <c r="S124" s="47">
        <v>5</v>
      </c>
      <c r="T124" s="2">
        <v>2927</v>
      </c>
      <c r="U124" s="16">
        <v>2925.935897435897</v>
      </c>
      <c r="V124" s="16">
        <f t="shared" si="17"/>
        <v>-1.0641025641029955</v>
      </c>
      <c r="Y124" s="3">
        <v>61285747.134615391</v>
      </c>
      <c r="Z124" s="3">
        <v>4791.7820512820435</v>
      </c>
    </row>
    <row r="125" spans="19:27">
      <c r="S125" s="47">
        <v>6</v>
      </c>
      <c r="T125" s="2">
        <v>3575</v>
      </c>
      <c r="U125" s="16">
        <v>3580.5897435897432</v>
      </c>
      <c r="V125" s="16">
        <f t="shared" si="17"/>
        <v>5.5897435897431933</v>
      </c>
      <c r="Y125" s="35" t="s">
        <v>31</v>
      </c>
      <c r="Z125" s="34">
        <f>2*Z122</f>
        <v>43.780278899440752</v>
      </c>
    </row>
    <row r="126" spans="19:27">
      <c r="S126" s="47">
        <v>7</v>
      </c>
      <c r="T126" s="2">
        <v>4236</v>
      </c>
      <c r="U126" s="16">
        <v>4235.2435897435898</v>
      </c>
      <c r="V126" s="16">
        <f t="shared" si="17"/>
        <v>-0.75641025641016313</v>
      </c>
    </row>
    <row r="127" spans="19:27">
      <c r="S127" s="47">
        <v>8</v>
      </c>
      <c r="T127" s="2">
        <v>4878</v>
      </c>
      <c r="U127" s="16">
        <v>4889.8974358974356</v>
      </c>
      <c r="V127" s="16">
        <f t="shared" si="17"/>
        <v>11.897435897435571</v>
      </c>
    </row>
    <row r="128" spans="19:27">
      <c r="S128" s="47">
        <v>9</v>
      </c>
      <c r="T128" s="2">
        <v>5588</v>
      </c>
      <c r="U128" s="16">
        <v>5544.5512820512831</v>
      </c>
      <c r="V128" s="16">
        <f t="shared" si="17"/>
        <v>-43.448717948716876</v>
      </c>
    </row>
    <row r="129" spans="19:22">
      <c r="S129" s="47">
        <v>10</v>
      </c>
      <c r="T129" s="2">
        <v>6149</v>
      </c>
      <c r="U129" s="16">
        <v>6199.2051282051289</v>
      </c>
      <c r="V129" s="16">
        <f t="shared" si="17"/>
        <v>50.205128205128858</v>
      </c>
    </row>
    <row r="130" spans="19:22">
      <c r="S130" s="47">
        <v>11</v>
      </c>
      <c r="T130" s="2">
        <v>6866</v>
      </c>
      <c r="U130" s="16">
        <v>6853.8589743589746</v>
      </c>
      <c r="V130" s="16">
        <f t="shared" si="17"/>
        <v>-12.141025641025408</v>
      </c>
    </row>
    <row r="131" spans="19:22">
      <c r="S131" s="47">
        <v>12</v>
      </c>
      <c r="T131" s="2">
        <v>7516</v>
      </c>
      <c r="U131" s="16">
        <v>7508.5128205128221</v>
      </c>
      <c r="V131" s="16">
        <f t="shared" si="17"/>
        <v>-7.4871794871778548</v>
      </c>
    </row>
  </sheetData>
  <mergeCells count="19">
    <mergeCell ref="G14:J14"/>
    <mergeCell ref="T68:V68"/>
    <mergeCell ref="T84:V84"/>
    <mergeCell ref="X85:AA85"/>
    <mergeCell ref="T3:V3"/>
    <mergeCell ref="X40:AA40"/>
    <mergeCell ref="X54:AA54"/>
    <mergeCell ref="X4:AA4"/>
    <mergeCell ref="T53:V53"/>
    <mergeCell ref="X14:AA14"/>
    <mergeCell ref="T13:V13"/>
    <mergeCell ref="T25:V25"/>
    <mergeCell ref="X26:AA26"/>
    <mergeCell ref="T39:V39"/>
    <mergeCell ref="T100:V100"/>
    <mergeCell ref="X101:AA101"/>
    <mergeCell ref="X119:AA119"/>
    <mergeCell ref="T118:V118"/>
    <mergeCell ref="X69:AA6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B435-0004-B043-8C95-CD169F9CCD22}">
  <dimension ref="B1:AO104"/>
  <sheetViews>
    <sheetView topLeftCell="W12" zoomScale="150" zoomScaleNormal="150" workbookViewId="0">
      <selection activeCell="AA27" sqref="AA27"/>
    </sheetView>
  </sheetViews>
  <sheetFormatPr defaultColWidth="10.75" defaultRowHeight="15.75"/>
  <cols>
    <col min="1" max="8" width="10.75" style="1"/>
    <col min="9" max="10" width="12.25" style="1" bestFit="1" customWidth="1"/>
    <col min="11" max="11" width="12.25" style="1" customWidth="1"/>
    <col min="12" max="12" width="12.375" style="1" bestFit="1" customWidth="1"/>
    <col min="13" max="13" width="10.75" style="1"/>
    <col min="14" max="14" width="13.5" style="1" bestFit="1" customWidth="1"/>
    <col min="15" max="16" width="10.75" style="1"/>
    <col min="17" max="17" width="13.75" style="1" customWidth="1"/>
    <col min="18" max="18" width="12.25" style="1" bestFit="1" customWidth="1"/>
    <col min="19" max="29" width="10.75" style="1"/>
    <col min="30" max="30" width="13.25" style="1" bestFit="1" customWidth="1"/>
    <col min="31" max="32" width="10.75" style="1"/>
    <col min="33" max="40" width="12.875" style="1" bestFit="1" customWidth="1"/>
    <col min="41" max="41" width="13.25" style="1" customWidth="1"/>
    <col min="42" max="16384" width="10.75" style="1"/>
  </cols>
  <sheetData>
    <row r="1" spans="2:41">
      <c r="AF1" s="42">
        <f t="shared" ref="AF1:AN1" si="0">$AH$28</f>
        <v>-6.5601973835915033E-6</v>
      </c>
      <c r="AG1" s="42">
        <f t="shared" si="0"/>
        <v>-6.5601973835915033E-6</v>
      </c>
      <c r="AH1" s="42">
        <f t="shared" si="0"/>
        <v>-6.5601973835915033E-6</v>
      </c>
      <c r="AI1" s="42">
        <f t="shared" si="0"/>
        <v>-6.5601973835915033E-6</v>
      </c>
      <c r="AJ1" s="42">
        <f t="shared" si="0"/>
        <v>-6.5601973835915033E-6</v>
      </c>
      <c r="AK1" s="42">
        <f t="shared" si="0"/>
        <v>-6.5601973835915033E-6</v>
      </c>
      <c r="AL1" s="42">
        <f t="shared" si="0"/>
        <v>-6.5601973835915033E-6</v>
      </c>
      <c r="AM1" s="42">
        <f t="shared" si="0"/>
        <v>-6.5601973835915033E-6</v>
      </c>
      <c r="AN1" s="42">
        <f t="shared" si="0"/>
        <v>-6.5601973835915033E-6</v>
      </c>
      <c r="AO1" s="3"/>
    </row>
    <row r="2" spans="2:41">
      <c r="AA2" s="1" t="s">
        <v>47</v>
      </c>
      <c r="AB2" s="32">
        <f>AVERAGE(Tubos!P7:P12)*10^-3</f>
        <v>1.0313666666666669E-3</v>
      </c>
      <c r="AC2" s="22">
        <f>_xlfn.STDEV.S('1ª Parte (v)'!I7:I12)/SQRT(5)</f>
        <v>7.4147420723852523E-6</v>
      </c>
      <c r="AD2" s="22">
        <f>AC2/AB2*100</f>
        <v>0.71892395905613105</v>
      </c>
      <c r="AF2" s="67">
        <f>$AO$5</f>
        <v>3.5754105833570664E-6</v>
      </c>
      <c r="AG2" s="67">
        <f t="shared" ref="AG2:AN2" si="1">$AO$5</f>
        <v>3.5754105833570664E-6</v>
      </c>
      <c r="AH2" s="67">
        <f t="shared" si="1"/>
        <v>3.5754105833570664E-6</v>
      </c>
      <c r="AI2" s="67">
        <f t="shared" si="1"/>
        <v>3.5754105833570664E-6</v>
      </c>
      <c r="AJ2" s="67">
        <f t="shared" si="1"/>
        <v>3.5754105833570664E-6</v>
      </c>
      <c r="AK2" s="67">
        <f t="shared" si="1"/>
        <v>3.5754105833570664E-6</v>
      </c>
      <c r="AL2" s="67">
        <f t="shared" si="1"/>
        <v>3.5754105833570664E-6</v>
      </c>
      <c r="AM2" s="67">
        <f t="shared" si="1"/>
        <v>3.5754105833570664E-6</v>
      </c>
      <c r="AN2" s="67">
        <f t="shared" si="1"/>
        <v>3.5754105833570664E-6</v>
      </c>
      <c r="AO2" s="3"/>
    </row>
    <row r="3" spans="2:41">
      <c r="C3" s="49">
        <v>4</v>
      </c>
      <c r="F3" s="78" t="s">
        <v>48</v>
      </c>
      <c r="G3" s="79"/>
      <c r="H3" s="79"/>
      <c r="I3" s="79"/>
      <c r="J3" s="79"/>
      <c r="K3" s="79"/>
      <c r="L3" s="79"/>
      <c r="M3" s="79"/>
      <c r="N3" s="80"/>
      <c r="AA3" s="1" t="s">
        <v>49</v>
      </c>
      <c r="AB3" s="30">
        <f>0.305*AB2</f>
        <v>3.1456683333333339E-4</v>
      </c>
      <c r="AC3" s="22">
        <f>AC2*0.305</f>
        <v>2.2614963320775019E-6</v>
      </c>
      <c r="AD3" s="22">
        <f>AC3/AB3*100</f>
        <v>0.71892395905613105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6</v>
      </c>
      <c r="AL3" s="1">
        <v>7</v>
      </c>
      <c r="AM3" s="1">
        <v>8</v>
      </c>
      <c r="AN3" s="1">
        <v>9</v>
      </c>
    </row>
    <row r="4" spans="2:41" ht="17.25">
      <c r="B4" s="51" t="s">
        <v>21</v>
      </c>
      <c r="C4" s="51" t="s">
        <v>22</v>
      </c>
      <c r="F4" s="45" t="s">
        <v>0</v>
      </c>
      <c r="G4" s="45" t="s">
        <v>17</v>
      </c>
      <c r="H4" s="45" t="s">
        <v>50</v>
      </c>
      <c r="I4" s="45" t="s">
        <v>18</v>
      </c>
      <c r="J4" s="45" t="s">
        <v>51</v>
      </c>
      <c r="K4" s="45" t="s">
        <v>52</v>
      </c>
      <c r="L4" s="45" t="s">
        <v>53</v>
      </c>
      <c r="M4" s="45" t="s">
        <v>54</v>
      </c>
      <c r="N4" s="45" t="s">
        <v>55</v>
      </c>
      <c r="AF4" s="30">
        <f>$AB$3</f>
        <v>3.1456683333333339E-4</v>
      </c>
      <c r="AG4" s="30">
        <f t="shared" ref="AG4:AN4" si="2">$AB$3</f>
        <v>3.1456683333333339E-4</v>
      </c>
      <c r="AH4" s="30">
        <f t="shared" si="2"/>
        <v>3.1456683333333339E-4</v>
      </c>
      <c r="AI4" s="30">
        <f t="shared" si="2"/>
        <v>3.1456683333333339E-4</v>
      </c>
      <c r="AJ4" s="30">
        <f t="shared" si="2"/>
        <v>3.1456683333333339E-4</v>
      </c>
      <c r="AK4" s="30">
        <f t="shared" si="2"/>
        <v>3.1456683333333339E-4</v>
      </c>
      <c r="AL4" s="30">
        <f t="shared" si="2"/>
        <v>3.1456683333333339E-4</v>
      </c>
      <c r="AM4" s="30">
        <f t="shared" si="2"/>
        <v>3.1456683333333339E-4</v>
      </c>
      <c r="AN4" s="30">
        <f t="shared" si="2"/>
        <v>3.1456683333333339E-4</v>
      </c>
    </row>
    <row r="5" spans="2:41">
      <c r="B5" s="52">
        <v>1</v>
      </c>
      <c r="C5" s="2">
        <f>'1ª Parte (v)'!T41</f>
        <v>593</v>
      </c>
      <c r="F5" s="2">
        <v>4</v>
      </c>
      <c r="G5" s="2">
        <f>'1ª Parte (v)'!E6</f>
        <v>1.4069999999999999E-2</v>
      </c>
      <c r="H5" s="2">
        <f>G5*10^2</f>
        <v>1.407</v>
      </c>
      <c r="I5" s="2">
        <f>Tubos!J7*10^-1</f>
        <v>1.6733200530681472E-3</v>
      </c>
      <c r="J5" s="2">
        <f>1/C5</f>
        <v>1.6863406408094434E-3</v>
      </c>
      <c r="K5" s="2">
        <f>J5*10^4</f>
        <v>16.863406408094434</v>
      </c>
      <c r="L5" s="58">
        <f>ABS(((J5^2))*(1/J5)/(2*1024))</f>
        <v>8.2340851602023594E-7</v>
      </c>
      <c r="M5" s="9">
        <f>$Q$5*K5+$R$5</f>
        <v>1.4676303087218074</v>
      </c>
      <c r="N5" s="9">
        <f>M5-H5</f>
        <v>6.0630308721807413E-2</v>
      </c>
      <c r="P5" s="51" t="s">
        <v>25</v>
      </c>
      <c r="Q5" s="9" cm="1">
        <f t="array" ref="Q5:R9">LINEST(H5:H9,K5:K9,1,1)</f>
        <v>3.5056956063529404E-2</v>
      </c>
      <c r="R5" s="19">
        <v>0.87645061119180057</v>
      </c>
      <c r="S5" s="57" t="s">
        <v>26</v>
      </c>
      <c r="AE5" s="1" t="s">
        <v>56</v>
      </c>
      <c r="AF5" s="65">
        <f>-R5*10^-4</f>
        <v>-8.7645061119180062E-5</v>
      </c>
      <c r="AG5" s="1">
        <f>-R15*10^-4</f>
        <v>4.1824764506684268E-6</v>
      </c>
      <c r="AH5" s="1">
        <f>-R25*10^-4</f>
        <v>2.9683538044407154E-6</v>
      </c>
      <c r="AI5" s="1">
        <f>-R35*10^-4</f>
        <v>3.6883822757035171E-6</v>
      </c>
      <c r="AJ5" s="1">
        <f>-R45*10^-4</f>
        <v>5.5770842272083955E-6</v>
      </c>
      <c r="AK5" s="1">
        <f>-R55*10^-4</f>
        <v>2.1058152117853224E-6</v>
      </c>
      <c r="AL5" s="1">
        <f>-R65*10^-4</f>
        <v>2.7120961735686456E-6</v>
      </c>
      <c r="AM5" s="1">
        <f>-R75*10^-4</f>
        <v>3.4166556832958331E-6</v>
      </c>
      <c r="AN5" s="1">
        <f>-R85*10^-4</f>
        <v>3.9524208401856779E-6</v>
      </c>
      <c r="AO5" s="68">
        <f>AVERAGE(AG5:AN5)</f>
        <v>3.5754105833570664E-6</v>
      </c>
    </row>
    <row r="6" spans="2:41">
      <c r="B6" s="52">
        <v>2</v>
      </c>
      <c r="C6" s="2">
        <f>'1ª Parte (v)'!T42</f>
        <v>1787</v>
      </c>
      <c r="F6" s="2">
        <v>5</v>
      </c>
      <c r="G6" s="2">
        <f>'1ª Parte (v)'!E7</f>
        <v>1.4968E-2</v>
      </c>
      <c r="H6" s="2">
        <f>G6*10^2</f>
        <v>1.4968000000000001</v>
      </c>
      <c r="I6" s="2">
        <f>Tubos!J8*10^-1</f>
        <v>1.9849433241279171E-3</v>
      </c>
      <c r="J6" s="2">
        <f>1/C21</f>
        <v>1.8050541516245488E-3</v>
      </c>
      <c r="K6" s="2">
        <f>J6*10^4</f>
        <v>18.050541516245488</v>
      </c>
      <c r="L6" s="58">
        <f t="shared" ref="L6:L8" si="3">ABS(((J6^2))*(1/J6)/(2*1024))</f>
        <v>8.8137409747292432E-7</v>
      </c>
      <c r="M6" s="9">
        <f>$Q$5*K6+$R$5</f>
        <v>1.5092476520497322</v>
      </c>
      <c r="N6" s="9">
        <f>M6-H6</f>
        <v>1.2447652049732083E-2</v>
      </c>
      <c r="P6" s="51" t="s">
        <v>84</v>
      </c>
      <c r="Q6" s="10">
        <v>5.0275266657091406E-3</v>
      </c>
      <c r="R6" s="19">
        <v>0.12717161151949949</v>
      </c>
      <c r="S6" s="57" t="s">
        <v>28</v>
      </c>
      <c r="AE6" s="1" t="s">
        <v>57</v>
      </c>
      <c r="AF6" s="21">
        <f>R6*10^-4</f>
        <v>1.2717161151949949E-5</v>
      </c>
      <c r="AG6" s="1">
        <f>R16*10^-4</f>
        <v>4.0986246628203344E-6</v>
      </c>
      <c r="AH6" s="1">
        <f>R26*10^-4</f>
        <v>2.4381170447608605E-6</v>
      </c>
      <c r="AI6" s="1">
        <f>R36*10^-4</f>
        <v>9.0997089368308321E-7</v>
      </c>
      <c r="AJ6" s="1">
        <f>R46*10^-4</f>
        <v>1.4191241662273084E-6</v>
      </c>
      <c r="AK6" s="1">
        <f>R56*10^-4</f>
        <v>1.5274867002870015E-6</v>
      </c>
      <c r="AL6" s="1">
        <f>R66*10^-4</f>
        <v>1.5231681522936081E-6</v>
      </c>
      <c r="AM6" s="1">
        <f>R76*10^-4</f>
        <v>4.1640879513949262E-6</v>
      </c>
      <c r="AN6" s="1">
        <f>R86*10^-4</f>
        <v>1.7483093533739674E-6</v>
      </c>
    </row>
    <row r="7" spans="2:41" ht="17.25">
      <c r="B7" s="52">
        <v>3</v>
      </c>
      <c r="C7" s="2">
        <f>'1ª Parte (v)'!T43</f>
        <v>2996</v>
      </c>
      <c r="F7" s="2">
        <v>6</v>
      </c>
      <c r="G7" s="2">
        <f>'1ª Parte (v)'!E8</f>
        <v>1.7000000000000001E-2</v>
      </c>
      <c r="H7" s="2">
        <f>G7*10^2</f>
        <v>1.7000000000000002</v>
      </c>
      <c r="I7" s="2">
        <f>Tubos!J9*10^-1</f>
        <v>7.071067811865576E-4</v>
      </c>
      <c r="J7" s="2">
        <f>1/C39</f>
        <v>2.008032128514056E-3</v>
      </c>
      <c r="K7" s="2">
        <f>J7*10^4</f>
        <v>20.08032128514056</v>
      </c>
      <c r="L7" s="58">
        <f>ABS(((J7^2))*(1/J7)/(2*1024))</f>
        <v>9.8048443775100393E-7</v>
      </c>
      <c r="M7" s="9">
        <f>$Q$5*K7+$R$5</f>
        <v>1.5804055522265275</v>
      </c>
      <c r="N7" s="9">
        <f>M7-H7</f>
        <v>-0.11959444777347272</v>
      </c>
      <c r="P7" s="51" t="s">
        <v>86</v>
      </c>
      <c r="Q7" s="14">
        <v>0.94188610282426033</v>
      </c>
      <c r="R7" s="14">
        <v>8.6536809498064748E-2</v>
      </c>
      <c r="S7" s="57" t="s">
        <v>30</v>
      </c>
      <c r="AE7" s="1" t="s">
        <v>58</v>
      </c>
      <c r="AF7" s="1">
        <f>AF6/AF5*100</f>
        <v>-14.509843440758296</v>
      </c>
      <c r="AG7" s="1">
        <f t="shared" ref="AG7:AM7" si="4">AG6/AG5*100</f>
        <v>97.995164136914823</v>
      </c>
      <c r="AH7" s="1">
        <f t="shared" si="4"/>
        <v>82.137009446562246</v>
      </c>
      <c r="AI7" s="1">
        <f t="shared" si="4"/>
        <v>24.671273899056914</v>
      </c>
      <c r="AJ7" s="1">
        <f t="shared" si="4"/>
        <v>25.445629085247823</v>
      </c>
      <c r="AK7" s="1">
        <f>AK6/AK5*100</f>
        <v>72.536597311023769</v>
      </c>
      <c r="AL7" s="1">
        <f t="shared" si="4"/>
        <v>56.162025784262084</v>
      </c>
      <c r="AM7" s="1">
        <f t="shared" si="4"/>
        <v>121.87613670740424</v>
      </c>
      <c r="AN7" s="1">
        <f>AN6/AN5*100</f>
        <v>44.233886624579043</v>
      </c>
    </row>
    <row r="8" spans="2:41">
      <c r="B8" s="52">
        <v>4</v>
      </c>
      <c r="C8" s="2">
        <f>'1ª Parte (v)'!T44</f>
        <v>4175</v>
      </c>
      <c r="F8" s="2">
        <v>7</v>
      </c>
      <c r="G8" s="2">
        <f>'1ª Parte (v)'!E9</f>
        <v>1.8004000000000003E-2</v>
      </c>
      <c r="H8" s="2">
        <f>G8*10^2</f>
        <v>1.8004000000000002</v>
      </c>
      <c r="I8" s="2">
        <f>Tubos!J10*10^-1</f>
        <v>8.1240384046361381E-4</v>
      </c>
      <c r="J8" s="2">
        <f>1/C58</f>
        <v>2.8169014084507044E-3</v>
      </c>
      <c r="K8" s="2">
        <f>J8*10^4</f>
        <v>28.169014084507044</v>
      </c>
      <c r="L8" s="58">
        <f t="shared" si="3"/>
        <v>1.3754401408450705E-6</v>
      </c>
      <c r="M8" s="9">
        <f>$Q$5*K8+$R$5</f>
        <v>1.8639705003053049</v>
      </c>
      <c r="N8" s="9">
        <f>M8-H8</f>
        <v>6.3570500305304645E-2</v>
      </c>
      <c r="Q8" s="3">
        <v>48.622764016803721</v>
      </c>
      <c r="R8" s="3">
        <v>3</v>
      </c>
      <c r="AE8" s="1" t="s">
        <v>39</v>
      </c>
      <c r="AF8" s="24">
        <f t="shared" ref="AF8:AK8" si="5">ABS(-$AB$3+AF5)/$AB$3*100</f>
        <v>127.86214305889847</v>
      </c>
      <c r="AG8" s="24">
        <f t="shared" si="5"/>
        <v>98.670401324148358</v>
      </c>
      <c r="AH8" s="24">
        <f t="shared" si="5"/>
        <v>99.056367839868471</v>
      </c>
      <c r="AI8" s="24">
        <f t="shared" si="5"/>
        <v>98.827472611584867</v>
      </c>
      <c r="AJ8" s="24">
        <f t="shared" si="5"/>
        <v>98.227059042394799</v>
      </c>
      <c r="AK8" s="24">
        <f t="shared" si="5"/>
        <v>99.330566674982592</v>
      </c>
      <c r="AL8" s="24">
        <f>ABS($AB$3-AL5)/$AB$3*100</f>
        <v>99.137831492014044</v>
      </c>
      <c r="AM8" s="24">
        <f>ABS(-$AB$3+AM5)/$AB$3*100</f>
        <v>98.913853807443417</v>
      </c>
      <c r="AN8" s="24">
        <f>ABS(-$AB$3+AN5)/$AB$3*100</f>
        <v>98.743535420341829</v>
      </c>
    </row>
    <row r="9" spans="2:41">
      <c r="B9" s="52">
        <v>5</v>
      </c>
      <c r="C9" s="2">
        <f>'1ª Parte (v)'!T45</f>
        <v>5365</v>
      </c>
      <c r="F9" s="2">
        <v>8</v>
      </c>
      <c r="G9" s="2">
        <f>'1ª Parte (v)'!E10</f>
        <v>2.2015999999999997E-2</v>
      </c>
      <c r="H9" s="2">
        <f>G9*10^2</f>
        <v>2.2015999999999996</v>
      </c>
      <c r="I9" s="2">
        <f>Tubos!J11*10^-1</f>
        <v>3.6687872655688709E-3</v>
      </c>
      <c r="J9" s="2">
        <f>1/C76</f>
        <v>3.7313432835820895E-3</v>
      </c>
      <c r="K9" s="2">
        <f>J9*10^4</f>
        <v>37.313432835820898</v>
      </c>
      <c r="L9" s="58">
        <f>ABS(((J9^2))*(1/J9)/(2*1024))</f>
        <v>1.8219449626865671E-6</v>
      </c>
      <c r="M9" s="9">
        <f>$Q$5*K9+$R$5</f>
        <v>2.1845459866966292</v>
      </c>
      <c r="N9" s="9">
        <f>M9-H9</f>
        <v>-1.7054013303370308E-2</v>
      </c>
      <c r="Q9" s="3">
        <v>0.36411737380568648</v>
      </c>
      <c r="R9" s="3">
        <v>2.2465858194313047E-2</v>
      </c>
    </row>
    <row r="10" spans="2:41">
      <c r="B10" s="52">
        <v>6</v>
      </c>
      <c r="C10" s="66">
        <f>'1ª Parte (v)'!T46</f>
        <v>6579</v>
      </c>
      <c r="Q10" s="3"/>
      <c r="R10" s="1">
        <f>2*R7</f>
        <v>0.1730736189961295</v>
      </c>
    </row>
    <row r="11" spans="2:41">
      <c r="B11" s="52">
        <v>7</v>
      </c>
      <c r="C11" s="2">
        <f>'1ª Parte (v)'!T47</f>
        <v>7809</v>
      </c>
      <c r="AG11" s="20"/>
    </row>
    <row r="12" spans="2:41">
      <c r="B12" s="52">
        <v>8</v>
      </c>
      <c r="C12" s="2">
        <f>'1ª Parte (v)'!T48</f>
        <v>8996</v>
      </c>
      <c r="AG12" s="20"/>
    </row>
    <row r="13" spans="2:41">
      <c r="B13" s="52">
        <v>9</v>
      </c>
      <c r="C13" s="2">
        <f>'1ª Parte (v)'!T49</f>
        <v>10229</v>
      </c>
      <c r="F13" s="78" t="s">
        <v>59</v>
      </c>
      <c r="G13" s="79"/>
      <c r="H13" s="79"/>
      <c r="I13" s="79"/>
      <c r="J13" s="79"/>
      <c r="K13" s="79"/>
      <c r="L13" s="79"/>
      <c r="M13" s="79"/>
      <c r="N13" s="80"/>
      <c r="AG13" s="64"/>
    </row>
    <row r="14" spans="2:41" ht="17.25">
      <c r="F14" s="45" t="s">
        <v>0</v>
      </c>
      <c r="G14" s="45" t="s">
        <v>17</v>
      </c>
      <c r="H14" s="45" t="s">
        <v>50</v>
      </c>
      <c r="I14" s="45" t="s">
        <v>18</v>
      </c>
      <c r="J14" s="45" t="s">
        <v>51</v>
      </c>
      <c r="K14" s="45" t="s">
        <v>52</v>
      </c>
      <c r="L14" s="45" t="s">
        <v>53</v>
      </c>
      <c r="M14" s="45" t="s">
        <v>60</v>
      </c>
      <c r="N14" s="45" t="s">
        <v>61</v>
      </c>
    </row>
    <row r="15" spans="2:41">
      <c r="F15" s="2">
        <v>4</v>
      </c>
      <c r="G15" s="2">
        <f>G5</f>
        <v>1.4069999999999999E-2</v>
      </c>
      <c r="H15" s="2">
        <f>G15*10^2</f>
        <v>1.407</v>
      </c>
      <c r="I15" s="2">
        <f>Tubos!J7*10^-1</f>
        <v>1.6733200530681472E-3</v>
      </c>
      <c r="J15" s="2">
        <f>1/C6</f>
        <v>5.5959709009513155E-4</v>
      </c>
      <c r="K15" s="2">
        <f>J15*10^4</f>
        <v>5.5959709009513157</v>
      </c>
      <c r="L15" s="2">
        <f>ABS(((J15^2))*(1/J15)/(2*1024))</f>
        <v>2.7324076664801345E-7</v>
      </c>
      <c r="M15" s="9">
        <f>$Q$15*K15+$R$15</f>
        <v>1.3882137826325924</v>
      </c>
      <c r="N15" s="9">
        <f>M15-H15</f>
        <v>-1.8786217367407598E-2</v>
      </c>
      <c r="P15" s="53" t="s">
        <v>25</v>
      </c>
      <c r="Q15" s="9" cm="1">
        <f t="array" ref="Q15:R19">LINEST(H15:H20,K15:K20,1,1)</f>
        <v>0.25554788837378872</v>
      </c>
      <c r="R15" s="2">
        <v>-4.1824764506684264E-2</v>
      </c>
      <c r="S15" s="57" t="s">
        <v>26</v>
      </c>
      <c r="AG15" s="64"/>
    </row>
    <row r="16" spans="2:41">
      <c r="F16" s="2">
        <v>5</v>
      </c>
      <c r="G16" s="2">
        <f>G6</f>
        <v>1.4968E-2</v>
      </c>
      <c r="H16" s="2">
        <f t="shared" ref="H16:H20" si="6">G16*10^2</f>
        <v>1.4968000000000001</v>
      </c>
      <c r="I16" s="2">
        <f>Tubos!J8*10^-1</f>
        <v>1.9849433241279171E-3</v>
      </c>
      <c r="J16" s="2">
        <f>1/C22</f>
        <v>5.9988002399520091E-4</v>
      </c>
      <c r="K16" s="2">
        <f t="shared" ref="K16:K20" si="7">J16*10^4</f>
        <v>5.9988002399520095</v>
      </c>
      <c r="L16" s="2">
        <f t="shared" ref="L16:L20" si="8">ABS(((J16^2))*(1/J16)/(2*1024))</f>
        <v>2.9291016796640669E-7</v>
      </c>
      <c r="M16" s="9">
        <f t="shared" ref="M16:M20" si="9">$Q$15*K16+$R$15</f>
        <v>1.4911559695892289</v>
      </c>
      <c r="N16" s="9">
        <f t="shared" ref="N16:N20" si="10">M16-H16</f>
        <v>-5.6440304107712169E-3</v>
      </c>
      <c r="P16" s="53" t="s">
        <v>84</v>
      </c>
      <c r="Q16" s="10">
        <v>5.3549304903530229E-3</v>
      </c>
      <c r="R16" s="2">
        <v>4.0986246628203341E-2</v>
      </c>
      <c r="S16" s="57" t="s">
        <v>28</v>
      </c>
    </row>
    <row r="17" spans="2:40" ht="17.25">
      <c r="F17" s="2">
        <v>6</v>
      </c>
      <c r="G17" s="2">
        <f>G7</f>
        <v>1.7000000000000001E-2</v>
      </c>
      <c r="H17" s="2">
        <f t="shared" si="6"/>
        <v>1.7000000000000002</v>
      </c>
      <c r="I17" s="2">
        <f>Tubos!J9*10^-1</f>
        <v>7.071067811865576E-4</v>
      </c>
      <c r="J17" s="2">
        <f>1/C40</f>
        <v>6.93000693000693E-4</v>
      </c>
      <c r="K17" s="2">
        <f t="shared" si="7"/>
        <v>6.9300069300069298</v>
      </c>
      <c r="L17" s="2">
        <f t="shared" si="8"/>
        <v>3.3837924462924463E-7</v>
      </c>
      <c r="M17" s="9">
        <f t="shared" si="9"/>
        <v>1.7291238728723088</v>
      </c>
      <c r="N17" s="9">
        <f t="shared" si="10"/>
        <v>2.9123872872308665E-2</v>
      </c>
      <c r="P17" s="53" t="s">
        <v>86</v>
      </c>
      <c r="Q17" s="2">
        <v>0.99824668096176794</v>
      </c>
      <c r="R17" s="2">
        <v>2.1392566524448008E-2</v>
      </c>
      <c r="S17" s="57" t="s">
        <v>30</v>
      </c>
      <c r="AG17" s="64"/>
    </row>
    <row r="18" spans="2:40">
      <c r="F18" s="2">
        <v>7</v>
      </c>
      <c r="G18" s="2">
        <f>G8</f>
        <v>1.8004000000000003E-2</v>
      </c>
      <c r="H18" s="2">
        <f t="shared" si="6"/>
        <v>1.8004000000000002</v>
      </c>
      <c r="I18" s="2">
        <f>Tubos!J10*10^-1</f>
        <v>8.1240384046361381E-4</v>
      </c>
      <c r="J18" s="2">
        <f>1/C59</f>
        <v>7.2674418604651162E-4</v>
      </c>
      <c r="K18" s="2">
        <f t="shared" si="7"/>
        <v>7.2674418604651159</v>
      </c>
      <c r="L18" s="2">
        <f t="shared" si="8"/>
        <v>3.548555595930232E-7</v>
      </c>
      <c r="M18" s="9">
        <f t="shared" si="9"/>
        <v>1.8153546568144545</v>
      </c>
      <c r="N18" s="9">
        <f t="shared" si="10"/>
        <v>1.4954656814454292E-2</v>
      </c>
      <c r="Q18" s="3">
        <v>2277.3874216714839</v>
      </c>
      <c r="R18" s="3">
        <v>4</v>
      </c>
    </row>
    <row r="19" spans="2:40">
      <c r="C19" s="49">
        <v>5</v>
      </c>
      <c r="F19" s="2">
        <v>8</v>
      </c>
      <c r="G19" s="2">
        <f>G9</f>
        <v>2.2015999999999997E-2</v>
      </c>
      <c r="H19" s="2">
        <f t="shared" si="6"/>
        <v>2.2015999999999996</v>
      </c>
      <c r="I19" s="2">
        <f>Tubos!J11*10^-1</f>
        <v>3.6687872655688709E-3</v>
      </c>
      <c r="J19" s="2">
        <f>1/C77</f>
        <v>8.703220191470844E-4</v>
      </c>
      <c r="K19" s="2">
        <f t="shared" si="7"/>
        <v>8.7032201914708445</v>
      </c>
      <c r="L19" s="2">
        <f t="shared" si="8"/>
        <v>4.249619234116623E-7</v>
      </c>
      <c r="M19" s="9">
        <f t="shared" si="9"/>
        <v>2.1822647774758113</v>
      </c>
      <c r="N19" s="9">
        <f t="shared" si="10"/>
        <v>-1.9335222524188289E-2</v>
      </c>
      <c r="Q19" s="3">
        <v>1.0422279123899882</v>
      </c>
      <c r="R19" s="3">
        <v>1.8305676100117338E-3</v>
      </c>
    </row>
    <row r="20" spans="2:40">
      <c r="B20" s="51" t="s">
        <v>21</v>
      </c>
      <c r="C20" s="51" t="s">
        <v>22</v>
      </c>
      <c r="F20" s="2">
        <v>9</v>
      </c>
      <c r="G20" s="14">
        <f>'1ª Parte (v)'!E11</f>
        <v>2.6094000000000003E-2</v>
      </c>
      <c r="H20" s="2">
        <f t="shared" si="6"/>
        <v>2.6094000000000004</v>
      </c>
      <c r="I20" s="2">
        <f>Tubos!J12*10^-1</f>
        <v>3.668787265568864E-3</v>
      </c>
      <c r="J20" s="2">
        <f>1/C94</f>
        <v>1.037344398340249E-3</v>
      </c>
      <c r="K20" s="2">
        <f t="shared" si="7"/>
        <v>10.37344398340249</v>
      </c>
      <c r="L20" s="2">
        <f t="shared" si="8"/>
        <v>5.0651581950207469E-7</v>
      </c>
      <c r="M20" s="9">
        <f t="shared" si="9"/>
        <v>2.6090869406156054</v>
      </c>
      <c r="N20" s="9">
        <f t="shared" si="10"/>
        <v>-3.1305938439496472E-4</v>
      </c>
      <c r="R20" s="1">
        <f>2*R17</f>
        <v>4.2785133048896015E-2</v>
      </c>
      <c r="AG20" s="64"/>
    </row>
    <row r="21" spans="2:40">
      <c r="B21" s="52">
        <v>1</v>
      </c>
      <c r="C21" s="2">
        <f>'1ª Parte (v)'!T55</f>
        <v>554</v>
      </c>
    </row>
    <row r="22" spans="2:40">
      <c r="B22" s="52">
        <v>2</v>
      </c>
      <c r="C22" s="2">
        <f>'1ª Parte (v)'!T56</f>
        <v>1667</v>
      </c>
    </row>
    <row r="23" spans="2:40">
      <c r="B23" s="52">
        <v>3</v>
      </c>
      <c r="C23" s="2">
        <f>'1ª Parte (v)'!T57</f>
        <v>2778</v>
      </c>
      <c r="F23" s="78" t="s">
        <v>62</v>
      </c>
      <c r="G23" s="79"/>
      <c r="H23" s="79"/>
      <c r="I23" s="79"/>
      <c r="J23" s="79"/>
      <c r="K23" s="79"/>
      <c r="L23" s="79"/>
      <c r="M23" s="79"/>
      <c r="N23" s="80"/>
    </row>
    <row r="24" spans="2:40" ht="17.25">
      <c r="B24" s="52">
        <v>4</v>
      </c>
      <c r="C24" s="2">
        <f>'1ª Parte (v)'!T58</f>
        <v>3916</v>
      </c>
      <c r="F24" s="45" t="s">
        <v>0</v>
      </c>
      <c r="G24" s="45" t="s">
        <v>17</v>
      </c>
      <c r="H24" s="45" t="s">
        <v>50</v>
      </c>
      <c r="I24" s="45" t="s">
        <v>18</v>
      </c>
      <c r="J24" s="45" t="s">
        <v>51</v>
      </c>
      <c r="K24" s="45" t="s">
        <v>52</v>
      </c>
      <c r="L24" s="45" t="s">
        <v>53</v>
      </c>
      <c r="M24" s="45" t="s">
        <v>60</v>
      </c>
      <c r="N24" s="45" t="s">
        <v>61</v>
      </c>
    </row>
    <row r="25" spans="2:40">
      <c r="B25" s="52">
        <v>5</v>
      </c>
      <c r="C25" s="2">
        <f>'1ª Parte (v)'!T59</f>
        <v>5017</v>
      </c>
      <c r="F25" s="2">
        <v>4</v>
      </c>
      <c r="G25" s="2">
        <f t="shared" ref="G25:G30" si="11">G15</f>
        <v>1.4069999999999999E-2</v>
      </c>
      <c r="H25" s="2">
        <f>G25*10^2</f>
        <v>1.407</v>
      </c>
      <c r="I25" s="2">
        <f>Tubos!J7*10^-1</f>
        <v>1.6733200530681472E-3</v>
      </c>
      <c r="J25" s="2">
        <f>1/C7</f>
        <v>3.3377837116154872E-4</v>
      </c>
      <c r="K25" s="2">
        <f>J25*10^4</f>
        <v>3.3377837116154874</v>
      </c>
      <c r="L25" s="2">
        <f>ABS(((J25^2))*(1/J25)/(2*1024))</f>
        <v>1.6297772029372496E-7</v>
      </c>
      <c r="M25" s="2">
        <f>$Q$25*K25+$R$25</f>
        <v>1.3974314586954113</v>
      </c>
      <c r="N25" s="2">
        <f>M25-H25</f>
        <v>-9.5685413045887291E-3</v>
      </c>
      <c r="P25" s="53" t="s">
        <v>25</v>
      </c>
      <c r="Q25" s="2" cm="1">
        <f t="array" ref="Q25:R29">LINEST(H25:H30,K25:K30,1,1)</f>
        <v>0.42756365302324961</v>
      </c>
      <c r="R25" s="2">
        <v>-2.9683538044407154E-2</v>
      </c>
      <c r="S25" s="57" t="s">
        <v>26</v>
      </c>
    </row>
    <row r="26" spans="2:40" ht="19.5">
      <c r="B26" s="52">
        <v>6</v>
      </c>
      <c r="C26" s="2">
        <f>'1ª Parte (v)'!T60</f>
        <v>6225</v>
      </c>
      <c r="F26" s="2">
        <v>5</v>
      </c>
      <c r="G26" s="2">
        <f t="shared" si="11"/>
        <v>1.4968E-2</v>
      </c>
      <c r="H26" s="2">
        <f t="shared" ref="H26:H30" si="12">G26*10^2</f>
        <v>1.4968000000000001</v>
      </c>
      <c r="I26" s="2">
        <f>Tubos!J8*10^-1</f>
        <v>1.9849433241279171E-3</v>
      </c>
      <c r="J26" s="2">
        <f>1/C23</f>
        <v>3.5997120230381568E-4</v>
      </c>
      <c r="K26" s="2">
        <f t="shared" ref="K26:K30" si="13">J26*10^4</f>
        <v>3.599712023038157</v>
      </c>
      <c r="L26" s="2">
        <f t="shared" ref="L26:L30" si="14">ABS(((J26^2))*(1/J26)/(2*1024))</f>
        <v>1.7576718862491E-7</v>
      </c>
      <c r="M26" s="2">
        <f t="shared" ref="M26:M30" si="15">$Q$25*K26+$R$25</f>
        <v>1.5094224843574993</v>
      </c>
      <c r="N26" s="2">
        <f t="shared" ref="N26:N30" si="16">M26-H26</f>
        <v>1.2622484357499131E-2</v>
      </c>
      <c r="P26" s="53" t="s">
        <v>84</v>
      </c>
      <c r="Q26" s="2">
        <v>5.3620272599914191E-3</v>
      </c>
      <c r="R26" s="2">
        <v>2.4381170447608604E-2</v>
      </c>
      <c r="S26" s="57" t="s">
        <v>28</v>
      </c>
      <c r="AC26" s="35" t="s">
        <v>63</v>
      </c>
      <c r="AD26" s="40">
        <f>AB3</f>
        <v>3.1456683333333339E-4</v>
      </c>
    </row>
    <row r="27" spans="2:40" ht="19.5">
      <c r="B27" s="52">
        <v>7</v>
      </c>
      <c r="C27" s="2">
        <f>'1ª Parte (v)'!T61</f>
        <v>7349</v>
      </c>
      <c r="F27" s="2">
        <v>6</v>
      </c>
      <c r="G27" s="2">
        <f t="shared" si="11"/>
        <v>1.7000000000000001E-2</v>
      </c>
      <c r="H27" s="2">
        <f t="shared" si="12"/>
        <v>1.7000000000000002</v>
      </c>
      <c r="I27" s="2">
        <f>Tubos!J9*10^-1</f>
        <v>7.071067811865576E-4</v>
      </c>
      <c r="J27" s="2">
        <f>1/C41</f>
        <v>4.0371417036737988E-4</v>
      </c>
      <c r="K27" s="2">
        <f t="shared" si="13"/>
        <v>4.0371417036737984</v>
      </c>
      <c r="L27" s="2">
        <f t="shared" si="14"/>
        <v>1.9712605974969721E-7</v>
      </c>
      <c r="M27" s="2">
        <f t="shared" si="15"/>
        <v>1.6964515165508676</v>
      </c>
      <c r="N27" s="2">
        <f t="shared" si="16"/>
        <v>-3.5484834491326112E-3</v>
      </c>
      <c r="P27" s="53" t="s">
        <v>86</v>
      </c>
      <c r="Q27" s="2">
        <v>0.99937130017157794</v>
      </c>
      <c r="R27" s="2">
        <v>1.2810146244663371E-2</v>
      </c>
      <c r="S27" s="57" t="s">
        <v>30</v>
      </c>
      <c r="AC27" s="35" t="s">
        <v>64</v>
      </c>
      <c r="AD27" s="34">
        <f>AC3</f>
        <v>2.2614963320775019E-6</v>
      </c>
    </row>
    <row r="28" spans="2:40" ht="19.5">
      <c r="B28" s="52">
        <v>8</v>
      </c>
      <c r="C28" s="2">
        <f>'1ª Parte (v)'!T62</f>
        <v>8521</v>
      </c>
      <c r="F28" s="2">
        <v>7</v>
      </c>
      <c r="G28" s="2">
        <f t="shared" si="11"/>
        <v>1.8004000000000003E-2</v>
      </c>
      <c r="H28" s="2">
        <f t="shared" si="12"/>
        <v>1.8004000000000002</v>
      </c>
      <c r="I28" s="2">
        <f>Tubos!J10*10^-1</f>
        <v>8.1240384046361381E-4</v>
      </c>
      <c r="J28" s="2">
        <f>1/C60</f>
        <v>4.3029259896729778E-4</v>
      </c>
      <c r="K28" s="2">
        <f t="shared" si="13"/>
        <v>4.3029259896729775</v>
      </c>
      <c r="L28" s="2">
        <f t="shared" si="14"/>
        <v>2.1010380808950087E-7</v>
      </c>
      <c r="M28" s="2">
        <f t="shared" si="15"/>
        <v>1.8100912167888528</v>
      </c>
      <c r="N28" s="2">
        <f t="shared" si="16"/>
        <v>9.6912167888525413E-3</v>
      </c>
      <c r="Q28" s="3">
        <v>6358.3367132754702</v>
      </c>
      <c r="R28" s="3">
        <v>4</v>
      </c>
      <c r="AC28" s="35" t="s">
        <v>65</v>
      </c>
      <c r="AD28" s="34">
        <f>AD3</f>
        <v>0.71892395905613105</v>
      </c>
      <c r="AG28" s="1" t="s">
        <v>56</v>
      </c>
      <c r="AH28" s="64">
        <f>AVERAGE(AF5:AN5)</f>
        <v>-6.5601973835915033E-6</v>
      </c>
    </row>
    <row r="29" spans="2:40">
      <c r="B29" s="52">
        <v>9</v>
      </c>
      <c r="C29" s="2">
        <f>'1ª Parte (v)'!T63</f>
        <v>9680</v>
      </c>
      <c r="F29" s="2">
        <v>8</v>
      </c>
      <c r="G29" s="2">
        <f t="shared" si="11"/>
        <v>2.2015999999999997E-2</v>
      </c>
      <c r="H29" s="2">
        <f t="shared" si="12"/>
        <v>2.2015999999999996</v>
      </c>
      <c r="I29" s="2">
        <f>Tubos!J11*10^-1</f>
        <v>3.6687872655688709E-3</v>
      </c>
      <c r="J29" s="2">
        <f>1/C78</f>
        <v>5.1813471502590671E-4</v>
      </c>
      <c r="K29" s="2">
        <f t="shared" si="13"/>
        <v>5.1813471502590671</v>
      </c>
      <c r="L29" s="2">
        <f t="shared" si="14"/>
        <v>2.5299546632124351E-7</v>
      </c>
      <c r="M29" s="2">
        <f t="shared" si="15"/>
        <v>2.1856721771019636</v>
      </c>
      <c r="N29" s="2">
        <f t="shared" si="16"/>
        <v>-1.5927822898035959E-2</v>
      </c>
      <c r="Q29" s="3">
        <v>1.0434020806127613</v>
      </c>
      <c r="R29" s="3">
        <v>6.5639938723865228E-4</v>
      </c>
      <c r="AC29" s="39"/>
      <c r="AD29" s="39"/>
      <c r="AG29" s="1" t="s">
        <v>57</v>
      </c>
      <c r="AH29" s="64">
        <f>_xlfn.STDEV.S(AH5,AJ5,AL5:AN5)/SQRT(5)</f>
        <v>5.0869929962763203E-7</v>
      </c>
    </row>
    <row r="30" spans="2:40" ht="19.5">
      <c r="B30" s="52">
        <v>19</v>
      </c>
      <c r="C30" s="2">
        <f>'1ª Parte (v)'!T64</f>
        <v>10787</v>
      </c>
      <c r="F30" s="2">
        <v>9</v>
      </c>
      <c r="G30" s="14">
        <f t="shared" si="11"/>
        <v>2.6094000000000003E-2</v>
      </c>
      <c r="H30" s="2">
        <f t="shared" si="12"/>
        <v>2.6094000000000004</v>
      </c>
      <c r="I30" s="2">
        <f>Tubos!J12*10^-1</f>
        <v>3.668787265568864E-3</v>
      </c>
      <c r="J30" s="2">
        <f>1/C95</f>
        <v>6.1881188118811882E-4</v>
      </c>
      <c r="K30" s="2">
        <f t="shared" si="13"/>
        <v>6.1881188118811883</v>
      </c>
      <c r="L30" s="2">
        <f t="shared" si="14"/>
        <v>3.0215423886138614E-7</v>
      </c>
      <c r="M30" s="2">
        <f t="shared" si="15"/>
        <v>2.6161311465054049</v>
      </c>
      <c r="N30" s="2">
        <f t="shared" si="16"/>
        <v>6.7311465054045172E-3</v>
      </c>
      <c r="Q30" s="3"/>
      <c r="R30" s="1">
        <f>2*R27</f>
        <v>2.5620292489326742E-2</v>
      </c>
      <c r="AC30" s="35" t="s">
        <v>66</v>
      </c>
      <c r="AD30" s="41">
        <f>AH28</f>
        <v>-6.5601973835915033E-6</v>
      </c>
      <c r="AG30" s="1" t="s">
        <v>58</v>
      </c>
      <c r="AH30" s="1">
        <f>AH29/AH28*100</f>
        <v>-7.7543291746068626</v>
      </c>
    </row>
    <row r="31" spans="2:40" ht="19.5">
      <c r="B31" s="23"/>
      <c r="AC31" s="35" t="s">
        <v>67</v>
      </c>
      <c r="AD31" s="41">
        <f>AH29</f>
        <v>5.0869929962763203E-7</v>
      </c>
      <c r="AG31" s="1" t="s">
        <v>39</v>
      </c>
      <c r="AH31" s="30">
        <f>(AH28-AB3)/AB3*100</f>
        <v>-102.08547014129741</v>
      </c>
      <c r="AJ31" s="77" t="s">
        <v>89</v>
      </c>
      <c r="AK31" s="77"/>
      <c r="AL31" s="77"/>
      <c r="AM31" s="77"/>
      <c r="AN31" s="77"/>
    </row>
    <row r="32" spans="2:40" ht="19.5">
      <c r="AC32" s="35" t="s">
        <v>68</v>
      </c>
      <c r="AD32" s="36">
        <f>AH30</f>
        <v>-7.7543291746068626</v>
      </c>
    </row>
    <row r="33" spans="2:30">
      <c r="F33" s="78" t="s">
        <v>69</v>
      </c>
      <c r="G33" s="79"/>
      <c r="H33" s="79"/>
      <c r="I33" s="79"/>
      <c r="J33" s="79"/>
      <c r="K33" s="79"/>
      <c r="L33" s="79"/>
      <c r="M33" s="79"/>
      <c r="N33" s="80"/>
      <c r="AC33" s="35" t="s">
        <v>39</v>
      </c>
      <c r="AD33" s="36">
        <f>AH31</f>
        <v>-102.08547014129741</v>
      </c>
    </row>
    <row r="34" spans="2:30" ht="17.25">
      <c r="F34" s="45" t="s">
        <v>0</v>
      </c>
      <c r="G34" s="45" t="s">
        <v>17</v>
      </c>
      <c r="H34" s="45" t="s">
        <v>50</v>
      </c>
      <c r="I34" s="45" t="s">
        <v>18</v>
      </c>
      <c r="J34" s="45" t="s">
        <v>51</v>
      </c>
      <c r="K34" s="45" t="s">
        <v>52</v>
      </c>
      <c r="L34" s="45" t="s">
        <v>53</v>
      </c>
      <c r="M34" s="45" t="s">
        <v>60</v>
      </c>
      <c r="N34" s="45" t="s">
        <v>61</v>
      </c>
    </row>
    <row r="35" spans="2:30">
      <c r="F35" s="2">
        <v>4</v>
      </c>
      <c r="G35" s="2">
        <f t="shared" ref="G35:G40" si="17">G25</f>
        <v>1.4069999999999999E-2</v>
      </c>
      <c r="H35" s="2">
        <f>G35*10^2</f>
        <v>1.407</v>
      </c>
      <c r="I35" s="2">
        <f>Tubos!J7*10^-1</f>
        <v>1.6733200530681472E-3</v>
      </c>
      <c r="J35" s="2">
        <f>1/C8</f>
        <v>2.3952095808383233E-4</v>
      </c>
      <c r="K35" s="2">
        <f>J35*10^4</f>
        <v>2.3952095808383231</v>
      </c>
      <c r="L35" s="2">
        <f>ABS(((J35^2))*(1/J35)/(2*1024))</f>
        <v>1.1695359281437126E-7</v>
      </c>
      <c r="M35" s="2">
        <f>$Q$35*K35+$R$35</f>
        <v>1.4049231822885992</v>
      </c>
      <c r="N35" s="2">
        <f>M35-H35</f>
        <v>-2.0768177114007802E-3</v>
      </c>
      <c r="P35" s="53" t="s">
        <v>25</v>
      </c>
      <c r="Q35" s="2" cm="1">
        <f t="array" ref="Q35:R39">LINEST(H35:H40,K35:K40,1,1)</f>
        <v>0.60195442460655246</v>
      </c>
      <c r="R35" s="2">
        <v>-3.6883822757035167E-2</v>
      </c>
      <c r="S35" s="57" t="s">
        <v>26</v>
      </c>
    </row>
    <row r="36" spans="2:30">
      <c r="F36" s="2">
        <v>5</v>
      </c>
      <c r="G36" s="2">
        <f t="shared" si="17"/>
        <v>1.4968E-2</v>
      </c>
      <c r="H36" s="2">
        <f t="shared" ref="H36:H40" si="18">G36*10^2</f>
        <v>1.4968000000000001</v>
      </c>
      <c r="I36" s="2">
        <f>Tubos!J8*10^-1</f>
        <v>1.9849433241279171E-3</v>
      </c>
      <c r="J36" s="2">
        <f>1/C24</f>
        <v>2.5536261491317672E-4</v>
      </c>
      <c r="K36" s="2">
        <f t="shared" ref="K36:K40" si="19">J36*10^4</f>
        <v>2.5536261491317673</v>
      </c>
      <c r="L36" s="2">
        <f t="shared" ref="L36:L39" si="20">ABS(((J36^2))*(1/J36)/(2*1024))</f>
        <v>1.2468877681307457E-7</v>
      </c>
      <c r="M36" s="2">
        <f t="shared" ref="M36:M40" si="21">$Q$35*K36+$R$35</f>
        <v>1.5002827365038243</v>
      </c>
      <c r="N36" s="2">
        <f t="shared" ref="N36:N40" si="22">M36-H36</f>
        <v>3.4827365038241354E-3</v>
      </c>
      <c r="P36" s="53" t="s">
        <v>84</v>
      </c>
      <c r="Q36" s="2">
        <v>2.8073147640515607E-3</v>
      </c>
      <c r="R36" s="2">
        <v>9.0997089368308314E-3</v>
      </c>
      <c r="S36" s="57" t="s">
        <v>28</v>
      </c>
    </row>
    <row r="37" spans="2:30" ht="17.25">
      <c r="C37" s="49">
        <v>6</v>
      </c>
      <c r="F37" s="2">
        <v>6</v>
      </c>
      <c r="G37" s="2">
        <f t="shared" si="17"/>
        <v>1.7000000000000001E-2</v>
      </c>
      <c r="H37" s="2">
        <f t="shared" si="18"/>
        <v>1.7000000000000002</v>
      </c>
      <c r="I37" s="2">
        <f>Tubos!J9*10^-1</f>
        <v>7.071067811865576E-4</v>
      </c>
      <c r="J37" s="2">
        <f>1/C42</f>
        <v>2.8818443804034583E-4</v>
      </c>
      <c r="K37" s="2">
        <f t="shared" si="19"/>
        <v>2.8818443804034581</v>
      </c>
      <c r="L37" s="2">
        <f t="shared" si="20"/>
        <v>1.4071505763688761E-7</v>
      </c>
      <c r="M37" s="2">
        <f t="shared" si="21"/>
        <v>1.6978551530543551</v>
      </c>
      <c r="N37" s="2">
        <f t="shared" si="22"/>
        <v>-2.1448469456450958E-3</v>
      </c>
      <c r="P37" s="53" t="s">
        <v>86</v>
      </c>
      <c r="Q37" s="2">
        <v>0.99991300842237341</v>
      </c>
      <c r="R37" s="2">
        <v>4.765089041917644E-3</v>
      </c>
      <c r="S37" s="57" t="s">
        <v>30</v>
      </c>
    </row>
    <row r="38" spans="2:30">
      <c r="B38" s="51" t="s">
        <v>21</v>
      </c>
      <c r="C38" s="51" t="s">
        <v>22</v>
      </c>
      <c r="F38" s="2">
        <v>7</v>
      </c>
      <c r="G38" s="2">
        <f t="shared" si="17"/>
        <v>1.8004000000000003E-2</v>
      </c>
      <c r="H38" s="2">
        <f t="shared" si="18"/>
        <v>1.8004000000000002</v>
      </c>
      <c r="I38" s="2">
        <f>Tubos!J10*10^-1</f>
        <v>8.1240384046361381E-4</v>
      </c>
      <c r="J38" s="2">
        <f>1/C61</f>
        <v>3.0590394616090549E-4</v>
      </c>
      <c r="K38" s="2">
        <f t="shared" si="19"/>
        <v>3.0590394616090548</v>
      </c>
      <c r="L38" s="2">
        <f t="shared" si="20"/>
        <v>1.4936716121137963E-7</v>
      </c>
      <c r="M38" s="2">
        <f t="shared" si="21"/>
        <v>1.8045185162045814</v>
      </c>
      <c r="N38" s="2">
        <f t="shared" si="22"/>
        <v>4.1185162045811463E-3</v>
      </c>
      <c r="Q38" s="3">
        <v>45977.462908629648</v>
      </c>
      <c r="R38" s="3">
        <v>4</v>
      </c>
    </row>
    <row r="39" spans="2:30">
      <c r="B39" s="52">
        <v>1</v>
      </c>
      <c r="C39" s="1">
        <v>498</v>
      </c>
      <c r="F39" s="2">
        <v>8</v>
      </c>
      <c r="G39" s="2">
        <f t="shared" si="17"/>
        <v>2.2015999999999997E-2</v>
      </c>
      <c r="H39" s="2">
        <f t="shared" si="18"/>
        <v>2.2015999999999996</v>
      </c>
      <c r="I39" s="2">
        <f>Tubos!J11*10^-1</f>
        <v>3.6687872655688709E-3</v>
      </c>
      <c r="J39" s="2">
        <f>1/C79</f>
        <v>3.707823507601038E-4</v>
      </c>
      <c r="K39" s="2">
        <f t="shared" si="19"/>
        <v>3.707823507601038</v>
      </c>
      <c r="L39" s="2">
        <f t="shared" si="20"/>
        <v>1.8104606970708193E-7</v>
      </c>
      <c r="M39" s="2">
        <f t="shared" si="21"/>
        <v>2.1950569433035971</v>
      </c>
      <c r="N39" s="2">
        <f t="shared" si="22"/>
        <v>-6.5430566964024273E-3</v>
      </c>
      <c r="Q39" s="3">
        <v>1.0439676557056903</v>
      </c>
      <c r="R39" s="3">
        <v>9.082429430961445E-5</v>
      </c>
    </row>
    <row r="40" spans="2:30">
      <c r="B40" s="52">
        <v>2</v>
      </c>
      <c r="C40" s="2">
        <f>'1ª Parte (v)'!T71</f>
        <v>1443</v>
      </c>
      <c r="F40" s="2">
        <v>9</v>
      </c>
      <c r="G40" s="14">
        <f t="shared" si="17"/>
        <v>2.6094000000000003E-2</v>
      </c>
      <c r="H40" s="2">
        <f t="shared" si="18"/>
        <v>2.6094000000000004</v>
      </c>
      <c r="I40" s="2">
        <f>Tubos!J12*10^-1</f>
        <v>3.668787265568864E-3</v>
      </c>
      <c r="J40" s="2">
        <f>1/C96</f>
        <v>4.4014084507042255E-4</v>
      </c>
      <c r="K40" s="2">
        <f t="shared" si="19"/>
        <v>4.401408450704225</v>
      </c>
      <c r="L40" s="2">
        <f>ABS(((J40^2))*(1/J40)/(2*1024))</f>
        <v>2.1491252200704226E-7</v>
      </c>
      <c r="M40" s="2">
        <f t="shared" si="21"/>
        <v>2.6125634686450443</v>
      </c>
      <c r="N40" s="2">
        <f t="shared" si="22"/>
        <v>3.1634686450439098E-3</v>
      </c>
      <c r="R40" s="1">
        <f>2*R37</f>
        <v>9.5301780838352879E-3</v>
      </c>
    </row>
    <row r="41" spans="2:30">
      <c r="B41" s="52">
        <v>3</v>
      </c>
      <c r="C41" s="2">
        <f>'1ª Parte (v)'!T72</f>
        <v>2477</v>
      </c>
    </row>
    <row r="42" spans="2:30">
      <c r="B42" s="52">
        <v>4</v>
      </c>
      <c r="C42" s="2">
        <f>'1ª Parte (v)'!T73</f>
        <v>3470</v>
      </c>
    </row>
    <row r="43" spans="2:30">
      <c r="B43" s="52">
        <v>5</v>
      </c>
      <c r="C43" s="2">
        <f>'1ª Parte (v)'!T74</f>
        <v>4438</v>
      </c>
      <c r="F43" s="78" t="s">
        <v>70</v>
      </c>
      <c r="G43" s="79"/>
      <c r="H43" s="79"/>
      <c r="I43" s="79"/>
      <c r="J43" s="79"/>
      <c r="K43" s="79"/>
      <c r="L43" s="79"/>
      <c r="M43" s="79"/>
      <c r="N43" s="80"/>
    </row>
    <row r="44" spans="2:30" ht="17.25">
      <c r="B44" s="52">
        <v>6</v>
      </c>
      <c r="C44" s="2">
        <f>'1ª Parte (v)'!T75</f>
        <v>5423</v>
      </c>
      <c r="F44" s="45" t="s">
        <v>0</v>
      </c>
      <c r="G44" s="45" t="s">
        <v>17</v>
      </c>
      <c r="H44" s="45" t="s">
        <v>50</v>
      </c>
      <c r="I44" s="45" t="s">
        <v>18</v>
      </c>
      <c r="J44" s="45" t="s">
        <v>51</v>
      </c>
      <c r="K44" s="45" t="s">
        <v>52</v>
      </c>
      <c r="L44" s="45" t="s">
        <v>53</v>
      </c>
      <c r="M44" s="45" t="s">
        <v>60</v>
      </c>
      <c r="N44" s="45" t="s">
        <v>61</v>
      </c>
    </row>
    <row r="45" spans="2:30">
      <c r="B45" s="52">
        <v>7</v>
      </c>
      <c r="C45" s="2">
        <f>'1ª Parte (v)'!T76</f>
        <v>6453</v>
      </c>
      <c r="F45" s="2">
        <v>4</v>
      </c>
      <c r="G45" s="2">
        <f t="shared" ref="G45:G50" si="23">G35</f>
        <v>1.4069999999999999E-2</v>
      </c>
      <c r="H45" s="2">
        <f t="shared" ref="H45:H50" si="24">G45*10^2</f>
        <v>1.407</v>
      </c>
      <c r="I45" s="10">
        <f>Tubos!J7*10^-1</f>
        <v>1.6733200530681472E-3</v>
      </c>
      <c r="J45" s="2">
        <f>1/C9</f>
        <v>1.8639328984156571E-4</v>
      </c>
      <c r="K45" s="2">
        <f t="shared" ref="K45:K50" si="25">J45*10^4</f>
        <v>1.8639328984156571</v>
      </c>
      <c r="L45" s="2">
        <f>ABS(((J45^2))*(1/J45)/(2*1024))</f>
        <v>9.1012348555452006E-8</v>
      </c>
      <c r="M45" s="2">
        <f t="shared" ref="M45:M50" si="26">$Q$45*K45+$R$45</f>
        <v>1.400278620259124</v>
      </c>
      <c r="N45" s="2">
        <f t="shared" ref="N45:N50" si="27">M45-H45</f>
        <v>-6.7213797408760545E-3</v>
      </c>
      <c r="P45" s="53" t="s">
        <v>25</v>
      </c>
      <c r="Q45" s="2" cm="1">
        <f t="array" ref="Q45:R49">LINEST(H45:H50,K45:K50,1,1)</f>
        <v>0.78117053664799296</v>
      </c>
      <c r="R45" s="2">
        <v>-5.5770842272083954E-2</v>
      </c>
      <c r="S45" s="57" t="s">
        <v>26</v>
      </c>
    </row>
    <row r="46" spans="2:30">
      <c r="B46" s="52">
        <v>8</v>
      </c>
      <c r="C46" s="2">
        <f>'1ª Parte (v)'!T77</f>
        <v>7292</v>
      </c>
      <c r="F46" s="2">
        <v>5</v>
      </c>
      <c r="G46" s="2">
        <f t="shared" si="23"/>
        <v>1.4968E-2</v>
      </c>
      <c r="H46" s="2">
        <f t="shared" si="24"/>
        <v>1.4968000000000001</v>
      </c>
      <c r="I46" s="10">
        <f>Tubos!J8*10^-1</f>
        <v>1.9849433241279171E-3</v>
      </c>
      <c r="J46" s="2">
        <f>1/C25</f>
        <v>1.9932230416583617E-4</v>
      </c>
      <c r="K46" s="2">
        <f t="shared" si="25"/>
        <v>1.9932230416583616</v>
      </c>
      <c r="L46" s="2">
        <f t="shared" ref="L46:L50" si="28">ABS(((J46^2))*(1/J46)/(2*1024))</f>
        <v>9.7325343830974691E-8</v>
      </c>
      <c r="M46" s="2">
        <f t="shared" si="26"/>
        <v>1.5012762708393232</v>
      </c>
      <c r="N46" s="2">
        <f t="shared" si="27"/>
        <v>4.4762708393231154E-3</v>
      </c>
      <c r="P46" s="53" t="s">
        <v>84</v>
      </c>
      <c r="Q46" s="2">
        <v>5.6283245882360854E-3</v>
      </c>
      <c r="R46" s="2">
        <v>1.4191241662273084E-2</v>
      </c>
      <c r="S46" s="57" t="s">
        <v>28</v>
      </c>
    </row>
    <row r="47" spans="2:30" ht="17.25">
      <c r="B47" s="52">
        <v>9</v>
      </c>
      <c r="C47" s="2">
        <f>'1ª Parte (v)'!T78</f>
        <v>8481</v>
      </c>
      <c r="F47" s="2">
        <v>6</v>
      </c>
      <c r="G47" s="2">
        <f t="shared" si="23"/>
        <v>1.7000000000000001E-2</v>
      </c>
      <c r="H47" s="2">
        <f t="shared" si="24"/>
        <v>1.7000000000000002</v>
      </c>
      <c r="I47" s="10">
        <f>Tubos!J9*10^-1</f>
        <v>7.071067811865576E-4</v>
      </c>
      <c r="J47" s="2">
        <f>1/C43</f>
        <v>2.2532672374943669E-4</v>
      </c>
      <c r="K47" s="2">
        <f t="shared" si="25"/>
        <v>2.253267237494367</v>
      </c>
      <c r="L47" s="2">
        <f t="shared" si="28"/>
        <v>1.1002281433077963E-7</v>
      </c>
      <c r="M47" s="2">
        <f t="shared" si="26"/>
        <v>1.7044151348527312</v>
      </c>
      <c r="N47" s="2">
        <f t="shared" si="27"/>
        <v>4.4151348527310397E-3</v>
      </c>
      <c r="P47" s="53" t="s">
        <v>86</v>
      </c>
      <c r="Q47" s="2">
        <v>0.99979239568204992</v>
      </c>
      <c r="R47" s="2">
        <v>7.3612337389938184E-3</v>
      </c>
      <c r="S47" s="57" t="s">
        <v>30</v>
      </c>
    </row>
    <row r="48" spans="2:30">
      <c r="B48" s="52">
        <v>10</v>
      </c>
      <c r="C48" s="2">
        <f>'1ª Parte (v)'!T79</f>
        <v>9509</v>
      </c>
      <c r="F48" s="2">
        <v>7</v>
      </c>
      <c r="G48" s="2">
        <f t="shared" si="23"/>
        <v>1.8004000000000003E-2</v>
      </c>
      <c r="H48" s="2">
        <f t="shared" si="24"/>
        <v>1.8004000000000002</v>
      </c>
      <c r="I48" s="10">
        <f>Tubos!J10*10^-1</f>
        <v>8.1240384046361381E-4</v>
      </c>
      <c r="J48" s="2">
        <f>1/C62</f>
        <v>2.3815194093831864E-4</v>
      </c>
      <c r="K48" s="2">
        <f t="shared" si="25"/>
        <v>2.3815194093831864</v>
      </c>
      <c r="L48" s="2">
        <f t="shared" si="28"/>
        <v>1.1628512741128838E-7</v>
      </c>
      <c r="M48" s="2">
        <f t="shared" si="26"/>
        <v>1.804601952793391</v>
      </c>
      <c r="N48" s="2">
        <f t="shared" si="27"/>
        <v>4.2019527933907508E-3</v>
      </c>
      <c r="Q48" s="3">
        <v>19263.421985710873</v>
      </c>
      <c r="R48" s="3">
        <v>4</v>
      </c>
    </row>
    <row r="49" spans="2:19">
      <c r="B49" s="52">
        <v>11</v>
      </c>
      <c r="C49" s="2">
        <f>'1ª Parte (v)'!T80</f>
        <v>10446</v>
      </c>
      <c r="F49" s="2">
        <v>8</v>
      </c>
      <c r="G49" s="2">
        <f t="shared" si="23"/>
        <v>2.2015999999999997E-2</v>
      </c>
      <c r="H49" s="2">
        <f t="shared" si="24"/>
        <v>2.2015999999999996</v>
      </c>
      <c r="I49" s="10">
        <f>Tubos!J11*10^-1</f>
        <v>3.6687872655688709E-3</v>
      </c>
      <c r="J49" s="2">
        <f>1/C80</f>
        <v>2.8768699654775604E-4</v>
      </c>
      <c r="K49" s="2">
        <f t="shared" si="25"/>
        <v>2.8768699654775602</v>
      </c>
      <c r="L49" s="2">
        <f t="shared" si="28"/>
        <v>1.40472166283084E-7</v>
      </c>
      <c r="M49" s="2">
        <f t="shared" si="26"/>
        <v>2.1915552125265148</v>
      </c>
      <c r="N49" s="2">
        <f t="shared" si="27"/>
        <v>-1.0044787473484806E-2</v>
      </c>
      <c r="Q49" s="3">
        <v>1.0438417289513595</v>
      </c>
      <c r="R49" s="3">
        <v>2.1675104864040363E-4</v>
      </c>
    </row>
    <row r="50" spans="2:19">
      <c r="C50" s="2">
        <f>'1ª Parte (v)'!T81</f>
        <v>11407</v>
      </c>
      <c r="F50" s="2">
        <v>9</v>
      </c>
      <c r="G50" s="14">
        <f t="shared" si="23"/>
        <v>2.6094000000000003E-2</v>
      </c>
      <c r="H50" s="2">
        <f t="shared" si="24"/>
        <v>2.6094000000000004</v>
      </c>
      <c r="I50" s="10">
        <f>Tubos!J12*10^-1</f>
        <v>3.668787265568864E-3</v>
      </c>
      <c r="J50" s="2">
        <f>1/C97</f>
        <v>3.4164673727365904E-4</v>
      </c>
      <c r="K50" s="2">
        <f t="shared" si="25"/>
        <v>3.4164673727365904</v>
      </c>
      <c r="L50" s="2">
        <f t="shared" si="28"/>
        <v>1.6681969593440383E-7</v>
      </c>
      <c r="M50" s="2">
        <f t="shared" si="26"/>
        <v>2.613072808728917</v>
      </c>
      <c r="N50" s="2">
        <f t="shared" si="27"/>
        <v>3.6728087289166211E-3</v>
      </c>
      <c r="Q50" s="3"/>
      <c r="R50" s="1">
        <f>2*R47</f>
        <v>1.4722467477987637E-2</v>
      </c>
    </row>
    <row r="51" spans="2:19">
      <c r="Q51" s="3"/>
      <c r="R51" s="3"/>
    </row>
    <row r="53" spans="2:19">
      <c r="F53" s="78" t="s">
        <v>71</v>
      </c>
      <c r="G53" s="79"/>
      <c r="H53" s="79"/>
      <c r="I53" s="79"/>
      <c r="J53" s="79"/>
      <c r="K53" s="79"/>
      <c r="L53" s="79"/>
      <c r="M53" s="79"/>
      <c r="N53" s="80"/>
    </row>
    <row r="54" spans="2:19" ht="17.25">
      <c r="F54" s="45" t="s">
        <v>0</v>
      </c>
      <c r="G54" s="45" t="s">
        <v>17</v>
      </c>
      <c r="H54" s="45" t="s">
        <v>50</v>
      </c>
      <c r="I54" s="45" t="s">
        <v>18</v>
      </c>
      <c r="J54" s="45" t="s">
        <v>51</v>
      </c>
      <c r="K54" s="45" t="s">
        <v>52</v>
      </c>
      <c r="L54" s="45" t="s">
        <v>53</v>
      </c>
      <c r="M54" s="45" t="s">
        <v>60</v>
      </c>
      <c r="N54" s="45" t="s">
        <v>61</v>
      </c>
    </row>
    <row r="55" spans="2:19">
      <c r="F55" s="2">
        <v>4</v>
      </c>
      <c r="G55" s="2">
        <f>G45</f>
        <v>1.4069999999999999E-2</v>
      </c>
      <c r="H55" s="2">
        <f>G55*10^2</f>
        <v>1.407</v>
      </c>
      <c r="I55" s="2">
        <f>Tubos!J7*10^-1</f>
        <v>1.6733200530681472E-3</v>
      </c>
      <c r="J55" s="2">
        <f>1/C10</f>
        <v>1.5199878400972791E-4</v>
      </c>
      <c r="K55" s="2">
        <f>J55*10^4</f>
        <v>1.5199878400972791</v>
      </c>
      <c r="L55" s="2">
        <f>ABS(((J55^2))*(1/J55)/(2*1024))</f>
        <v>7.4218156254749957E-8</v>
      </c>
      <c r="M55" s="2">
        <f>$Q$55*K55+$R$55</f>
        <v>1.4053710278577911</v>
      </c>
      <c r="N55" s="2">
        <f>M55-H55</f>
        <v>-1.6289721422089176E-3</v>
      </c>
      <c r="P55" s="53" t="s">
        <v>25</v>
      </c>
      <c r="Q55" s="2" cm="1">
        <f t="array" ref="Q55:R59">LINEST(H55:H60,K55:K60,1,1)</f>
        <v>0.93844775750597653</v>
      </c>
      <c r="R55" s="2">
        <v>-2.1058152117853224E-2</v>
      </c>
      <c r="S55" s="57" t="s">
        <v>26</v>
      </c>
    </row>
    <row r="56" spans="2:19">
      <c r="C56" s="50">
        <v>7</v>
      </c>
      <c r="F56" s="2">
        <v>5</v>
      </c>
      <c r="G56" s="2">
        <f>G46</f>
        <v>1.4968E-2</v>
      </c>
      <c r="H56" s="2">
        <f t="shared" ref="H56" si="29">G56*10^2</f>
        <v>1.4968000000000001</v>
      </c>
      <c r="I56" s="2">
        <f>Tubos!J8*10^-1</f>
        <v>1.9849433241279171E-3</v>
      </c>
      <c r="J56" s="2">
        <f>1/C26</f>
        <v>1.606425702811245E-4</v>
      </c>
      <c r="K56" s="2">
        <f t="shared" ref="K56" si="30">J56*10^4</f>
        <v>1.606425702811245</v>
      </c>
      <c r="L56" s="2">
        <f t="shared" ref="L56:L60" si="31">ABS(((J56^2))*(1/J56)/(2*1024))</f>
        <v>7.8438755020080322E-8</v>
      </c>
      <c r="M56" s="2">
        <f t="shared" ref="M56" si="32">$Q$55*K56+$R$55</f>
        <v>1.4864884462853218</v>
      </c>
      <c r="N56" s="2">
        <f t="shared" ref="N56" si="33">M56-H56</f>
        <v>-1.031155371467829E-2</v>
      </c>
      <c r="P56" s="53" t="s">
        <v>84</v>
      </c>
      <c r="Q56" s="2">
        <v>7.4053099492083626E-3</v>
      </c>
      <c r="R56" s="2">
        <v>1.5274867002870014E-2</v>
      </c>
      <c r="S56" s="57" t="s">
        <v>28</v>
      </c>
    </row>
    <row r="57" spans="2:19" ht="17.25">
      <c r="B57" s="51" t="s">
        <v>21</v>
      </c>
      <c r="C57" s="51" t="s">
        <v>22</v>
      </c>
      <c r="F57" s="2">
        <v>6</v>
      </c>
      <c r="G57" s="2">
        <f t="shared" ref="G57:G60" si="34">G47</f>
        <v>1.7000000000000001E-2</v>
      </c>
      <c r="H57" s="2">
        <f>G57*10^2</f>
        <v>1.7000000000000002</v>
      </c>
      <c r="I57" s="2">
        <f>Tubos!J9*10^-1</f>
        <v>7.071067811865576E-4</v>
      </c>
      <c r="J57" s="2">
        <f>1/C44</f>
        <v>1.8439977872026554E-4</v>
      </c>
      <c r="K57" s="2">
        <f>J57*10^4</f>
        <v>1.8439977872026554</v>
      </c>
      <c r="L57" s="2">
        <f t="shared" si="31"/>
        <v>9.0038954453254657E-8</v>
      </c>
      <c r="M57" s="2">
        <f>$Q$55*K57+$R$55</f>
        <v>1.7094374361284617</v>
      </c>
      <c r="N57" s="2">
        <f>M57-H57</f>
        <v>9.4374361284614849E-3</v>
      </c>
      <c r="P57" s="53" t="s">
        <v>86</v>
      </c>
      <c r="Q57" s="2">
        <v>0.99975098924023409</v>
      </c>
      <c r="R57" s="2">
        <v>8.0619754921613211E-3</v>
      </c>
      <c r="S57" s="57" t="s">
        <v>30</v>
      </c>
    </row>
    <row r="58" spans="2:19">
      <c r="B58" s="52">
        <v>1</v>
      </c>
      <c r="C58" s="1">
        <v>355</v>
      </c>
      <c r="F58" s="2">
        <v>7</v>
      </c>
      <c r="G58" s="2">
        <f>G48</f>
        <v>1.8004000000000003E-2</v>
      </c>
      <c r="H58" s="2">
        <f>G58*10^2</f>
        <v>1.8004000000000002</v>
      </c>
      <c r="I58" s="2">
        <f>Tubos!J10*10^-1</f>
        <v>8.1240384046361381E-4</v>
      </c>
      <c r="J58" s="2">
        <f>1/C63</f>
        <v>1.945903872348706E-4</v>
      </c>
      <c r="K58" s="2">
        <f>J58*10^4</f>
        <v>1.9459038723487061</v>
      </c>
      <c r="L58" s="2">
        <f t="shared" si="31"/>
        <v>9.501483751702666E-8</v>
      </c>
      <c r="M58" s="2">
        <f>$Q$55*K58+$R$55</f>
        <v>1.8050709732099861</v>
      </c>
      <c r="N58" s="2">
        <f>M58-H58</f>
        <v>4.6709732099858847E-3</v>
      </c>
      <c r="Q58" s="3">
        <v>16059.562890858013</v>
      </c>
      <c r="R58" s="3">
        <v>4</v>
      </c>
    </row>
    <row r="59" spans="2:19">
      <c r="B59" s="52">
        <v>2</v>
      </c>
      <c r="C59" s="2">
        <f>'1ª Parte (v)'!T87</f>
        <v>1376</v>
      </c>
      <c r="F59" s="2">
        <v>8</v>
      </c>
      <c r="G59" s="2">
        <f>G49</f>
        <v>2.2015999999999997E-2</v>
      </c>
      <c r="H59" s="2">
        <f>G59*10^2</f>
        <v>2.2015999999999996</v>
      </c>
      <c r="I59" s="2">
        <f>Tubos!J11*10^-1</f>
        <v>3.6687872655688709E-3</v>
      </c>
      <c r="J59" s="2">
        <f>1/C81</f>
        <v>2.3719165085388995E-4</v>
      </c>
      <c r="K59" s="2">
        <f>J59*10^4</f>
        <v>2.3719165085388996</v>
      </c>
      <c r="L59" s="2">
        <f t="shared" si="31"/>
        <v>1.1581623576850095E-7</v>
      </c>
      <c r="M59" s="2">
        <f>$Q$55*K59+$R$55</f>
        <v>2.2048615763118828</v>
      </c>
      <c r="N59" s="2">
        <f>M59-H59</f>
        <v>3.2615763118832852E-3</v>
      </c>
      <c r="Q59" s="3">
        <v>1.0437984982046551</v>
      </c>
      <c r="R59" s="3">
        <v>2.5998179534483909E-4</v>
      </c>
    </row>
    <row r="60" spans="2:19">
      <c r="B60" s="52">
        <v>3</v>
      </c>
      <c r="C60" s="2">
        <f>'1ª Parte (v)'!T88</f>
        <v>2324</v>
      </c>
      <c r="F60" s="2">
        <v>9</v>
      </c>
      <c r="G60" s="14">
        <f t="shared" si="34"/>
        <v>2.6094000000000003E-2</v>
      </c>
      <c r="H60" s="2">
        <f>G60*10^2</f>
        <v>2.6094000000000004</v>
      </c>
      <c r="I60" s="2">
        <f>Tubos!J12*10^-1</f>
        <v>3.668787265568864E-3</v>
      </c>
      <c r="J60" s="2">
        <f>1/C98</f>
        <v>2.7972027972027972E-4</v>
      </c>
      <c r="K60" s="2">
        <f>J60*10^4</f>
        <v>2.7972027972027971</v>
      </c>
      <c r="L60" s="2">
        <f t="shared" si="31"/>
        <v>1.3658216783216783E-7</v>
      </c>
      <c r="M60" s="2">
        <f>$Q$55*K60+$R$55</f>
        <v>2.6039705402065563</v>
      </c>
      <c r="N60" s="2">
        <f>M60-H60</f>
        <v>-5.4294597934441136E-3</v>
      </c>
      <c r="Q60" s="3"/>
      <c r="R60" s="1">
        <f>2*R57</f>
        <v>1.6123950984322642E-2</v>
      </c>
    </row>
    <row r="61" spans="2:19">
      <c r="B61" s="52">
        <v>4</v>
      </c>
      <c r="C61" s="2">
        <f>'1ª Parte (v)'!T89</f>
        <v>3269</v>
      </c>
    </row>
    <row r="62" spans="2:19">
      <c r="B62" s="52">
        <v>5</v>
      </c>
      <c r="C62" s="2">
        <f>'1ª Parte (v)'!T90</f>
        <v>4199</v>
      </c>
    </row>
    <row r="63" spans="2:19">
      <c r="B63" s="52">
        <v>6</v>
      </c>
      <c r="C63" s="2">
        <f>'1ª Parte (v)'!T91</f>
        <v>5139</v>
      </c>
      <c r="F63" s="78" t="s">
        <v>72</v>
      </c>
      <c r="G63" s="79"/>
      <c r="H63" s="79"/>
      <c r="I63" s="79"/>
      <c r="J63" s="79"/>
      <c r="K63" s="79"/>
      <c r="L63" s="79"/>
      <c r="M63" s="79"/>
      <c r="N63" s="80"/>
    </row>
    <row r="64" spans="2:19" ht="17.25">
      <c r="B64" s="52">
        <v>7</v>
      </c>
      <c r="C64" s="2">
        <f>'1ª Parte (v)'!T92</f>
        <v>6066</v>
      </c>
      <c r="F64" s="45" t="s">
        <v>0</v>
      </c>
      <c r="G64" s="45" t="s">
        <v>17</v>
      </c>
      <c r="H64" s="45" t="s">
        <v>50</v>
      </c>
      <c r="I64" s="45" t="s">
        <v>18</v>
      </c>
      <c r="J64" s="45" t="s">
        <v>51</v>
      </c>
      <c r="K64" s="45" t="s">
        <v>52</v>
      </c>
      <c r="L64" s="45" t="s">
        <v>53</v>
      </c>
      <c r="M64" s="45" t="s">
        <v>60</v>
      </c>
      <c r="N64" s="45" t="s">
        <v>61</v>
      </c>
    </row>
    <row r="65" spans="2:19">
      <c r="B65" s="52">
        <v>8</v>
      </c>
      <c r="C65" s="2">
        <f>'1ª Parte (v)'!T93</f>
        <v>7000</v>
      </c>
      <c r="F65" s="2">
        <v>4</v>
      </c>
      <c r="G65" s="2">
        <f>G55</f>
        <v>1.4069999999999999E-2</v>
      </c>
      <c r="H65" s="2">
        <f>G65*10^2</f>
        <v>1.407</v>
      </c>
      <c r="I65" s="2">
        <f>Tubos!J7*10^-1</f>
        <v>1.6733200530681472E-3</v>
      </c>
      <c r="J65" s="2">
        <f>1/C11</f>
        <v>1.2805736970162632E-4</v>
      </c>
      <c r="K65" s="2">
        <f>J65*10^4</f>
        <v>1.2805736970162633</v>
      </c>
      <c r="L65" s="2">
        <f>ABS(((J65^2))*(1/J65)/(2*1024))</f>
        <v>6.2528012549622229E-8</v>
      </c>
      <c r="M65" s="2">
        <f>$Q$65*K65+$R$65</f>
        <v>1.402589878101691</v>
      </c>
      <c r="N65" s="2">
        <f>M65-H65</f>
        <v>-4.4101218983090273E-3</v>
      </c>
      <c r="P65" s="53" t="s">
        <v>25</v>
      </c>
      <c r="Q65" s="2" cm="1">
        <f t="array" ref="Q65:R69">LINEST(H65:H70,K65:K70,1,1)</f>
        <v>1.116461194829008</v>
      </c>
      <c r="R65" s="2">
        <v>-2.7120961735686455E-2</v>
      </c>
      <c r="S65" s="57" t="s">
        <v>26</v>
      </c>
    </row>
    <row r="66" spans="2:19">
      <c r="B66" s="52">
        <v>9</v>
      </c>
      <c r="C66" s="2">
        <f>'1ª Parte (v)'!T94</f>
        <v>7969</v>
      </c>
      <c r="F66" s="2">
        <v>5</v>
      </c>
      <c r="G66" s="2">
        <f>G56</f>
        <v>1.4968E-2</v>
      </c>
      <c r="H66" s="2">
        <f t="shared" ref="H66:H70" si="35">G66*10^2</f>
        <v>1.4968000000000001</v>
      </c>
      <c r="I66" s="2">
        <f>Tubos!J8*10^-1</f>
        <v>1.9849433241279171E-3</v>
      </c>
      <c r="J66" s="2">
        <f>1/C27</f>
        <v>1.3607293509320997E-4</v>
      </c>
      <c r="K66" s="2">
        <f t="shared" ref="K66:K70" si="36">J66*10^4</f>
        <v>1.3607293509320997</v>
      </c>
      <c r="L66" s="2">
        <f t="shared" ref="L66:L70" si="37">ABS(((J66^2))*(1/J66)/(2*1024))</f>
        <v>6.6441862838481418E-8</v>
      </c>
      <c r="M66" s="2">
        <f t="shared" ref="M66:M70" si="38">$Q$65*K66+$R$65</f>
        <v>1.4920805552448659</v>
      </c>
      <c r="N66" s="2">
        <f t="shared" ref="N66:N70" si="39">M66-H66</f>
        <v>-4.7194447551341945E-3</v>
      </c>
      <c r="P66" s="53" t="s">
        <v>84</v>
      </c>
      <c r="Q66" s="2">
        <v>8.7583198558370805E-3</v>
      </c>
      <c r="R66" s="2">
        <v>1.523168152293608E-2</v>
      </c>
      <c r="S66" s="57" t="s">
        <v>28</v>
      </c>
    </row>
    <row r="67" spans="2:19" ht="17.25">
      <c r="B67" s="52">
        <v>10</v>
      </c>
      <c r="C67" s="2">
        <f>'1ª Parte (v)'!T95</f>
        <v>8866</v>
      </c>
      <c r="F67" s="2">
        <v>6</v>
      </c>
      <c r="G67" s="2">
        <f>G57</f>
        <v>1.7000000000000001E-2</v>
      </c>
      <c r="H67" s="2">
        <f t="shared" si="35"/>
        <v>1.7000000000000002</v>
      </c>
      <c r="I67" s="2">
        <f>Tubos!J9*10^-1</f>
        <v>7.071067811865576E-4</v>
      </c>
      <c r="J67" s="2">
        <f>1/C45</f>
        <v>1.5496668216333489E-4</v>
      </c>
      <c r="K67" s="2">
        <f t="shared" si="36"/>
        <v>1.5496668216333489</v>
      </c>
      <c r="L67" s="2">
        <f t="shared" si="37"/>
        <v>7.5667325275065863E-8</v>
      </c>
      <c r="M67" s="2">
        <f t="shared" si="38"/>
        <v>1.7030219095319534</v>
      </c>
      <c r="N67" s="2">
        <f t="shared" si="39"/>
        <v>3.0219095319532485E-3</v>
      </c>
      <c r="P67" s="53" t="s">
        <v>86</v>
      </c>
      <c r="Q67" s="2">
        <v>0.99975390236669881</v>
      </c>
      <c r="R67" s="2">
        <v>8.0146790477852881E-3</v>
      </c>
      <c r="S67" s="57" t="s">
        <v>30</v>
      </c>
    </row>
    <row r="68" spans="2:19">
      <c r="B68" s="52">
        <v>11</v>
      </c>
      <c r="C68" s="2">
        <f>'1ª Parte (v)'!T96</f>
        <v>9771</v>
      </c>
      <c r="F68" s="2">
        <v>7</v>
      </c>
      <c r="G68" s="2">
        <f t="shared" ref="G68:G70" si="40">G58</f>
        <v>1.8004000000000003E-2</v>
      </c>
      <c r="H68" s="2">
        <f t="shared" si="35"/>
        <v>1.8004000000000002</v>
      </c>
      <c r="I68" s="2">
        <f>Tubos!J10*10^-1</f>
        <v>8.1240384046361381E-4</v>
      </c>
      <c r="J68" s="2">
        <f>1/C64</f>
        <v>1.6485328058028355E-4</v>
      </c>
      <c r="K68" s="2">
        <f t="shared" si="36"/>
        <v>1.6485328058028355</v>
      </c>
      <c r="L68" s="2">
        <f t="shared" si="37"/>
        <v>8.0494765908341577E-8</v>
      </c>
      <c r="M68" s="2">
        <f t="shared" si="38"/>
        <v>1.8134019443457641</v>
      </c>
      <c r="N68" s="2">
        <f t="shared" si="39"/>
        <v>1.3001944345763849E-2</v>
      </c>
      <c r="Q68" s="3">
        <v>16249.711774239631</v>
      </c>
      <c r="R68" s="3">
        <v>4</v>
      </c>
    </row>
    <row r="69" spans="2:19">
      <c r="C69" s="2">
        <f>'1ª Parte (v)'!T97</f>
        <v>10749</v>
      </c>
      <c r="F69" s="2">
        <v>8</v>
      </c>
      <c r="G69" s="2">
        <f>G59</f>
        <v>2.2015999999999997E-2</v>
      </c>
      <c r="H69" s="2">
        <f t="shared" si="35"/>
        <v>2.2015999999999996</v>
      </c>
      <c r="I69" s="2">
        <f>Tubos!J11*10^-1</f>
        <v>3.6687872655688709E-3</v>
      </c>
      <c r="J69" s="2">
        <f>1/C82</f>
        <v>1.9908421262193908E-4</v>
      </c>
      <c r="K69" s="2">
        <f t="shared" si="36"/>
        <v>1.9908421262193907</v>
      </c>
      <c r="L69" s="2">
        <f t="shared" si="37"/>
        <v>9.720908819430619E-8</v>
      </c>
      <c r="M69" s="2">
        <f t="shared" si="38"/>
        <v>2.1955770172191373</v>
      </c>
      <c r="N69" s="2">
        <f t="shared" si="39"/>
        <v>-6.0229827808622183E-3</v>
      </c>
      <c r="Q69" s="3">
        <v>1.0438015396790439</v>
      </c>
      <c r="R69" s="3">
        <v>2.5694032095603398E-4</v>
      </c>
    </row>
    <row r="70" spans="2:19">
      <c r="F70" s="2">
        <v>9</v>
      </c>
      <c r="G70" s="14">
        <f t="shared" si="40"/>
        <v>2.6094000000000003E-2</v>
      </c>
      <c r="H70" s="2">
        <f t="shared" si="35"/>
        <v>2.6094000000000004</v>
      </c>
      <c r="I70" s="2">
        <f>Tubos!J12*10^-1</f>
        <v>3.668787265568864E-3</v>
      </c>
      <c r="J70" s="2">
        <f>1/C99</f>
        <v>2.3607176581680832E-4</v>
      </c>
      <c r="K70" s="2">
        <f t="shared" si="36"/>
        <v>2.3607176581680833</v>
      </c>
      <c r="L70" s="2">
        <f t="shared" si="37"/>
        <v>1.1526941690273844E-7</v>
      </c>
      <c r="M70" s="2">
        <f t="shared" si="38"/>
        <v>2.6085286955565898</v>
      </c>
      <c r="N70" s="2">
        <f t="shared" si="39"/>
        <v>-8.7130444341054769E-4</v>
      </c>
      <c r="Q70" s="3"/>
      <c r="R70" s="1">
        <f>2*R67</f>
        <v>1.6029358095570576E-2</v>
      </c>
    </row>
    <row r="73" spans="2:19">
      <c r="F73" s="78" t="s">
        <v>73</v>
      </c>
      <c r="G73" s="79"/>
      <c r="H73" s="79"/>
      <c r="I73" s="79"/>
      <c r="J73" s="79"/>
      <c r="K73" s="79"/>
      <c r="L73" s="79"/>
      <c r="M73" s="79"/>
      <c r="N73" s="80"/>
    </row>
    <row r="74" spans="2:19" ht="17.25">
      <c r="C74" s="50">
        <v>8</v>
      </c>
      <c r="F74" s="45" t="s">
        <v>0</v>
      </c>
      <c r="G74" s="45" t="s">
        <v>17</v>
      </c>
      <c r="H74" s="45" t="s">
        <v>50</v>
      </c>
      <c r="I74" s="45" t="s">
        <v>18</v>
      </c>
      <c r="J74" s="45" t="s">
        <v>51</v>
      </c>
      <c r="K74" s="45" t="s">
        <v>52</v>
      </c>
      <c r="L74" s="45" t="s">
        <v>53</v>
      </c>
      <c r="M74" s="45" t="s">
        <v>60</v>
      </c>
      <c r="N74" s="45" t="s">
        <v>61</v>
      </c>
    </row>
    <row r="75" spans="2:19">
      <c r="B75" s="51" t="s">
        <v>21</v>
      </c>
      <c r="C75" s="51" t="s">
        <v>22</v>
      </c>
      <c r="F75" s="2">
        <v>4</v>
      </c>
      <c r="G75" s="2">
        <f t="shared" ref="G75:G80" si="41">G65</f>
        <v>1.4069999999999999E-2</v>
      </c>
      <c r="H75" s="2">
        <f>G75*10^2</f>
        <v>1.407</v>
      </c>
      <c r="I75" s="2">
        <f>Tubos!J7*10^-1</f>
        <v>1.6733200530681472E-3</v>
      </c>
      <c r="J75" s="2">
        <f>1/C12</f>
        <v>1.1116051578479324E-4</v>
      </c>
      <c r="K75" s="2">
        <f>J75*10^4</f>
        <v>1.1116051578479325</v>
      </c>
      <c r="L75" s="2">
        <f>ABS(((J75^2))*(1/J75)/(2*1024))</f>
        <v>5.4277595598043567E-8</v>
      </c>
      <c r="M75" s="2">
        <f>$Q$75*K75+$R$75</f>
        <v>1.3993914040203683</v>
      </c>
      <c r="N75" s="2">
        <f>M75-H75</f>
        <v>-7.6085959796317049E-3</v>
      </c>
      <c r="P75" s="53" t="s">
        <v>25</v>
      </c>
      <c r="Q75" s="2" cm="1">
        <f t="array" ref="Q75:R79">LINEST(H75:H80,K75:K80,1,1)</f>
        <v>1.2896287415836527</v>
      </c>
      <c r="R75" s="2">
        <v>-3.4166556832958328E-2</v>
      </c>
      <c r="S75" s="57" t="s">
        <v>26</v>
      </c>
    </row>
    <row r="76" spans="2:19">
      <c r="B76" s="52">
        <v>1</v>
      </c>
      <c r="C76" s="1">
        <v>268</v>
      </c>
      <c r="F76" s="2">
        <v>5</v>
      </c>
      <c r="G76" s="2">
        <f t="shared" si="41"/>
        <v>1.4968E-2</v>
      </c>
      <c r="H76" s="2">
        <f t="shared" ref="H76:H78" si="42">G76*10^2</f>
        <v>1.4968000000000001</v>
      </c>
      <c r="I76" s="2">
        <f>Tubos!J8*10^-1</f>
        <v>1.9849433241279171E-3</v>
      </c>
      <c r="J76" s="2">
        <f>1/C28</f>
        <v>1.1735711770918906E-4</v>
      </c>
      <c r="K76" s="2">
        <f t="shared" ref="K76:K78" si="43">J76*10^4</f>
        <v>1.1735711770918906</v>
      </c>
      <c r="L76" s="2">
        <f t="shared" ref="L76:L80" si="44">ABS(((J76^2))*(1/J76)/(2*1024))</f>
        <v>5.7303280131439962E-8</v>
      </c>
      <c r="M76" s="2">
        <f t="shared" ref="M76:M78" si="45">$Q$75*K76+$R$75</f>
        <v>1.4793045634389026</v>
      </c>
      <c r="N76" s="2">
        <f t="shared" ref="N76:N78" si="46">M76-H76</f>
        <v>-1.7495436561097533E-2</v>
      </c>
      <c r="P76" s="53" t="s">
        <v>84</v>
      </c>
      <c r="Q76" s="2">
        <v>2.7560880332035451E-2</v>
      </c>
      <c r="R76" s="2">
        <v>4.1640879513949257E-2</v>
      </c>
      <c r="S76" s="57" t="s">
        <v>28</v>
      </c>
    </row>
    <row r="77" spans="2:19" ht="17.25">
      <c r="B77" s="52">
        <v>2</v>
      </c>
      <c r="C77" s="2">
        <f>'1ª Parte (v)'!T103</f>
        <v>1149</v>
      </c>
      <c r="F77" s="2">
        <v>6</v>
      </c>
      <c r="G77" s="2">
        <f t="shared" si="41"/>
        <v>1.7000000000000001E-2</v>
      </c>
      <c r="H77" s="2">
        <f t="shared" si="42"/>
        <v>1.7000000000000002</v>
      </c>
      <c r="I77" s="2">
        <f>Tubos!J9*10^-1</f>
        <v>7.071067811865576E-4</v>
      </c>
      <c r="J77" s="2">
        <f>1/C46</f>
        <v>1.3713658804168953E-4</v>
      </c>
      <c r="K77" s="2">
        <f t="shared" si="43"/>
        <v>1.3713658804168953</v>
      </c>
      <c r="L77" s="2">
        <f t="shared" si="44"/>
        <v>6.6961224629731216E-8</v>
      </c>
      <c r="M77" s="2">
        <f t="shared" si="45"/>
        <v>1.7343862977798403</v>
      </c>
      <c r="N77" s="2">
        <f>M77-H77</f>
        <v>3.4386297779840147E-2</v>
      </c>
      <c r="P77" s="53" t="s">
        <v>86</v>
      </c>
      <c r="Q77" s="2">
        <v>0.99817642318182842</v>
      </c>
      <c r="R77" s="2">
        <v>2.1816970693381506E-2</v>
      </c>
      <c r="S77" s="57" t="s">
        <v>30</v>
      </c>
    </row>
    <row r="78" spans="2:19">
      <c r="B78" s="52">
        <v>3</v>
      </c>
      <c r="C78" s="2">
        <f>'1ª Parte (v)'!T104</f>
        <v>1930</v>
      </c>
      <c r="F78" s="2">
        <v>7</v>
      </c>
      <c r="G78" s="2">
        <f t="shared" si="41"/>
        <v>1.8004000000000003E-2</v>
      </c>
      <c r="H78" s="2">
        <f t="shared" si="42"/>
        <v>1.8004000000000002</v>
      </c>
      <c r="I78" s="2">
        <f>Tubos!J10*10^-1</f>
        <v>8.1240384046361381E-4</v>
      </c>
      <c r="J78" s="2">
        <f>1/C65</f>
        <v>1.4285714285714287E-4</v>
      </c>
      <c r="K78" s="2">
        <f t="shared" si="43"/>
        <v>1.4285714285714286</v>
      </c>
      <c r="L78" s="2">
        <f t="shared" si="44"/>
        <v>6.9754464285714291E-8</v>
      </c>
      <c r="M78" s="2">
        <f t="shared" si="45"/>
        <v>1.8081602168579742</v>
      </c>
      <c r="N78" s="2">
        <f t="shared" si="46"/>
        <v>7.7602168579740116E-3</v>
      </c>
      <c r="Q78" s="3">
        <v>2189.4913627661672</v>
      </c>
      <c r="R78" s="3">
        <v>4</v>
      </c>
    </row>
    <row r="79" spans="2:19">
      <c r="B79" s="52">
        <v>4</v>
      </c>
      <c r="C79" s="2">
        <f>'1ª Parte (v)'!T105</f>
        <v>2697</v>
      </c>
      <c r="F79" s="2">
        <v>8</v>
      </c>
      <c r="G79" s="14">
        <f t="shared" si="41"/>
        <v>2.2015999999999997E-2</v>
      </c>
      <c r="H79" s="2">
        <f>G79*10^2</f>
        <v>2.2015999999999996</v>
      </c>
      <c r="I79" s="2">
        <f>Tubos!J12*10^-1</f>
        <v>3.668787265568864E-3</v>
      </c>
      <c r="J79" s="2">
        <f>1/C83</f>
        <v>1.720282126268708E-4</v>
      </c>
      <c r="K79" s="2">
        <f>J79*10^4</f>
        <v>1.720282126268708</v>
      </c>
      <c r="L79" s="2">
        <f t="shared" si="44"/>
        <v>8.3998150696714256E-8</v>
      </c>
      <c r="M79" s="2">
        <f>$Q$75*K79+$R$75</f>
        <v>2.1843587168358058</v>
      </c>
      <c r="N79" s="2">
        <f>M79-H79</f>
        <v>-1.724128316419371E-2</v>
      </c>
      <c r="Q79" s="3">
        <v>1.0421545591590564</v>
      </c>
      <c r="R79" s="3">
        <v>1.9039208409434704E-3</v>
      </c>
    </row>
    <row r="80" spans="2:19">
      <c r="B80" s="52">
        <v>5</v>
      </c>
      <c r="C80" s="2">
        <f>'1ª Parte (v)'!T106</f>
        <v>3476</v>
      </c>
      <c r="F80" s="2">
        <v>9</v>
      </c>
      <c r="G80" s="14">
        <f t="shared" si="41"/>
        <v>2.6094000000000003E-2</v>
      </c>
      <c r="H80" s="2">
        <f>G80*10^2</f>
        <v>2.6094000000000004</v>
      </c>
      <c r="I80" s="2">
        <f>Tubos!J11*10^-1</f>
        <v>3.6687872655688709E-3</v>
      </c>
      <c r="J80" s="2">
        <f>1/C100</f>
        <v>2.0500205002050019E-4</v>
      </c>
      <c r="K80" s="2">
        <f>J80*10^4</f>
        <v>2.0500205002050018</v>
      </c>
      <c r="L80" s="2">
        <f t="shared" si="44"/>
        <v>1.0009865723657235E-7</v>
      </c>
      <c r="M80" s="2">
        <f>$Q$75*K80+$R$75</f>
        <v>2.6095988010671083</v>
      </c>
      <c r="N80" s="2">
        <f>M80-H80</f>
        <v>1.9880106710790102E-4</v>
      </c>
      <c r="R80" s="1">
        <f>2*R77</f>
        <v>4.3633941386763013E-2</v>
      </c>
    </row>
    <row r="81" spans="2:19">
      <c r="B81" s="52">
        <v>6</v>
      </c>
      <c r="C81" s="2">
        <f>'1ª Parte (v)'!T107</f>
        <v>4216</v>
      </c>
    </row>
    <row r="82" spans="2:19">
      <c r="B82" s="52">
        <v>7</v>
      </c>
      <c r="C82" s="2">
        <f>'1ª Parte (v)'!T108</f>
        <v>5023</v>
      </c>
    </row>
    <row r="83" spans="2:19">
      <c r="B83" s="52">
        <v>8</v>
      </c>
      <c r="C83" s="2">
        <f>'1ª Parte (v)'!T109</f>
        <v>5813</v>
      </c>
      <c r="F83" s="78" t="s">
        <v>74</v>
      </c>
      <c r="G83" s="79"/>
      <c r="H83" s="79"/>
      <c r="I83" s="79"/>
      <c r="J83" s="79"/>
      <c r="K83" s="79"/>
      <c r="L83" s="79"/>
      <c r="M83" s="79"/>
      <c r="N83" s="80"/>
    </row>
    <row r="84" spans="2:19" ht="17.25">
      <c r="B84" s="52">
        <v>9</v>
      </c>
      <c r="C84" s="2">
        <f>'1ª Parte (v)'!T110</f>
        <v>6593</v>
      </c>
      <c r="F84" s="45" t="s">
        <v>0</v>
      </c>
      <c r="G84" s="45" t="s">
        <v>17</v>
      </c>
      <c r="H84" s="45" t="s">
        <v>50</v>
      </c>
      <c r="I84" s="45" t="s">
        <v>18</v>
      </c>
      <c r="J84" s="45" t="s">
        <v>51</v>
      </c>
      <c r="K84" s="45" t="s">
        <v>52</v>
      </c>
      <c r="L84" s="45" t="s">
        <v>53</v>
      </c>
      <c r="M84" s="45" t="s">
        <v>60</v>
      </c>
      <c r="N84" s="45" t="s">
        <v>61</v>
      </c>
    </row>
    <row r="85" spans="2:19">
      <c r="B85" s="52">
        <v>10</v>
      </c>
      <c r="C85" s="2">
        <f>'1ª Parte (v)'!T111</f>
        <v>7267</v>
      </c>
      <c r="F85" s="2">
        <v>4</v>
      </c>
      <c r="G85" s="2">
        <f t="shared" ref="G85:G90" si="47">G75</f>
        <v>1.4069999999999999E-2</v>
      </c>
      <c r="H85" s="2">
        <f>G85*10^2</f>
        <v>1.407</v>
      </c>
      <c r="I85" s="2">
        <f>Tubos!J7*10^-1</f>
        <v>1.6733200530681472E-3</v>
      </c>
      <c r="J85" s="2">
        <f>1/C13</f>
        <v>9.776126698602014E-5</v>
      </c>
      <c r="K85" s="2">
        <f>J85*10^4</f>
        <v>0.97761266986020134</v>
      </c>
      <c r="L85" s="2">
        <f>ABS(((J85^2))*(1/J85)/(2*1024))</f>
        <v>4.7734993645517646E-8</v>
      </c>
      <c r="M85" s="2">
        <f>$Q$85*K85+$R$85</f>
        <v>1.4049387103846189</v>
      </c>
      <c r="N85" s="2">
        <f>M85-H85</f>
        <v>-2.0612896153811011E-3</v>
      </c>
      <c r="P85" s="53" t="s">
        <v>25</v>
      </c>
      <c r="Q85" s="2" cm="1">
        <f t="array" ref="Q85:R89">LINEST(H85:H90,K85:K90,1,1)</f>
        <v>1.4775411196266861</v>
      </c>
      <c r="R85" s="2">
        <v>-3.9524208401856775E-2</v>
      </c>
      <c r="S85" s="57" t="s">
        <v>26</v>
      </c>
    </row>
    <row r="86" spans="2:19">
      <c r="B86" s="52">
        <v>11</v>
      </c>
      <c r="C86" s="2">
        <f>'1ª Parte (v)'!T112</f>
        <v>8081</v>
      </c>
      <c r="F86" s="2">
        <v>5</v>
      </c>
      <c r="G86" s="2">
        <f t="shared" si="47"/>
        <v>1.4968E-2</v>
      </c>
      <c r="H86" s="2">
        <f t="shared" ref="H86:H90" si="48">G86*10^2</f>
        <v>1.4968000000000001</v>
      </c>
      <c r="I86" s="2">
        <f>Tubos!J8*10^-1</f>
        <v>1.9849433241279171E-3</v>
      </c>
      <c r="J86" s="2">
        <f>1/C29</f>
        <v>1.0330578512396694E-4</v>
      </c>
      <c r="K86" s="2">
        <f t="shared" ref="K86:K90" si="49">J86*10^4</f>
        <v>1.0330578512396693</v>
      </c>
      <c r="L86" s="2">
        <f t="shared" ref="L86:L90" si="50">ABS(((J86^2))*(1/J86)/(2*1024))</f>
        <v>5.0442277892561982E-8</v>
      </c>
      <c r="M86" s="2">
        <f t="shared" ref="M86:M90" si="51">$Q$85*K86+$R$85</f>
        <v>1.4868612457579427</v>
      </c>
      <c r="N86" s="2">
        <f t="shared" ref="N86:N90" si="52">M86-H86</f>
        <v>-9.9387542420574793E-3</v>
      </c>
      <c r="P86" s="53" t="s">
        <v>84</v>
      </c>
      <c r="Q86" s="2">
        <v>1.3221673119611728E-2</v>
      </c>
      <c r="R86" s="2">
        <v>1.7483093533739672E-2</v>
      </c>
      <c r="S86" s="57" t="s">
        <v>28</v>
      </c>
    </row>
    <row r="87" spans="2:19" ht="17.25">
      <c r="B87" s="52">
        <v>12</v>
      </c>
      <c r="C87" s="2">
        <f>'1ª Parte (v)'!T113</f>
        <v>8755</v>
      </c>
      <c r="F87" s="2">
        <v>6</v>
      </c>
      <c r="G87" s="2">
        <f t="shared" si="47"/>
        <v>1.7000000000000001E-2</v>
      </c>
      <c r="H87" s="2">
        <f t="shared" si="48"/>
        <v>1.7000000000000002</v>
      </c>
      <c r="I87" s="2">
        <f>Tubos!J9*10^-1</f>
        <v>7.071067811865576E-4</v>
      </c>
      <c r="J87" s="2">
        <f>1/C47</f>
        <v>1.1791062374719962E-4</v>
      </c>
      <c r="K87" s="2">
        <f t="shared" si="49"/>
        <v>1.1791062374719961</v>
      </c>
      <c r="L87" s="2">
        <f t="shared" si="50"/>
        <v>5.7573546751562313E-8</v>
      </c>
      <c r="M87" s="2">
        <f t="shared" si="51"/>
        <v>1.7026537418713255</v>
      </c>
      <c r="N87" s="2">
        <f t="shared" si="52"/>
        <v>2.6537418713252769E-3</v>
      </c>
      <c r="P87" s="53" t="s">
        <v>86</v>
      </c>
      <c r="Q87" s="2">
        <v>0.99967980496766184</v>
      </c>
      <c r="R87" s="2">
        <v>9.1419683160486945E-3</v>
      </c>
      <c r="S87" s="57" t="s">
        <v>30</v>
      </c>
    </row>
    <row r="88" spans="2:19">
      <c r="B88" s="52">
        <v>13</v>
      </c>
      <c r="C88" s="2">
        <f>'1ª Parte (v)'!T114</f>
        <v>9645</v>
      </c>
      <c r="F88" s="2">
        <v>7</v>
      </c>
      <c r="G88" s="2">
        <f t="shared" si="47"/>
        <v>1.8004000000000003E-2</v>
      </c>
      <c r="H88" s="2">
        <f t="shared" si="48"/>
        <v>1.8004000000000002</v>
      </c>
      <c r="I88" s="2">
        <f>Tubos!J10*10^-1</f>
        <v>8.1240384046361381E-4</v>
      </c>
      <c r="J88" s="2">
        <f>1/C66</f>
        <v>1.2548625925461163E-4</v>
      </c>
      <c r="K88" s="2">
        <f t="shared" si="49"/>
        <v>1.2548625925461163</v>
      </c>
      <c r="L88" s="2">
        <f t="shared" si="50"/>
        <v>6.1272587526665836E-8</v>
      </c>
      <c r="M88" s="2">
        <f t="shared" si="51"/>
        <v>1.814586871566378</v>
      </c>
      <c r="N88" s="2">
        <f t="shared" si="52"/>
        <v>1.4186871566377768E-2</v>
      </c>
      <c r="Q88" s="3">
        <v>12488.386189724839</v>
      </c>
      <c r="R88" s="3">
        <v>4</v>
      </c>
    </row>
    <row r="89" spans="2:19">
      <c r="C89" s="2">
        <f>'1ª Parte (v)'!T115</f>
        <v>10414</v>
      </c>
      <c r="F89" s="2">
        <v>8</v>
      </c>
      <c r="G89" s="14">
        <f t="shared" si="47"/>
        <v>2.2015999999999997E-2</v>
      </c>
      <c r="H89" s="2">
        <f t="shared" si="48"/>
        <v>2.2015999999999996</v>
      </c>
      <c r="I89" s="2">
        <f>Tubos!J11*10^-1</f>
        <v>3.6687872655688709E-3</v>
      </c>
      <c r="J89" s="2">
        <f>1/C84</f>
        <v>1.5167602002123465E-4</v>
      </c>
      <c r="K89" s="2">
        <f t="shared" si="49"/>
        <v>1.5167602002123464</v>
      </c>
      <c r="L89" s="2">
        <f t="shared" si="50"/>
        <v>7.4060556650993493E-8</v>
      </c>
      <c r="M89" s="2">
        <f t="shared" si="51"/>
        <v>2.2015513560250901</v>
      </c>
      <c r="N89" s="2">
        <f t="shared" si="52"/>
        <v>-4.8643974909445831E-5</v>
      </c>
      <c r="Q89" s="3">
        <v>1.0437241776612334</v>
      </c>
      <c r="R89" s="3">
        <v>3.3430233876655287E-4</v>
      </c>
    </row>
    <row r="90" spans="2:19">
      <c r="F90" s="2">
        <v>9</v>
      </c>
      <c r="G90" s="14">
        <f t="shared" si="47"/>
        <v>2.6094000000000003E-2</v>
      </c>
      <c r="H90" s="2">
        <f t="shared" si="48"/>
        <v>2.6094000000000004</v>
      </c>
      <c r="I90" s="2">
        <f>Tubos!J12*10^-1</f>
        <v>3.668787265568864E-3</v>
      </c>
      <c r="J90" s="2">
        <f>1/C101</f>
        <v>1.7895490336435218E-4</v>
      </c>
      <c r="K90" s="2">
        <f t="shared" si="49"/>
        <v>1.7895490336435218</v>
      </c>
      <c r="L90" s="2">
        <f t="shared" si="50"/>
        <v>8.7380323908375086E-8</v>
      </c>
      <c r="M90" s="2">
        <f t="shared" si="51"/>
        <v>2.6046080743946467</v>
      </c>
      <c r="N90" s="2">
        <f t="shared" si="52"/>
        <v>-4.7919256053536863E-3</v>
      </c>
      <c r="P90" s="3"/>
      <c r="R90" s="1">
        <f>2*R87</f>
        <v>1.8283936632097389E-2</v>
      </c>
    </row>
    <row r="92" spans="2:19">
      <c r="C92" s="50">
        <v>9</v>
      </c>
    </row>
    <row r="93" spans="2:19">
      <c r="B93" s="51" t="s">
        <v>21</v>
      </c>
      <c r="C93" s="46" t="s">
        <v>22</v>
      </c>
    </row>
    <row r="94" spans="2:19">
      <c r="B94" s="52">
        <v>2</v>
      </c>
      <c r="C94" s="2">
        <f>'1ª Parte (v)'!T121</f>
        <v>964</v>
      </c>
    </row>
    <row r="95" spans="2:19">
      <c r="B95" s="52">
        <v>3</v>
      </c>
      <c r="C95" s="2">
        <f>'1ª Parte (v)'!T122</f>
        <v>1616</v>
      </c>
    </row>
    <row r="96" spans="2:19">
      <c r="B96" s="52">
        <v>4</v>
      </c>
      <c r="C96" s="2">
        <f>'1ª Parte (v)'!T123</f>
        <v>2272</v>
      </c>
    </row>
    <row r="97" spans="2:22">
      <c r="B97" s="52">
        <v>5</v>
      </c>
      <c r="C97" s="2">
        <f>'1ª Parte (v)'!T124</f>
        <v>2927</v>
      </c>
    </row>
    <row r="98" spans="2:22">
      <c r="B98" s="52">
        <v>6</v>
      </c>
      <c r="C98" s="2">
        <f>'1ª Parte (v)'!T125</f>
        <v>3575</v>
      </c>
    </row>
    <row r="99" spans="2:22">
      <c r="B99" s="52">
        <v>7</v>
      </c>
      <c r="C99" s="2">
        <f>'1ª Parte (v)'!T126</f>
        <v>4236</v>
      </c>
      <c r="V99" s="31"/>
    </row>
    <row r="100" spans="2:22">
      <c r="B100" s="52">
        <v>8</v>
      </c>
      <c r="C100" s="2">
        <f>'1ª Parte (v)'!T127</f>
        <v>4878</v>
      </c>
    </row>
    <row r="101" spans="2:22">
      <c r="B101" s="52">
        <v>9</v>
      </c>
      <c r="C101" s="2">
        <f>'1ª Parte (v)'!T128</f>
        <v>5588</v>
      </c>
    </row>
    <row r="102" spans="2:22">
      <c r="B102" s="52">
        <v>10</v>
      </c>
      <c r="C102" s="2">
        <f>'1ª Parte (v)'!T129</f>
        <v>6149</v>
      </c>
    </row>
    <row r="103" spans="2:22">
      <c r="B103" s="52">
        <v>11</v>
      </c>
      <c r="C103" s="2">
        <f>'1ª Parte (v)'!T130</f>
        <v>6866</v>
      </c>
    </row>
    <row r="104" spans="2:22">
      <c r="B104" s="52">
        <v>12</v>
      </c>
      <c r="C104" s="2">
        <f>'1ª Parte (v)'!T131</f>
        <v>7516</v>
      </c>
    </row>
  </sheetData>
  <mergeCells count="10">
    <mergeCell ref="AJ31:AN31"/>
    <mergeCell ref="F3:N3"/>
    <mergeCell ref="F13:N13"/>
    <mergeCell ref="F23:N23"/>
    <mergeCell ref="F83:N83"/>
    <mergeCell ref="F33:N33"/>
    <mergeCell ref="F43:N43"/>
    <mergeCell ref="F53:N53"/>
    <mergeCell ref="F63:N63"/>
    <mergeCell ref="F73:N7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73D1-7BCE-4848-9EB5-DA2BAAC563F9}">
  <dimension ref="B2:X49"/>
  <sheetViews>
    <sheetView topLeftCell="D11" zoomScale="115" zoomScaleNormal="115" workbookViewId="0">
      <selection activeCell="P8" sqref="P8"/>
    </sheetView>
  </sheetViews>
  <sheetFormatPr defaultColWidth="10.75" defaultRowHeight="15.75"/>
  <cols>
    <col min="1" max="1" width="5.5" style="1" customWidth="1"/>
    <col min="2" max="2" width="12.75" style="1" customWidth="1"/>
    <col min="3" max="3" width="17.625" style="1" bestFit="1" customWidth="1"/>
    <col min="4" max="4" width="12.625" style="1" customWidth="1"/>
    <col min="5" max="5" width="10.75" style="1"/>
    <col min="6" max="6" width="13.25" style="1" customWidth="1"/>
    <col min="7" max="11" width="10.75" style="1"/>
    <col min="12" max="12" width="16.75" style="1" customWidth="1"/>
    <col min="13" max="16384" width="10.75" style="1"/>
  </cols>
  <sheetData>
    <row r="2" spans="2:12" ht="18">
      <c r="I2" s="45" t="s">
        <v>75</v>
      </c>
      <c r="J2" s="45" t="s">
        <v>76</v>
      </c>
      <c r="K2" s="45" t="s">
        <v>77</v>
      </c>
      <c r="L2" s="45" t="s">
        <v>78</v>
      </c>
    </row>
    <row r="3" spans="2:12">
      <c r="I3" s="2">
        <f>0.305*H3</f>
        <v>0</v>
      </c>
      <c r="J3" s="2">
        <v>22.5</v>
      </c>
      <c r="K3" s="2">
        <v>0.1</v>
      </c>
      <c r="L3" s="13">
        <f>0.1*(4*4*10^-6*C15^3-3*0.0001*C15^2+2*0.0123*C15+0.3219)</f>
        <v>3.2190000000000003E-2</v>
      </c>
    </row>
    <row r="6" spans="2:12" ht="19.5">
      <c r="B6" s="35" t="s">
        <v>41</v>
      </c>
      <c r="C6" s="41">
        <f>331.4+0.607*$J$3+0.08*$K$3</f>
        <v>345.06549999999999</v>
      </c>
    </row>
    <row r="7" spans="2:12" ht="19.5">
      <c r="B7" s="35" t="s">
        <v>42</v>
      </c>
      <c r="C7" s="37">
        <f>SQRT((0.607*0.1)^2+(0.08*L3)^2)</f>
        <v>6.0754601924792498E-2</v>
      </c>
      <c r="I7" s="62" t="s">
        <v>21</v>
      </c>
      <c r="J7" s="62" t="s">
        <v>22</v>
      </c>
      <c r="K7" s="62" t="s">
        <v>79</v>
      </c>
      <c r="L7" s="62" t="s">
        <v>80</v>
      </c>
    </row>
    <row r="8" spans="2:12" ht="19.5">
      <c r="B8" s="35" t="s">
        <v>43</v>
      </c>
      <c r="C8" s="37">
        <f>C7/C6*100</f>
        <v>1.7606686824615182E-2</v>
      </c>
      <c r="I8" s="2">
        <v>1</v>
      </c>
      <c r="J8" s="43">
        <v>1360</v>
      </c>
      <c r="K8" s="4">
        <f t="shared" ref="K8:K41" si="0">$V$25*I8+$W$25</f>
        <v>1356.7619047619069</v>
      </c>
      <c r="L8" s="4">
        <f>K8-J8</f>
        <v>-3.2380952380931376</v>
      </c>
    </row>
    <row r="9" spans="2:12">
      <c r="B9" s="39"/>
      <c r="C9" s="39"/>
      <c r="I9" s="2">
        <v>2</v>
      </c>
      <c r="J9" s="43">
        <v>1703</v>
      </c>
      <c r="K9" s="4">
        <f t="shared" si="0"/>
        <v>1701.6212885154082</v>
      </c>
      <c r="L9" s="4">
        <f>K9-J9</f>
        <v>-1.378711484591804</v>
      </c>
    </row>
    <row r="10" spans="2:12" ht="18">
      <c r="B10" s="35" t="s">
        <v>81</v>
      </c>
      <c r="C10" s="41">
        <f>V25</f>
        <v>344.85938375350128</v>
      </c>
      <c r="D10" s="27"/>
      <c r="I10" s="2">
        <v>3</v>
      </c>
      <c r="J10" s="55">
        <v>2048</v>
      </c>
      <c r="K10" s="4">
        <f t="shared" si="0"/>
        <v>2046.4806722689093</v>
      </c>
      <c r="L10" s="4">
        <f t="shared" ref="L10:L49" si="1">K10-J10</f>
        <v>-1.5193277310906979</v>
      </c>
    </row>
    <row r="11" spans="2:12" ht="18">
      <c r="B11" s="35" t="s">
        <v>82</v>
      </c>
      <c r="C11" s="38">
        <f>SQRT((2*D3)^2*V26^2+(2*V25)^2*E3^2)</f>
        <v>0</v>
      </c>
      <c r="I11" s="2">
        <v>4</v>
      </c>
      <c r="J11" s="55">
        <v>2392</v>
      </c>
      <c r="K11" s="4">
        <f t="shared" si="0"/>
        <v>2391.3400560224109</v>
      </c>
      <c r="L11" s="4">
        <f t="shared" si="1"/>
        <v>-0.65994397758913692</v>
      </c>
    </row>
    <row r="12" spans="2:12">
      <c r="B12" s="35" t="s">
        <v>83</v>
      </c>
      <c r="C12" s="38">
        <f>C11/C10*100</f>
        <v>0</v>
      </c>
      <c r="I12" s="2">
        <v>5</v>
      </c>
      <c r="J12" s="55">
        <v>2735</v>
      </c>
      <c r="K12" s="4">
        <f t="shared" si="0"/>
        <v>2736.1994397759117</v>
      </c>
      <c r="L12" s="4">
        <f t="shared" si="1"/>
        <v>1.1994397759117419</v>
      </c>
    </row>
    <row r="13" spans="2:12">
      <c r="B13" s="35" t="s">
        <v>39</v>
      </c>
      <c r="C13" s="63">
        <f>(C6-C10)/C6</f>
        <v>5.973249904690825E-4</v>
      </c>
      <c r="I13" s="2">
        <v>6</v>
      </c>
      <c r="J13" s="55">
        <v>3077</v>
      </c>
      <c r="K13" s="4">
        <f t="shared" si="0"/>
        <v>3081.0588235294131</v>
      </c>
      <c r="L13" s="4">
        <f t="shared" si="1"/>
        <v>4.0588235294130754</v>
      </c>
    </row>
    <row r="14" spans="2:12">
      <c r="I14" s="2">
        <v>7</v>
      </c>
      <c r="J14" s="55">
        <v>3412</v>
      </c>
      <c r="K14" s="4">
        <f t="shared" si="0"/>
        <v>3425.9182072829144</v>
      </c>
      <c r="L14" s="4">
        <f t="shared" si="1"/>
        <v>13.918207282914409</v>
      </c>
    </row>
    <row r="15" spans="2:12">
      <c r="I15" s="2">
        <v>8</v>
      </c>
      <c r="J15" s="55">
        <v>3789</v>
      </c>
      <c r="K15" s="4">
        <f t="shared" si="0"/>
        <v>3770.7775910364157</v>
      </c>
      <c r="L15" s="4">
        <f t="shared" si="1"/>
        <v>-18.222408963584257</v>
      </c>
    </row>
    <row r="16" spans="2:12">
      <c r="I16" s="2">
        <v>9</v>
      </c>
      <c r="J16" s="55">
        <v>4141</v>
      </c>
      <c r="K16" s="4">
        <f t="shared" si="0"/>
        <v>4115.6369747899171</v>
      </c>
      <c r="L16" s="4">
        <f t="shared" si="1"/>
        <v>-25.363025210082924</v>
      </c>
    </row>
    <row r="17" spans="9:24">
      <c r="I17" s="2">
        <v>10</v>
      </c>
      <c r="J17" s="55">
        <v>4456</v>
      </c>
      <c r="K17" s="4">
        <f t="shared" si="0"/>
        <v>4460.496358543418</v>
      </c>
      <c r="L17" s="4">
        <f t="shared" si="1"/>
        <v>4.4963585434179549</v>
      </c>
    </row>
    <row r="18" spans="9:24">
      <c r="I18" s="2">
        <v>11</v>
      </c>
      <c r="J18" s="43">
        <v>4810</v>
      </c>
      <c r="K18" s="4">
        <f t="shared" si="0"/>
        <v>4805.3557422969197</v>
      </c>
      <c r="L18" s="4">
        <f t="shared" si="1"/>
        <v>-4.6442577030802568</v>
      </c>
    </row>
    <row r="19" spans="9:24">
      <c r="I19" s="2">
        <v>12</v>
      </c>
      <c r="J19" s="43">
        <v>5123</v>
      </c>
      <c r="K19" s="4">
        <f t="shared" si="0"/>
        <v>5150.2151260504206</v>
      </c>
      <c r="L19" s="4">
        <f t="shared" si="1"/>
        <v>27.215126050420622</v>
      </c>
    </row>
    <row r="20" spans="9:24">
      <c r="I20" s="2">
        <v>13</v>
      </c>
      <c r="J20" s="43">
        <v>5490</v>
      </c>
      <c r="K20" s="4">
        <f t="shared" si="0"/>
        <v>5495.0745098039224</v>
      </c>
      <c r="L20" s="4">
        <f t="shared" si="1"/>
        <v>5.0745098039224104</v>
      </c>
    </row>
    <row r="21" spans="9:24">
      <c r="I21" s="2">
        <v>14</v>
      </c>
      <c r="J21" s="43">
        <v>5836</v>
      </c>
      <c r="K21" s="4">
        <f t="shared" si="0"/>
        <v>5839.9338935574233</v>
      </c>
      <c r="L21" s="4">
        <f t="shared" si="1"/>
        <v>3.9338935574232892</v>
      </c>
    </row>
    <row r="22" spans="9:24">
      <c r="I22" s="2">
        <v>15</v>
      </c>
      <c r="J22" s="43">
        <v>6181</v>
      </c>
      <c r="K22" s="4">
        <f t="shared" si="0"/>
        <v>6184.7932773109251</v>
      </c>
      <c r="L22" s="4">
        <f t="shared" si="1"/>
        <v>3.7932773109250775</v>
      </c>
    </row>
    <row r="23" spans="9:24">
      <c r="I23" s="2">
        <v>16</v>
      </c>
      <c r="J23" s="43">
        <v>6525</v>
      </c>
      <c r="K23" s="4">
        <f t="shared" si="0"/>
        <v>6529.652661064426</v>
      </c>
      <c r="L23" s="4">
        <f t="shared" si="1"/>
        <v>4.6526610644259563</v>
      </c>
    </row>
    <row r="24" spans="9:24">
      <c r="I24" s="2">
        <v>17</v>
      </c>
      <c r="J24" s="43">
        <v>6879</v>
      </c>
      <c r="K24" s="4">
        <f t="shared" si="0"/>
        <v>6874.5120448179268</v>
      </c>
      <c r="L24" s="4">
        <f t="shared" si="1"/>
        <v>-4.4879551820731649</v>
      </c>
    </row>
    <row r="25" spans="9:24">
      <c r="I25" s="2">
        <v>18</v>
      </c>
      <c r="J25" s="43">
        <v>7224</v>
      </c>
      <c r="K25" s="4">
        <f t="shared" si="0"/>
        <v>7219.3714285714286</v>
      </c>
      <c r="L25" s="4">
        <f t="shared" si="1"/>
        <v>-4.6285714285713766</v>
      </c>
      <c r="U25" s="53" t="s">
        <v>25</v>
      </c>
      <c r="V25" s="4" cm="1">
        <f t="array" ref="V25:W29">LINEST(J8:J42,I8:I42,1,1)</f>
        <v>344.85938375350128</v>
      </c>
      <c r="W25" s="5">
        <v>1011.9025210084055</v>
      </c>
      <c r="X25" s="53" t="s">
        <v>26</v>
      </c>
    </row>
    <row r="26" spans="9:24">
      <c r="I26" s="2">
        <v>19</v>
      </c>
      <c r="J26" s="43">
        <v>7573</v>
      </c>
      <c r="K26" s="4">
        <f t="shared" si="0"/>
        <v>7564.2308123249295</v>
      </c>
      <c r="L26" s="4">
        <f t="shared" si="1"/>
        <v>-8.7691876750704978</v>
      </c>
      <c r="U26" s="53" t="s">
        <v>84</v>
      </c>
      <c r="V26" s="4">
        <v>0.14454932972679144</v>
      </c>
      <c r="W26" s="5">
        <v>2.9834645492483984</v>
      </c>
      <c r="X26" s="53" t="s">
        <v>85</v>
      </c>
    </row>
    <row r="27" spans="9:24" ht="17.25">
      <c r="I27" s="2">
        <v>20</v>
      </c>
      <c r="J27" s="43">
        <v>7911</v>
      </c>
      <c r="K27" s="4">
        <f t="shared" si="0"/>
        <v>7909.0901960784313</v>
      </c>
      <c r="L27" s="4">
        <f t="shared" si="1"/>
        <v>-1.9098039215687095</v>
      </c>
      <c r="U27" s="53" t="s">
        <v>86</v>
      </c>
      <c r="V27" s="33">
        <v>0.99999420224991775</v>
      </c>
      <c r="W27" s="5">
        <v>8.6367468497310309</v>
      </c>
      <c r="X27" s="53" t="s">
        <v>31</v>
      </c>
    </row>
    <row r="28" spans="9:24">
      <c r="I28" s="2">
        <v>21</v>
      </c>
      <c r="J28" s="43">
        <v>8253</v>
      </c>
      <c r="K28" s="4">
        <f t="shared" si="0"/>
        <v>8253.9495798319331</v>
      </c>
      <c r="L28" s="4">
        <f t="shared" si="1"/>
        <v>0.94957983193307882</v>
      </c>
      <c r="V28" s="3">
        <v>5691830.1421270538</v>
      </c>
      <c r="W28" s="3">
        <v>33</v>
      </c>
    </row>
    <row r="29" spans="9:24">
      <c r="I29" s="2">
        <v>22</v>
      </c>
      <c r="J29" s="43">
        <v>8602</v>
      </c>
      <c r="K29" s="4">
        <f t="shared" si="0"/>
        <v>8598.808963585434</v>
      </c>
      <c r="L29" s="4">
        <f t="shared" si="1"/>
        <v>-3.1910364145660424</v>
      </c>
      <c r="V29" s="3">
        <v>424572940.58935571</v>
      </c>
      <c r="W29" s="3">
        <v>2461.5820728291833</v>
      </c>
    </row>
    <row r="30" spans="9:24">
      <c r="I30" s="2">
        <v>23</v>
      </c>
      <c r="J30" s="43">
        <v>8941</v>
      </c>
      <c r="K30" s="4">
        <f t="shared" si="0"/>
        <v>8943.6683473389348</v>
      </c>
      <c r="L30" s="4">
        <f t="shared" si="1"/>
        <v>2.6683473389348364</v>
      </c>
    </row>
    <row r="31" spans="9:24">
      <c r="I31" s="2">
        <v>24</v>
      </c>
      <c r="J31" s="43">
        <v>9285</v>
      </c>
      <c r="K31" s="4">
        <f t="shared" si="0"/>
        <v>9288.5277310924357</v>
      </c>
      <c r="L31" s="4">
        <f t="shared" si="1"/>
        <v>3.5277310924357153</v>
      </c>
      <c r="V31" s="35" t="s">
        <v>31</v>
      </c>
      <c r="W31" s="34">
        <f>2*W27</f>
        <v>17.273493699462062</v>
      </c>
    </row>
    <row r="32" spans="9:24">
      <c r="I32" s="2">
        <v>25</v>
      </c>
      <c r="J32" s="43">
        <v>9628</v>
      </c>
      <c r="K32" s="4">
        <f t="shared" si="0"/>
        <v>9633.3871148459366</v>
      </c>
      <c r="L32" s="4">
        <f t="shared" si="1"/>
        <v>5.3871148459365941</v>
      </c>
    </row>
    <row r="33" spans="9:12">
      <c r="I33" s="2">
        <v>26</v>
      </c>
      <c r="J33" s="43">
        <v>9976</v>
      </c>
      <c r="K33" s="4">
        <f t="shared" si="0"/>
        <v>9978.2464985994393</v>
      </c>
      <c r="L33" s="4">
        <f t="shared" si="1"/>
        <v>2.2464985994392919</v>
      </c>
    </row>
    <row r="34" spans="9:12">
      <c r="I34" s="2">
        <v>27</v>
      </c>
      <c r="J34" s="43">
        <v>10318</v>
      </c>
      <c r="K34" s="4">
        <f t="shared" si="0"/>
        <v>10323.10588235294</v>
      </c>
      <c r="L34" s="4">
        <f t="shared" si="1"/>
        <v>5.1058823529401707</v>
      </c>
    </row>
    <row r="35" spans="9:12">
      <c r="I35" s="2">
        <v>28</v>
      </c>
      <c r="J35" s="43">
        <v>10669</v>
      </c>
      <c r="K35" s="4">
        <f t="shared" si="0"/>
        <v>10667.965266106441</v>
      </c>
      <c r="L35" s="4">
        <f t="shared" si="1"/>
        <v>-1.0347338935589505</v>
      </c>
    </row>
    <row r="36" spans="9:12">
      <c r="I36" s="2">
        <v>29</v>
      </c>
      <c r="J36" s="43">
        <v>11007</v>
      </c>
      <c r="K36" s="4">
        <f t="shared" si="0"/>
        <v>11012.824649859942</v>
      </c>
      <c r="L36" s="4">
        <f t="shared" si="1"/>
        <v>5.8246498599419283</v>
      </c>
    </row>
    <row r="37" spans="9:12">
      <c r="I37" s="2">
        <v>30</v>
      </c>
      <c r="J37" s="43">
        <v>11361</v>
      </c>
      <c r="K37" s="4">
        <f t="shared" si="0"/>
        <v>11357.684033613445</v>
      </c>
      <c r="L37" s="4">
        <f t="shared" si="1"/>
        <v>-3.3159663865553739</v>
      </c>
    </row>
    <row r="38" spans="9:12">
      <c r="I38" s="2">
        <v>31</v>
      </c>
      <c r="J38" s="43">
        <v>11700</v>
      </c>
      <c r="K38" s="4">
        <f t="shared" si="0"/>
        <v>11702.543417366946</v>
      </c>
      <c r="L38" s="4">
        <f t="shared" si="1"/>
        <v>2.5434173669455049</v>
      </c>
    </row>
    <row r="39" spans="9:12">
      <c r="I39" s="2">
        <v>32</v>
      </c>
      <c r="J39" s="43">
        <v>12046</v>
      </c>
      <c r="K39" s="4">
        <f t="shared" si="0"/>
        <v>12047.402801120446</v>
      </c>
      <c r="L39" s="4">
        <f t="shared" si="1"/>
        <v>1.4028011204463837</v>
      </c>
    </row>
    <row r="40" spans="9:12">
      <c r="I40" s="2">
        <v>33</v>
      </c>
      <c r="J40" s="43">
        <v>12395</v>
      </c>
      <c r="K40" s="4">
        <f t="shared" si="0"/>
        <v>12392.262184873947</v>
      </c>
      <c r="L40" s="4">
        <f t="shared" si="1"/>
        <v>-2.7378151260527375</v>
      </c>
    </row>
    <row r="41" spans="9:12">
      <c r="I41" s="2">
        <v>34</v>
      </c>
      <c r="J41" s="43">
        <v>12739</v>
      </c>
      <c r="K41" s="4">
        <f t="shared" si="0"/>
        <v>12737.121568627448</v>
      </c>
      <c r="L41" s="4">
        <f t="shared" si="1"/>
        <v>-1.8784313725518587</v>
      </c>
    </row>
    <row r="42" spans="9:12">
      <c r="I42" s="2">
        <v>35</v>
      </c>
      <c r="J42" s="43">
        <v>13093</v>
      </c>
      <c r="K42" s="4">
        <f>$V$25*I42+$W$25</f>
        <v>13081.980952380951</v>
      </c>
      <c r="L42" s="4">
        <f t="shared" si="1"/>
        <v>-11.019047619049161</v>
      </c>
    </row>
    <row r="43" spans="9:12">
      <c r="I43" s="56">
        <v>36</v>
      </c>
      <c r="J43" s="59">
        <v>13343</v>
      </c>
      <c r="K43" s="60">
        <f>$V$25*I43+$W$25</f>
        <v>13426.840336134452</v>
      </c>
      <c r="L43" s="60">
        <f t="shared" si="1"/>
        <v>83.840336134451718</v>
      </c>
    </row>
    <row r="44" spans="9:12">
      <c r="I44" s="56">
        <v>37</v>
      </c>
      <c r="J44" s="59">
        <v>13489</v>
      </c>
      <c r="K44" s="60">
        <f t="shared" ref="K44:K49" si="2">$V$25*I44+$W$25</f>
        <v>13771.699719887953</v>
      </c>
      <c r="L44" s="60">
        <f t="shared" si="1"/>
        <v>282.6997198879526</v>
      </c>
    </row>
    <row r="45" spans="9:12">
      <c r="I45" s="56">
        <v>38</v>
      </c>
      <c r="J45" s="59">
        <v>13748</v>
      </c>
      <c r="K45" s="60">
        <f t="shared" si="2"/>
        <v>14116.559103641453</v>
      </c>
      <c r="L45" s="60">
        <f t="shared" si="1"/>
        <v>368.55910364145348</v>
      </c>
    </row>
    <row r="46" spans="9:12">
      <c r="I46" s="56">
        <v>39</v>
      </c>
      <c r="J46" s="59">
        <v>14089</v>
      </c>
      <c r="K46" s="60">
        <f t="shared" si="2"/>
        <v>14461.418487394956</v>
      </c>
      <c r="L46" s="60">
        <f t="shared" si="1"/>
        <v>372.41848739495617</v>
      </c>
    </row>
    <row r="47" spans="9:12">
      <c r="I47" s="56">
        <v>40</v>
      </c>
      <c r="J47" s="59">
        <v>14461</v>
      </c>
      <c r="K47" s="61">
        <f t="shared" si="2"/>
        <v>14806.277871148457</v>
      </c>
      <c r="L47" s="60">
        <f t="shared" si="1"/>
        <v>345.27787114845705</v>
      </c>
    </row>
    <row r="48" spans="9:12">
      <c r="I48" s="56">
        <v>41</v>
      </c>
      <c r="J48" s="56">
        <v>14812</v>
      </c>
      <c r="K48" s="61">
        <f t="shared" si="2"/>
        <v>15151.137254901958</v>
      </c>
      <c r="L48" s="60">
        <f>K48-J48</f>
        <v>339.13725490195793</v>
      </c>
    </row>
    <row r="49" spans="9:12">
      <c r="I49" s="56">
        <v>42</v>
      </c>
      <c r="J49" s="56">
        <v>15144</v>
      </c>
      <c r="K49" s="61">
        <f t="shared" si="2"/>
        <v>15495.996638655459</v>
      </c>
      <c r="L49" s="60">
        <f t="shared" si="1"/>
        <v>351.99663865545881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0B8D-6736-FF40-9ACF-76D3E9489959}">
  <dimension ref="C3:D22"/>
  <sheetViews>
    <sheetView tabSelected="1" zoomScale="130" zoomScaleNormal="130" workbookViewId="0">
      <selection activeCell="K19" sqref="K19"/>
    </sheetView>
  </sheetViews>
  <sheetFormatPr defaultColWidth="11" defaultRowHeight="15.75"/>
  <sheetData>
    <row r="3" spans="3:4" ht="18">
      <c r="C3" s="45" t="s">
        <v>76</v>
      </c>
      <c r="D3" s="45" t="s">
        <v>77</v>
      </c>
    </row>
    <row r="4" spans="3:4">
      <c r="C4" s="2">
        <v>0</v>
      </c>
      <c r="D4" s="2">
        <v>4.58</v>
      </c>
    </row>
    <row r="5" spans="3:4">
      <c r="C5" s="2">
        <v>5</v>
      </c>
      <c r="D5" s="2">
        <v>6.54</v>
      </c>
    </row>
    <row r="6" spans="3:4">
      <c r="C6" s="2">
        <v>10</v>
      </c>
      <c r="D6" s="2">
        <v>9.2100000000000009</v>
      </c>
    </row>
    <row r="7" spans="3:4">
      <c r="C7" s="2">
        <v>12</v>
      </c>
      <c r="D7" s="2">
        <v>10.52</v>
      </c>
    </row>
    <row r="8" spans="3:4">
      <c r="C8" s="2">
        <v>14</v>
      </c>
      <c r="D8" s="2">
        <v>11.9</v>
      </c>
    </row>
    <row r="9" spans="3:4">
      <c r="C9" s="2">
        <v>15</v>
      </c>
      <c r="D9" s="2">
        <v>12.79</v>
      </c>
    </row>
    <row r="10" spans="3:4">
      <c r="C10" s="2">
        <v>16</v>
      </c>
      <c r="D10" s="2">
        <v>13.64</v>
      </c>
    </row>
    <row r="11" spans="3:4">
      <c r="C11" s="2">
        <v>18</v>
      </c>
      <c r="D11" s="2">
        <v>15.49</v>
      </c>
    </row>
    <row r="12" spans="3:4">
      <c r="C12" s="2">
        <v>20</v>
      </c>
      <c r="D12" s="2">
        <v>17.54</v>
      </c>
    </row>
    <row r="13" spans="3:4">
      <c r="C13" s="2">
        <v>22</v>
      </c>
      <c r="D13" s="2">
        <v>19.84</v>
      </c>
    </row>
    <row r="14" spans="3:4">
      <c r="C14" s="2">
        <v>24</v>
      </c>
      <c r="D14" s="2">
        <v>22.39</v>
      </c>
    </row>
    <row r="15" spans="3:4">
      <c r="C15" s="2">
        <v>25</v>
      </c>
      <c r="D15" s="2">
        <v>23.77</v>
      </c>
    </row>
    <row r="16" spans="3:4">
      <c r="C16" s="2">
        <v>26</v>
      </c>
      <c r="D16" s="2">
        <v>25.22</v>
      </c>
    </row>
    <row r="17" spans="3:4">
      <c r="C17" s="2">
        <v>28</v>
      </c>
      <c r="D17" s="2">
        <v>28.36</v>
      </c>
    </row>
    <row r="18" spans="3:4">
      <c r="C18" s="2">
        <v>30</v>
      </c>
      <c r="D18" s="2">
        <v>31.83</v>
      </c>
    </row>
    <row r="19" spans="3:4">
      <c r="C19" s="2">
        <v>32.5</v>
      </c>
      <c r="D19" s="2">
        <v>36.69</v>
      </c>
    </row>
    <row r="20" spans="3:4">
      <c r="C20" s="2">
        <v>35</v>
      </c>
      <c r="D20" s="2">
        <v>42.18</v>
      </c>
    </row>
    <row r="21" spans="3:4">
      <c r="C21" s="2">
        <v>37.5</v>
      </c>
      <c r="D21" s="2">
        <v>48.37</v>
      </c>
    </row>
    <row r="22" spans="3:4">
      <c r="C22" s="2">
        <v>40</v>
      </c>
      <c r="D22" s="2">
        <v>55.33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Tubos</vt:lpstr>
      <vt:lpstr>1ª Parte (v)</vt:lpstr>
      <vt:lpstr>Δy</vt:lpstr>
      <vt:lpstr>2ª Parte (v)</vt:lpstr>
      <vt:lpstr>p(T)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Inês Pascoal Nogueira</dc:creator>
  <cp:keywords/>
  <dc:description/>
  <cp:lastModifiedBy>Sérgio Sousa</cp:lastModifiedBy>
  <cp:revision/>
  <dcterms:created xsi:type="dcterms:W3CDTF">2020-10-19T21:06:49Z</dcterms:created>
  <dcterms:modified xsi:type="dcterms:W3CDTF">2023-02-26T18:51:22Z</dcterms:modified>
  <cp:category/>
  <cp:contentStatus/>
</cp:coreProperties>
</file>