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2B\"/>
    </mc:Choice>
  </mc:AlternateContent>
  <xr:revisionPtr revIDLastSave="0" documentId="13_ncr:1_{F6B7F7C4-5486-4DA8-AE94-9F130E7A922C}" xr6:coauthVersionLast="47" xr6:coauthVersionMax="47" xr10:uidLastSave="{00000000-0000-0000-0000-000000000000}"/>
  <bookViews>
    <workbookView xWindow="-108" yWindow="-108" windowWidth="23256" windowHeight="13176" activeTab="2" xr2:uid="{ADD7F163-C1A2-B04B-9D45-D2B9CEFFEB9A}"/>
  </bookViews>
  <sheets>
    <sheet name="Parte 1" sheetId="1" r:id="rId1"/>
    <sheet name="Sheet1" sheetId="3" r:id="rId2"/>
    <sheet name="Parte 2" sheetId="2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3" l="1"/>
  <c r="G5" i="3"/>
  <c r="G4" i="3"/>
  <c r="H41" i="3"/>
  <c r="E46" i="3"/>
  <c r="F46" i="3" s="1"/>
  <c r="E45" i="3"/>
  <c r="F45" i="3" s="1"/>
  <c r="E44" i="3"/>
  <c r="F44" i="3" s="1"/>
  <c r="E36" i="3"/>
  <c r="F36" i="3" s="1"/>
  <c r="E35" i="3"/>
  <c r="F35" i="3" s="1"/>
  <c r="E24" i="3"/>
  <c r="F24" i="3" s="1"/>
  <c r="E25" i="3"/>
  <c r="F25" i="3" s="1"/>
  <c r="E26" i="3"/>
  <c r="F26" i="3" s="1"/>
  <c r="H11" i="3"/>
  <c r="E13" i="3"/>
  <c r="F13" i="3" s="1"/>
  <c r="E14" i="3"/>
  <c r="F14" i="3" s="1"/>
  <c r="E15" i="3"/>
  <c r="F15" i="3" s="1"/>
  <c r="E11" i="3"/>
  <c r="F11" i="3" s="1"/>
  <c r="H46" i="3"/>
  <c r="D46" i="3"/>
  <c r="H45" i="3"/>
  <c r="D45" i="3"/>
  <c r="H44" i="3"/>
  <c r="D44" i="3"/>
  <c r="H43" i="3"/>
  <c r="D43" i="3"/>
  <c r="E43" i="3" s="1"/>
  <c r="F43" i="3" s="1"/>
  <c r="H42" i="3"/>
  <c r="D42" i="3"/>
  <c r="E42" i="3" s="1"/>
  <c r="F42" i="3" s="1"/>
  <c r="D41" i="3"/>
  <c r="E41" i="3" s="1"/>
  <c r="F41" i="3" s="1"/>
  <c r="H36" i="3"/>
  <c r="D36" i="3"/>
  <c r="H35" i="3"/>
  <c r="D35" i="3"/>
  <c r="H34" i="3"/>
  <c r="D34" i="3"/>
  <c r="E34" i="3" s="1"/>
  <c r="F34" i="3" s="1"/>
  <c r="H33" i="3"/>
  <c r="D33" i="3"/>
  <c r="E33" i="3" s="1"/>
  <c r="F33" i="3" s="1"/>
  <c r="H32" i="3"/>
  <c r="D32" i="3"/>
  <c r="E32" i="3" s="1"/>
  <c r="F32" i="3" s="1"/>
  <c r="H31" i="3"/>
  <c r="D31" i="3"/>
  <c r="E31" i="3" s="1"/>
  <c r="F31" i="3" s="1"/>
  <c r="H26" i="3"/>
  <c r="D26" i="3"/>
  <c r="H25" i="3"/>
  <c r="D25" i="3"/>
  <c r="H24" i="3"/>
  <c r="D24" i="3"/>
  <c r="H23" i="3"/>
  <c r="D23" i="3"/>
  <c r="E23" i="3" s="1"/>
  <c r="F23" i="3" s="1"/>
  <c r="H22" i="3"/>
  <c r="D22" i="3"/>
  <c r="E22" i="3" s="1"/>
  <c r="F22" i="3" s="1"/>
  <c r="H21" i="3"/>
  <c r="D21" i="3"/>
  <c r="E21" i="3" s="1"/>
  <c r="F21" i="3" s="1"/>
  <c r="H16" i="3"/>
  <c r="D16" i="3"/>
  <c r="E16" i="3" s="1"/>
  <c r="F16" i="3" s="1"/>
  <c r="H15" i="3"/>
  <c r="D15" i="3"/>
  <c r="H14" i="3"/>
  <c r="D14" i="3"/>
  <c r="H13" i="3"/>
  <c r="D13" i="3"/>
  <c r="H12" i="3"/>
  <c r="D12" i="3"/>
  <c r="E12" i="3" s="1"/>
  <c r="F12" i="3" s="1"/>
  <c r="D11" i="3"/>
  <c r="C5" i="3"/>
  <c r="C4" i="3"/>
  <c r="S70" i="2" a="1"/>
  <c r="S70" i="2" s="1"/>
  <c r="F51" i="2"/>
  <c r="G51" i="2"/>
  <c r="I51" i="2" s="1"/>
  <c r="H51" i="2"/>
  <c r="J51" i="2" s="1"/>
  <c r="M51" i="2"/>
  <c r="N51" i="2"/>
  <c r="Q51" i="2"/>
  <c r="R51" i="2"/>
  <c r="F52" i="2"/>
  <c r="Q52" i="2" s="1"/>
  <c r="G52" i="2"/>
  <c r="I52" i="2" s="1"/>
  <c r="K52" i="2" s="1"/>
  <c r="O52" i="2" s="1"/>
  <c r="H52" i="2"/>
  <c r="M52" i="2"/>
  <c r="N52" i="2"/>
  <c r="R52" i="2"/>
  <c r="F53" i="2"/>
  <c r="G53" i="2"/>
  <c r="H53" i="2"/>
  <c r="I53" i="2"/>
  <c r="K53" i="2" s="1"/>
  <c r="J53" i="2"/>
  <c r="L53" i="2" s="1"/>
  <c r="M53" i="2"/>
  <c r="N53" i="2"/>
  <c r="Q53" i="2"/>
  <c r="R53" i="2"/>
  <c r="F54" i="2"/>
  <c r="G54" i="2"/>
  <c r="H54" i="2"/>
  <c r="J54" i="2" s="1"/>
  <c r="L54" i="2" s="1"/>
  <c r="I54" i="2"/>
  <c r="K54" i="2" s="1"/>
  <c r="M54" i="2"/>
  <c r="N54" i="2"/>
  <c r="Q54" i="2"/>
  <c r="R54" i="2"/>
  <c r="F55" i="2"/>
  <c r="Q55" i="2" s="1"/>
  <c r="G55" i="2"/>
  <c r="I55" i="2" s="1"/>
  <c r="H55" i="2"/>
  <c r="J55" i="2" s="1"/>
  <c r="M55" i="2"/>
  <c r="N55" i="2"/>
  <c r="R55" i="2"/>
  <c r="F56" i="2"/>
  <c r="G56" i="2"/>
  <c r="I56" i="2" s="1"/>
  <c r="H56" i="2"/>
  <c r="J56" i="2"/>
  <c r="M56" i="2"/>
  <c r="N56" i="2"/>
  <c r="Q56" i="2"/>
  <c r="R56" i="2"/>
  <c r="F57" i="2"/>
  <c r="Q57" i="2" s="1"/>
  <c r="G57" i="2"/>
  <c r="H57" i="2"/>
  <c r="I57" i="2"/>
  <c r="L57" i="2" s="1"/>
  <c r="J57" i="2"/>
  <c r="M57" i="2"/>
  <c r="N57" i="2"/>
  <c r="R57" i="2"/>
  <c r="F58" i="2"/>
  <c r="G58" i="2"/>
  <c r="H58" i="2"/>
  <c r="J58" i="2" s="1"/>
  <c r="I58" i="2"/>
  <c r="K58" i="2" s="1"/>
  <c r="M58" i="2"/>
  <c r="N58" i="2"/>
  <c r="Q58" i="2"/>
  <c r="R58" i="2"/>
  <c r="F59" i="2"/>
  <c r="Q59" i="2" s="1"/>
  <c r="G59" i="2"/>
  <c r="I59" i="2" s="1"/>
  <c r="H59" i="2"/>
  <c r="J59" i="2" s="1"/>
  <c r="M59" i="2"/>
  <c r="N59" i="2"/>
  <c r="R59" i="2"/>
  <c r="F60" i="2"/>
  <c r="Q60" i="2" s="1"/>
  <c r="G60" i="2"/>
  <c r="I60" i="2" s="1"/>
  <c r="H60" i="2"/>
  <c r="J60" i="2" s="1"/>
  <c r="M60" i="2"/>
  <c r="N60" i="2"/>
  <c r="F61" i="2"/>
  <c r="R61" i="2" s="1"/>
  <c r="G61" i="2"/>
  <c r="I61" i="2" s="1"/>
  <c r="H61" i="2"/>
  <c r="M61" i="2"/>
  <c r="N61" i="2"/>
  <c r="F62" i="2"/>
  <c r="G62" i="2"/>
  <c r="H62" i="2"/>
  <c r="J62" i="2" s="1"/>
  <c r="I62" i="2"/>
  <c r="L62" i="2" s="1"/>
  <c r="P62" i="2" s="1"/>
  <c r="K62" i="2"/>
  <c r="M62" i="2"/>
  <c r="N62" i="2"/>
  <c r="O62" i="2"/>
  <c r="Q62" i="2"/>
  <c r="R62" i="2"/>
  <c r="F63" i="2"/>
  <c r="G63" i="2"/>
  <c r="I63" i="2" s="1"/>
  <c r="H63" i="2"/>
  <c r="J63" i="2"/>
  <c r="M63" i="2"/>
  <c r="N63" i="2"/>
  <c r="Q63" i="2"/>
  <c r="R63" i="2"/>
  <c r="I70" i="2" a="1"/>
  <c r="I70" i="2" s="1"/>
  <c r="F8" i="2"/>
  <c r="G8" i="2"/>
  <c r="I8" i="2" s="1"/>
  <c r="H8" i="2"/>
  <c r="J8" i="2"/>
  <c r="M8" i="2"/>
  <c r="N8" i="2"/>
  <c r="Q8" i="2"/>
  <c r="R8" i="2"/>
  <c r="F9" i="2"/>
  <c r="G9" i="2"/>
  <c r="H9" i="2"/>
  <c r="I9" i="2"/>
  <c r="J9" i="2"/>
  <c r="K9" i="2"/>
  <c r="L9" i="2"/>
  <c r="M9" i="2"/>
  <c r="N9" i="2"/>
  <c r="O9" i="2"/>
  <c r="P9" i="2"/>
  <c r="Q9" i="2"/>
  <c r="R9" i="2"/>
  <c r="F10" i="2"/>
  <c r="Q10" i="2" s="1"/>
  <c r="G10" i="2"/>
  <c r="H10" i="2"/>
  <c r="I10" i="2"/>
  <c r="J10" i="2"/>
  <c r="K10" i="2"/>
  <c r="P10" i="2" s="1"/>
  <c r="L10" i="2"/>
  <c r="M10" i="2"/>
  <c r="N10" i="2"/>
  <c r="O10" i="2"/>
  <c r="R10" i="2"/>
  <c r="F11" i="2"/>
  <c r="G11" i="2"/>
  <c r="H11" i="2"/>
  <c r="I11" i="2"/>
  <c r="J11" i="2"/>
  <c r="K11" i="2"/>
  <c r="O11" i="2" s="1"/>
  <c r="L11" i="2"/>
  <c r="M11" i="2"/>
  <c r="N11" i="2"/>
  <c r="Q11" i="2"/>
  <c r="R11" i="2"/>
  <c r="F12" i="2"/>
  <c r="Q12" i="2" s="1"/>
  <c r="G12" i="2"/>
  <c r="H12" i="2"/>
  <c r="I12" i="2"/>
  <c r="J12" i="2"/>
  <c r="K12" i="2"/>
  <c r="O12" i="2" s="1"/>
  <c r="L12" i="2"/>
  <c r="M12" i="2"/>
  <c r="N12" i="2"/>
  <c r="R12" i="2"/>
  <c r="F13" i="2"/>
  <c r="G13" i="2"/>
  <c r="H13" i="2"/>
  <c r="I13" i="2"/>
  <c r="J13" i="2"/>
  <c r="L13" i="2" s="1"/>
  <c r="K13" i="2"/>
  <c r="O13" i="2" s="1"/>
  <c r="M13" i="2"/>
  <c r="N13" i="2"/>
  <c r="Q13" i="2"/>
  <c r="R13" i="2"/>
  <c r="F14" i="2"/>
  <c r="Q14" i="2" s="1"/>
  <c r="G14" i="2"/>
  <c r="H14" i="2"/>
  <c r="I14" i="2"/>
  <c r="L14" i="2" s="1"/>
  <c r="J14" i="2"/>
  <c r="M14" i="2"/>
  <c r="N14" i="2"/>
  <c r="R14" i="2"/>
  <c r="F15" i="2"/>
  <c r="Q15" i="2" s="1"/>
  <c r="G15" i="2"/>
  <c r="H15" i="2"/>
  <c r="J15" i="2" s="1"/>
  <c r="I15" i="2"/>
  <c r="K15" i="2" s="1"/>
  <c r="M15" i="2"/>
  <c r="N15" i="2"/>
  <c r="R15" i="2"/>
  <c r="F16" i="2"/>
  <c r="G16" i="2"/>
  <c r="I16" i="2" s="1"/>
  <c r="H16" i="2"/>
  <c r="J16" i="2" s="1"/>
  <c r="M16" i="2"/>
  <c r="N16" i="2"/>
  <c r="Q16" i="2"/>
  <c r="R16" i="2"/>
  <c r="F17" i="2"/>
  <c r="Q17" i="2" s="1"/>
  <c r="G17" i="2"/>
  <c r="I17" i="2" s="1"/>
  <c r="H17" i="2"/>
  <c r="J17" i="2" s="1"/>
  <c r="M17" i="2"/>
  <c r="N17" i="2"/>
  <c r="R17" i="2"/>
  <c r="F18" i="2"/>
  <c r="Q18" i="2" s="1"/>
  <c r="G18" i="2"/>
  <c r="I18" i="2" s="1"/>
  <c r="H18" i="2"/>
  <c r="J18" i="2" s="1"/>
  <c r="M18" i="2"/>
  <c r="N18" i="2"/>
  <c r="F19" i="2"/>
  <c r="G19" i="2"/>
  <c r="I19" i="2" s="1"/>
  <c r="H19" i="2"/>
  <c r="J19" i="2" s="1"/>
  <c r="M19" i="2"/>
  <c r="N19" i="2"/>
  <c r="Q19" i="2"/>
  <c r="R19" i="2"/>
  <c r="F20" i="2"/>
  <c r="G20" i="2"/>
  <c r="I20" i="2" s="1"/>
  <c r="H20" i="2"/>
  <c r="J20" i="2"/>
  <c r="M20" i="2"/>
  <c r="N20" i="2"/>
  <c r="Q20" i="2"/>
  <c r="R20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F22" i="2"/>
  <c r="G22" i="2"/>
  <c r="H22" i="2"/>
  <c r="I22" i="2"/>
  <c r="J22" i="2"/>
  <c r="K22" i="2"/>
  <c r="P22" i="2" s="1"/>
  <c r="L22" i="2"/>
  <c r="M22" i="2"/>
  <c r="N22" i="2"/>
  <c r="O22" i="2"/>
  <c r="Q22" i="2"/>
  <c r="R22" i="2"/>
  <c r="F23" i="2"/>
  <c r="G23" i="2"/>
  <c r="H23" i="2"/>
  <c r="I23" i="2"/>
  <c r="J23" i="2"/>
  <c r="K23" i="2"/>
  <c r="O23" i="2" s="1"/>
  <c r="L23" i="2"/>
  <c r="M23" i="2"/>
  <c r="N23" i="2"/>
  <c r="Q23" i="2"/>
  <c r="R23" i="2"/>
  <c r="F24" i="2"/>
  <c r="Q24" i="2" s="1"/>
  <c r="G24" i="2"/>
  <c r="H24" i="2"/>
  <c r="I24" i="2"/>
  <c r="J24" i="2"/>
  <c r="K24" i="2"/>
  <c r="O24" i="2" s="1"/>
  <c r="L24" i="2"/>
  <c r="M24" i="2"/>
  <c r="N24" i="2"/>
  <c r="R24" i="2"/>
  <c r="F25" i="2"/>
  <c r="G25" i="2"/>
  <c r="H25" i="2"/>
  <c r="I25" i="2"/>
  <c r="J25" i="2"/>
  <c r="L25" i="2" s="1"/>
  <c r="K25" i="2"/>
  <c r="O25" i="2" s="1"/>
  <c r="M25" i="2"/>
  <c r="N25" i="2"/>
  <c r="Q25" i="2"/>
  <c r="R25" i="2"/>
  <c r="F26" i="2"/>
  <c r="Q26" i="2" s="1"/>
  <c r="G26" i="2"/>
  <c r="H26" i="2"/>
  <c r="I26" i="2"/>
  <c r="L26" i="2" s="1"/>
  <c r="J26" i="2"/>
  <c r="M26" i="2"/>
  <c r="N26" i="2"/>
  <c r="R26" i="2"/>
  <c r="F27" i="2"/>
  <c r="Q27" i="2" s="1"/>
  <c r="G27" i="2"/>
  <c r="H27" i="2"/>
  <c r="J27" i="2" s="1"/>
  <c r="I27" i="2"/>
  <c r="K27" i="2" s="1"/>
  <c r="M27" i="2"/>
  <c r="N27" i="2"/>
  <c r="R27" i="2"/>
  <c r="F28" i="2"/>
  <c r="G28" i="2"/>
  <c r="I28" i="2" s="1"/>
  <c r="H28" i="2"/>
  <c r="J28" i="2" s="1"/>
  <c r="M28" i="2"/>
  <c r="N28" i="2"/>
  <c r="Q28" i="2"/>
  <c r="R28" i="2"/>
  <c r="F29" i="2"/>
  <c r="Q29" i="2" s="1"/>
  <c r="G29" i="2"/>
  <c r="I29" i="2" s="1"/>
  <c r="H29" i="2"/>
  <c r="J29" i="2" s="1"/>
  <c r="M29" i="2"/>
  <c r="N29" i="2"/>
  <c r="R29" i="2"/>
  <c r="F30" i="2"/>
  <c r="Q30" i="2" s="1"/>
  <c r="G30" i="2"/>
  <c r="I30" i="2" s="1"/>
  <c r="H30" i="2"/>
  <c r="J30" i="2" s="1"/>
  <c r="M30" i="2"/>
  <c r="N30" i="2"/>
  <c r="R30" i="2"/>
  <c r="F31" i="2"/>
  <c r="G31" i="2"/>
  <c r="I31" i="2" s="1"/>
  <c r="H31" i="2"/>
  <c r="J31" i="2" s="1"/>
  <c r="M31" i="2"/>
  <c r="N31" i="2"/>
  <c r="Q31" i="2"/>
  <c r="R31" i="2"/>
  <c r="F32" i="2"/>
  <c r="G32" i="2"/>
  <c r="I32" i="2" s="1"/>
  <c r="H32" i="2"/>
  <c r="J32" i="2"/>
  <c r="M32" i="2"/>
  <c r="N32" i="2"/>
  <c r="Q32" i="2"/>
  <c r="R32" i="2"/>
  <c r="F33" i="2"/>
  <c r="Q33" i="2" s="1"/>
  <c r="G33" i="2"/>
  <c r="H33" i="2"/>
  <c r="I33" i="2"/>
  <c r="J33" i="2"/>
  <c r="K33" i="2"/>
  <c r="L33" i="2"/>
  <c r="M33" i="2"/>
  <c r="N33" i="2"/>
  <c r="O33" i="2"/>
  <c r="P33" i="2"/>
  <c r="R33" i="2"/>
  <c r="F34" i="2"/>
  <c r="G34" i="2"/>
  <c r="H34" i="2"/>
  <c r="I34" i="2"/>
  <c r="J34" i="2"/>
  <c r="K34" i="2"/>
  <c r="P34" i="2" s="1"/>
  <c r="L34" i="2"/>
  <c r="M34" i="2"/>
  <c r="N34" i="2"/>
  <c r="O34" i="2"/>
  <c r="Q34" i="2"/>
  <c r="R34" i="2"/>
  <c r="F35" i="2"/>
  <c r="G35" i="2"/>
  <c r="H35" i="2"/>
  <c r="I35" i="2"/>
  <c r="J35" i="2"/>
  <c r="K35" i="2"/>
  <c r="O35" i="2" s="1"/>
  <c r="L35" i="2"/>
  <c r="M35" i="2"/>
  <c r="N35" i="2"/>
  <c r="Q35" i="2"/>
  <c r="R35" i="2"/>
  <c r="F36" i="2"/>
  <c r="Q36" i="2" s="1"/>
  <c r="G36" i="2"/>
  <c r="H36" i="2"/>
  <c r="I36" i="2"/>
  <c r="J36" i="2"/>
  <c r="K36" i="2"/>
  <c r="O36" i="2" s="1"/>
  <c r="L36" i="2"/>
  <c r="M36" i="2"/>
  <c r="N36" i="2"/>
  <c r="R36" i="2"/>
  <c r="F37" i="2"/>
  <c r="G37" i="2"/>
  <c r="H37" i="2"/>
  <c r="I37" i="2"/>
  <c r="J37" i="2"/>
  <c r="L37" i="2" s="1"/>
  <c r="K37" i="2"/>
  <c r="O37" i="2" s="1"/>
  <c r="M37" i="2"/>
  <c r="N37" i="2"/>
  <c r="Q37" i="2"/>
  <c r="R37" i="2"/>
  <c r="F38" i="2"/>
  <c r="Q38" i="2" s="1"/>
  <c r="G38" i="2"/>
  <c r="H38" i="2"/>
  <c r="I38" i="2"/>
  <c r="L38" i="2" s="1"/>
  <c r="J38" i="2"/>
  <c r="M38" i="2"/>
  <c r="N38" i="2"/>
  <c r="R38" i="2"/>
  <c r="F39" i="2"/>
  <c r="Q39" i="2" s="1"/>
  <c r="G39" i="2"/>
  <c r="H39" i="2"/>
  <c r="J39" i="2" s="1"/>
  <c r="I39" i="2"/>
  <c r="K39" i="2" s="1"/>
  <c r="M39" i="2"/>
  <c r="N39" i="2"/>
  <c r="R39" i="2"/>
  <c r="F40" i="2"/>
  <c r="G40" i="2"/>
  <c r="I40" i="2" s="1"/>
  <c r="H40" i="2"/>
  <c r="J40" i="2" s="1"/>
  <c r="M40" i="2"/>
  <c r="N40" i="2"/>
  <c r="Q40" i="2"/>
  <c r="R40" i="2"/>
  <c r="F41" i="2"/>
  <c r="Q41" i="2" s="1"/>
  <c r="G41" i="2"/>
  <c r="I41" i="2" s="1"/>
  <c r="H41" i="2"/>
  <c r="J41" i="2" s="1"/>
  <c r="M41" i="2"/>
  <c r="N41" i="2"/>
  <c r="R41" i="2"/>
  <c r="F42" i="2"/>
  <c r="R42" i="2" s="1"/>
  <c r="G42" i="2"/>
  <c r="I42" i="2" s="1"/>
  <c r="H42" i="2"/>
  <c r="J42" i="2" s="1"/>
  <c r="M42" i="2"/>
  <c r="N42" i="2"/>
  <c r="F43" i="2"/>
  <c r="G43" i="2"/>
  <c r="I43" i="2" s="1"/>
  <c r="H43" i="2"/>
  <c r="J43" i="2" s="1"/>
  <c r="M43" i="2"/>
  <c r="N43" i="2"/>
  <c r="Q43" i="2"/>
  <c r="R43" i="2"/>
  <c r="F44" i="2"/>
  <c r="G44" i="2"/>
  <c r="I44" i="2" s="1"/>
  <c r="H44" i="2"/>
  <c r="J44" i="2"/>
  <c r="M44" i="2"/>
  <c r="N44" i="2"/>
  <c r="Q44" i="2"/>
  <c r="R44" i="2"/>
  <c r="F45" i="2"/>
  <c r="Q45" i="2" s="1"/>
  <c r="G45" i="2"/>
  <c r="H45" i="2"/>
  <c r="I45" i="2"/>
  <c r="K45" i="2" s="1"/>
  <c r="J45" i="2"/>
  <c r="L45" i="2"/>
  <c r="M45" i="2"/>
  <c r="N45" i="2"/>
  <c r="R45" i="2"/>
  <c r="F46" i="2"/>
  <c r="G46" i="2"/>
  <c r="H46" i="2"/>
  <c r="J46" i="2" s="1"/>
  <c r="L46" i="2" s="1"/>
  <c r="I46" i="2"/>
  <c r="K46" i="2"/>
  <c r="P46" i="2" s="1"/>
  <c r="M46" i="2"/>
  <c r="N46" i="2"/>
  <c r="O46" i="2"/>
  <c r="Q46" i="2"/>
  <c r="R46" i="2"/>
  <c r="F47" i="2"/>
  <c r="G47" i="2"/>
  <c r="I47" i="2" s="1"/>
  <c r="H47" i="2"/>
  <c r="J47" i="2"/>
  <c r="M47" i="2"/>
  <c r="N47" i="2"/>
  <c r="Q47" i="2"/>
  <c r="R47" i="2"/>
  <c r="F48" i="2"/>
  <c r="Q48" i="2" s="1"/>
  <c r="G48" i="2"/>
  <c r="H48" i="2"/>
  <c r="I48" i="2"/>
  <c r="J48" i="2"/>
  <c r="K48" i="2"/>
  <c r="O48" i="2" s="1"/>
  <c r="L48" i="2"/>
  <c r="M48" i="2"/>
  <c r="N48" i="2"/>
  <c r="R48" i="2"/>
  <c r="F49" i="2"/>
  <c r="G49" i="2"/>
  <c r="H49" i="2"/>
  <c r="I49" i="2"/>
  <c r="J49" i="2"/>
  <c r="L49" i="2" s="1"/>
  <c r="K49" i="2"/>
  <c r="O49" i="2" s="1"/>
  <c r="M49" i="2"/>
  <c r="N49" i="2"/>
  <c r="Q49" i="2"/>
  <c r="R49" i="2"/>
  <c r="F50" i="2"/>
  <c r="Q50" i="2" s="1"/>
  <c r="G50" i="2"/>
  <c r="J50" i="2" s="1"/>
  <c r="H50" i="2"/>
  <c r="M50" i="2"/>
  <c r="N50" i="2"/>
  <c r="R50" i="2"/>
  <c r="J52" i="2" l="1"/>
  <c r="L52" i="2" s="1"/>
  <c r="T53" i="2"/>
  <c r="U53" i="2" s="1"/>
  <c r="T56" i="2"/>
  <c r="U56" i="2" s="1"/>
  <c r="I50" i="2"/>
  <c r="L50" i="2" s="1"/>
  <c r="T61" i="2"/>
  <c r="U61" i="2" s="1"/>
  <c r="T52" i="2"/>
  <c r="U52" i="2" s="1"/>
  <c r="T55" i="2"/>
  <c r="U55" i="2" s="1"/>
  <c r="M13" i="3" a="1"/>
  <c r="M13" i="3" s="1"/>
  <c r="I11" i="3" s="1"/>
  <c r="J11" i="3" s="1"/>
  <c r="M23" i="3" a="1"/>
  <c r="M23" i="3" s="1"/>
  <c r="M34" i="3" a="1"/>
  <c r="M34" i="3" s="1"/>
  <c r="M42" i="3" a="1"/>
  <c r="M42" i="3" s="1"/>
  <c r="T74" i="2"/>
  <c r="S74" i="2"/>
  <c r="T73" i="2"/>
  <c r="S73" i="2"/>
  <c r="T72" i="2"/>
  <c r="S72" i="2"/>
  <c r="T71" i="2"/>
  <c r="S71" i="2"/>
  <c r="T70" i="2"/>
  <c r="Y53" i="2" s="1"/>
  <c r="Z53" i="2" s="1"/>
  <c r="O58" i="2"/>
  <c r="P53" i="2"/>
  <c r="O53" i="2"/>
  <c r="K60" i="2"/>
  <c r="L60" i="2"/>
  <c r="K59" i="2"/>
  <c r="L59" i="2"/>
  <c r="K56" i="2"/>
  <c r="L56" i="2"/>
  <c r="O54" i="2"/>
  <c r="P54" i="2"/>
  <c r="K63" i="2"/>
  <c r="L63" i="2"/>
  <c r="L55" i="2"/>
  <c r="K55" i="2"/>
  <c r="K61" i="2"/>
  <c r="L61" i="2"/>
  <c r="K51" i="2"/>
  <c r="L51" i="2"/>
  <c r="P52" i="2"/>
  <c r="K57" i="2"/>
  <c r="R60" i="2"/>
  <c r="Q61" i="2"/>
  <c r="J61" i="2"/>
  <c r="L58" i="2"/>
  <c r="P58" i="2" s="1"/>
  <c r="T50" i="2"/>
  <c r="U50" i="2" s="1"/>
  <c r="T42" i="2"/>
  <c r="U42" i="2" s="1"/>
  <c r="T15" i="2"/>
  <c r="U15" i="2" s="1"/>
  <c r="T27" i="2"/>
  <c r="U27" i="2" s="1"/>
  <c r="T39" i="2"/>
  <c r="U39" i="2" s="1"/>
  <c r="T28" i="2"/>
  <c r="U28" i="2" s="1"/>
  <c r="T40" i="2"/>
  <c r="U40" i="2" s="1"/>
  <c r="T12" i="2"/>
  <c r="U12" i="2" s="1"/>
  <c r="T48" i="2"/>
  <c r="U48" i="2" s="1"/>
  <c r="T19" i="2"/>
  <c r="U19" i="2" s="1"/>
  <c r="T20" i="2"/>
  <c r="U20" i="2" s="1"/>
  <c r="T32" i="2"/>
  <c r="U32" i="2" s="1"/>
  <c r="T44" i="2"/>
  <c r="U44" i="2" s="1"/>
  <c r="T22" i="2"/>
  <c r="U22" i="2" s="1"/>
  <c r="T45" i="2"/>
  <c r="U45" i="2" s="1"/>
  <c r="T23" i="2"/>
  <c r="U23" i="2" s="1"/>
  <c r="T35" i="2"/>
  <c r="U35" i="2" s="1"/>
  <c r="T47" i="2"/>
  <c r="U47" i="2" s="1"/>
  <c r="J74" i="2"/>
  <c r="I74" i="2"/>
  <c r="J73" i="2"/>
  <c r="I73" i="2"/>
  <c r="J72" i="2"/>
  <c r="I72" i="2"/>
  <c r="J71" i="2"/>
  <c r="I71" i="2"/>
  <c r="J70" i="2"/>
  <c r="T13" i="2" s="1"/>
  <c r="U13" i="2" s="1"/>
  <c r="K40" i="2"/>
  <c r="L40" i="2"/>
  <c r="K16" i="2"/>
  <c r="L16" i="2"/>
  <c r="K18" i="2"/>
  <c r="L18" i="2"/>
  <c r="K41" i="2"/>
  <c r="L41" i="2"/>
  <c r="O39" i="2"/>
  <c r="P39" i="2"/>
  <c r="K43" i="2"/>
  <c r="L43" i="2"/>
  <c r="K32" i="2"/>
  <c r="L32" i="2"/>
  <c r="O45" i="2"/>
  <c r="P45" i="2"/>
  <c r="K30" i="2"/>
  <c r="L30" i="2"/>
  <c r="L47" i="2"/>
  <c r="K47" i="2"/>
  <c r="K28" i="2"/>
  <c r="L28" i="2"/>
  <c r="O27" i="2"/>
  <c r="P27" i="2"/>
  <c r="K17" i="2"/>
  <c r="L17" i="2"/>
  <c r="O15" i="2"/>
  <c r="P15" i="2"/>
  <c r="K31" i="2"/>
  <c r="L31" i="2"/>
  <c r="K20" i="2"/>
  <c r="L20" i="2"/>
  <c r="K19" i="2"/>
  <c r="L19" i="2"/>
  <c r="K8" i="2"/>
  <c r="L8" i="2"/>
  <c r="K29" i="2"/>
  <c r="L29" i="2"/>
  <c r="K44" i="2"/>
  <c r="L44" i="2"/>
  <c r="K42" i="2"/>
  <c r="L42" i="2"/>
  <c r="R18" i="2"/>
  <c r="K50" i="2"/>
  <c r="K38" i="2"/>
  <c r="K26" i="2"/>
  <c r="K14" i="2"/>
  <c r="P49" i="2"/>
  <c r="P37" i="2"/>
  <c r="P25" i="2"/>
  <c r="P13" i="2"/>
  <c r="P48" i="2"/>
  <c r="P36" i="2"/>
  <c r="P24" i="2"/>
  <c r="P12" i="2"/>
  <c r="Q42" i="2"/>
  <c r="L39" i="2"/>
  <c r="P35" i="2"/>
  <c r="L27" i="2"/>
  <c r="P23" i="2"/>
  <c r="L15" i="2"/>
  <c r="P11" i="2"/>
  <c r="Y62" i="2" l="1"/>
  <c r="Z62" i="2" s="1"/>
  <c r="Y55" i="2"/>
  <c r="Z55" i="2" s="1"/>
  <c r="Y41" i="2"/>
  <c r="Z41" i="2" s="1"/>
  <c r="Y51" i="2"/>
  <c r="Z51" i="2" s="1"/>
  <c r="Y59" i="2"/>
  <c r="Z59" i="2" s="1"/>
  <c r="Y34" i="2"/>
  <c r="Z34" i="2" s="1"/>
  <c r="Y37" i="2"/>
  <c r="Z37" i="2" s="1"/>
  <c r="Y63" i="2"/>
  <c r="Z63" i="2" s="1"/>
  <c r="Y56" i="2"/>
  <c r="Z56" i="2" s="1"/>
  <c r="Y54" i="2"/>
  <c r="Z54" i="2" s="1"/>
  <c r="T57" i="2"/>
  <c r="U57" i="2" s="1"/>
  <c r="T41" i="2"/>
  <c r="U41" i="2" s="1"/>
  <c r="T51" i="2"/>
  <c r="U51" i="2" s="1"/>
  <c r="Y58" i="2"/>
  <c r="Z58" i="2" s="1"/>
  <c r="Y57" i="2"/>
  <c r="Z57" i="2" s="1"/>
  <c r="T38" i="2"/>
  <c r="U38" i="2" s="1"/>
  <c r="Y52" i="2"/>
  <c r="Z52" i="2" s="1"/>
  <c r="T33" i="2"/>
  <c r="U33" i="2" s="1"/>
  <c r="T29" i="2"/>
  <c r="U29" i="2" s="1"/>
  <c r="T63" i="2"/>
  <c r="U63" i="2" s="1"/>
  <c r="T60" i="2"/>
  <c r="U60" i="2" s="1"/>
  <c r="T58" i="2"/>
  <c r="U58" i="2" s="1"/>
  <c r="T62" i="2"/>
  <c r="U62" i="2" s="1"/>
  <c r="T14" i="2"/>
  <c r="U14" i="2" s="1"/>
  <c r="T9" i="2"/>
  <c r="U9" i="2" s="1"/>
  <c r="T17" i="2"/>
  <c r="U17" i="2" s="1"/>
  <c r="T10" i="2"/>
  <c r="U10" i="2" s="1"/>
  <c r="Y61" i="2"/>
  <c r="Z61" i="2" s="1"/>
  <c r="Y60" i="2"/>
  <c r="Z60" i="2" s="1"/>
  <c r="T34" i="2"/>
  <c r="U34" i="2" s="1"/>
  <c r="T26" i="2"/>
  <c r="U26" i="2" s="1"/>
  <c r="T21" i="2"/>
  <c r="U21" i="2" s="1"/>
  <c r="T36" i="2"/>
  <c r="U36" i="2" s="1"/>
  <c r="T18" i="2"/>
  <c r="U18" i="2" s="1"/>
  <c r="T59" i="2"/>
  <c r="U59" i="2" s="1"/>
  <c r="T54" i="2"/>
  <c r="U54" i="2" s="1"/>
  <c r="I12" i="3"/>
  <c r="I14" i="3"/>
  <c r="I15" i="3"/>
  <c r="I16" i="3"/>
  <c r="I13" i="3"/>
  <c r="F4" i="3"/>
  <c r="I41" i="3"/>
  <c r="J41" i="3" s="1"/>
  <c r="I44" i="3"/>
  <c r="J44" i="3" s="1"/>
  <c r="I45" i="3"/>
  <c r="J45" i="3" s="1"/>
  <c r="I46" i="3"/>
  <c r="J46" i="3" s="1"/>
  <c r="I42" i="3"/>
  <c r="J42" i="3" s="1"/>
  <c r="I43" i="3"/>
  <c r="J43" i="3" s="1"/>
  <c r="I35" i="3"/>
  <c r="I32" i="3"/>
  <c r="I36" i="3"/>
  <c r="I31" i="3"/>
  <c r="J31" i="3" s="1"/>
  <c r="I33" i="3"/>
  <c r="I34" i="3"/>
  <c r="I25" i="3"/>
  <c r="I22" i="3"/>
  <c r="I21" i="3"/>
  <c r="J21" i="3" s="1"/>
  <c r="I26" i="3"/>
  <c r="I24" i="3"/>
  <c r="I23" i="3"/>
  <c r="F6" i="3"/>
  <c r="F3" i="3"/>
  <c r="F5" i="3"/>
  <c r="J16" i="3"/>
  <c r="J13" i="3"/>
  <c r="J15" i="3"/>
  <c r="J12" i="3"/>
  <c r="J14" i="3"/>
  <c r="Y30" i="2"/>
  <c r="Z30" i="2" s="1"/>
  <c r="Y49" i="2"/>
  <c r="Z49" i="2" s="1"/>
  <c r="Y43" i="2"/>
  <c r="Z43" i="2" s="1"/>
  <c r="Y31" i="2"/>
  <c r="Z31" i="2" s="1"/>
  <c r="Y36" i="2"/>
  <c r="Z36" i="2" s="1"/>
  <c r="Y39" i="2"/>
  <c r="Z39" i="2" s="1"/>
  <c r="Y24" i="2"/>
  <c r="Z24" i="2" s="1"/>
  <c r="Y32" i="2"/>
  <c r="Z32" i="2" s="1"/>
  <c r="Y27" i="2"/>
  <c r="Z27" i="2" s="1"/>
  <c r="Y47" i="2"/>
  <c r="Z47" i="2" s="1"/>
  <c r="Y45" i="2"/>
  <c r="Z45" i="2" s="1"/>
  <c r="Y50" i="2"/>
  <c r="Z50" i="2" s="1"/>
  <c r="Y35" i="2"/>
  <c r="Z35" i="2" s="1"/>
  <c r="Y40" i="2"/>
  <c r="Z40" i="2" s="1"/>
  <c r="Y25" i="2"/>
  <c r="Z25" i="2" s="1"/>
  <c r="Y28" i="2"/>
  <c r="Z28" i="2" s="1"/>
  <c r="Y33" i="2"/>
  <c r="Z33" i="2" s="1"/>
  <c r="Y23" i="2"/>
  <c r="Z23" i="2" s="1"/>
  <c r="Y22" i="2"/>
  <c r="Z22" i="2" s="1"/>
  <c r="Y26" i="2"/>
  <c r="Z26" i="2" s="1"/>
  <c r="Y46" i="2"/>
  <c r="Z46" i="2" s="1"/>
  <c r="Y29" i="2"/>
  <c r="Z29" i="2" s="1"/>
  <c r="Y48" i="2"/>
  <c r="Z48" i="2" s="1"/>
  <c r="Y38" i="2"/>
  <c r="Z38" i="2" s="1"/>
  <c r="Y42" i="2"/>
  <c r="Z42" i="2" s="1"/>
  <c r="Y44" i="2"/>
  <c r="Z44" i="2" s="1"/>
  <c r="O57" i="2"/>
  <c r="P57" i="2"/>
  <c r="O61" i="2"/>
  <c r="P61" i="2"/>
  <c r="O60" i="2"/>
  <c r="P60" i="2"/>
  <c r="O56" i="2"/>
  <c r="P56" i="2"/>
  <c r="O59" i="2"/>
  <c r="P59" i="2"/>
  <c r="O55" i="2"/>
  <c r="P55" i="2"/>
  <c r="P51" i="2"/>
  <c r="O51" i="2"/>
  <c r="O63" i="2"/>
  <c r="P63" i="2"/>
  <c r="T37" i="2"/>
  <c r="U37" i="2" s="1"/>
  <c r="T11" i="2"/>
  <c r="U11" i="2" s="1"/>
  <c r="T8" i="2"/>
  <c r="U8" i="2" s="1"/>
  <c r="T49" i="2"/>
  <c r="U49" i="2" s="1"/>
  <c r="T24" i="2"/>
  <c r="U24" i="2" s="1"/>
  <c r="T43" i="2"/>
  <c r="U43" i="2" s="1"/>
  <c r="T16" i="2"/>
  <c r="U16" i="2" s="1"/>
  <c r="T46" i="2"/>
  <c r="U46" i="2" s="1"/>
  <c r="T31" i="2"/>
  <c r="U31" i="2" s="1"/>
  <c r="T30" i="2"/>
  <c r="U30" i="2" s="1"/>
  <c r="T25" i="2"/>
  <c r="U25" i="2" s="1"/>
  <c r="O28" i="2"/>
  <c r="P28" i="2"/>
  <c r="O26" i="2"/>
  <c r="P26" i="2"/>
  <c r="O38" i="2"/>
  <c r="P38" i="2"/>
  <c r="P20" i="2"/>
  <c r="O20" i="2"/>
  <c r="O30" i="2"/>
  <c r="P30" i="2"/>
  <c r="O18" i="2"/>
  <c r="P18" i="2"/>
  <c r="P43" i="2"/>
  <c r="O43" i="2"/>
  <c r="O42" i="2"/>
  <c r="P42" i="2"/>
  <c r="O44" i="2"/>
  <c r="P44" i="2"/>
  <c r="O16" i="2"/>
  <c r="P16" i="2"/>
  <c r="O14" i="2"/>
  <c r="P14" i="2"/>
  <c r="O19" i="2"/>
  <c r="P19" i="2"/>
  <c r="O50" i="2"/>
  <c r="P50" i="2"/>
  <c r="O8" i="2"/>
  <c r="P8" i="2"/>
  <c r="O47" i="2"/>
  <c r="P47" i="2"/>
  <c r="O41" i="2"/>
  <c r="P41" i="2"/>
  <c r="O31" i="2"/>
  <c r="P31" i="2"/>
  <c r="O29" i="2"/>
  <c r="P29" i="2"/>
  <c r="O17" i="2"/>
  <c r="P17" i="2"/>
  <c r="P32" i="2"/>
  <c r="O32" i="2"/>
  <c r="O40" i="2"/>
  <c r="P40" i="2"/>
  <c r="I103" i="2" l="1" a="1"/>
  <c r="S103" i="2" a="1"/>
  <c r="J34" i="3"/>
  <c r="J36" i="3"/>
  <c r="J33" i="3"/>
  <c r="J35" i="3"/>
  <c r="J32" i="3"/>
  <c r="J22" i="3"/>
  <c r="J24" i="3"/>
  <c r="J26" i="3"/>
  <c r="J23" i="3"/>
  <c r="J25" i="3"/>
  <c r="S103" i="2" l="1"/>
  <c r="T106" i="2"/>
  <c r="S107" i="2"/>
  <c r="S104" i="2"/>
  <c r="S106" i="2"/>
  <c r="T104" i="2"/>
  <c r="T103" i="2"/>
  <c r="AA55" i="2" s="1"/>
  <c r="AB55" i="2" s="1"/>
  <c r="T107" i="2"/>
  <c r="T105" i="2"/>
  <c r="S105" i="2"/>
  <c r="I103" i="2"/>
  <c r="J103" i="2"/>
  <c r="V14" i="2" s="1"/>
  <c r="W14" i="2" s="1"/>
  <c r="J106" i="2"/>
  <c r="J107" i="2"/>
  <c r="I107" i="2"/>
  <c r="I105" i="2"/>
  <c r="J104" i="2"/>
  <c r="I104" i="2"/>
  <c r="I106" i="2"/>
  <c r="J105" i="2"/>
  <c r="S111" i="2"/>
  <c r="G3" i="2"/>
  <c r="H7" i="2"/>
  <c r="G7" i="2"/>
  <c r="V54" i="2" l="1"/>
  <c r="W54" i="2" s="1"/>
  <c r="V63" i="2"/>
  <c r="W63" i="2" s="1"/>
  <c r="V59" i="2"/>
  <c r="W59" i="2" s="1"/>
  <c r="V55" i="2"/>
  <c r="W55" i="2" s="1"/>
  <c r="V56" i="2"/>
  <c r="W56" i="2" s="1"/>
  <c r="V51" i="2"/>
  <c r="W51" i="2" s="1"/>
  <c r="V60" i="2"/>
  <c r="W60" i="2" s="1"/>
  <c r="V58" i="2"/>
  <c r="W58" i="2" s="1"/>
  <c r="V52" i="2"/>
  <c r="W52" i="2" s="1"/>
  <c r="V61" i="2"/>
  <c r="W61" i="2" s="1"/>
  <c r="V57" i="2"/>
  <c r="W57" i="2" s="1"/>
  <c r="V53" i="2"/>
  <c r="W53" i="2" s="1"/>
  <c r="V62" i="2"/>
  <c r="W62" i="2" s="1"/>
  <c r="V24" i="2"/>
  <c r="W24" i="2" s="1"/>
  <c r="V22" i="2"/>
  <c r="W22" i="2" s="1"/>
  <c r="V43" i="2"/>
  <c r="W43" i="2" s="1"/>
  <c r="V48" i="2"/>
  <c r="W48" i="2" s="1"/>
  <c r="V15" i="2"/>
  <c r="W15" i="2" s="1"/>
  <c r="V25" i="2"/>
  <c r="W25" i="2" s="1"/>
  <c r="V23" i="2"/>
  <c r="W23" i="2" s="1"/>
  <c r="V19" i="2"/>
  <c r="W19" i="2" s="1"/>
  <c r="V47" i="2"/>
  <c r="W47" i="2" s="1"/>
  <c r="V28" i="2"/>
  <c r="W28" i="2" s="1"/>
  <c r="V49" i="2"/>
  <c r="W49" i="2" s="1"/>
  <c r="V9" i="2"/>
  <c r="W9" i="2" s="1"/>
  <c r="V18" i="2"/>
  <c r="W18" i="2" s="1"/>
  <c r="V10" i="2"/>
  <c r="W10" i="2" s="1"/>
  <c r="V42" i="2"/>
  <c r="W42" i="2" s="1"/>
  <c r="V27" i="2"/>
  <c r="W27" i="2" s="1"/>
  <c r="V35" i="2"/>
  <c r="W35" i="2" s="1"/>
  <c r="V31" i="2"/>
  <c r="W31" i="2" s="1"/>
  <c r="V16" i="2"/>
  <c r="W16" i="2" s="1"/>
  <c r="V40" i="2"/>
  <c r="W40" i="2" s="1"/>
  <c r="V39" i="2"/>
  <c r="W39" i="2" s="1"/>
  <c r="V30" i="2"/>
  <c r="W30" i="2" s="1"/>
  <c r="V13" i="2"/>
  <c r="W13" i="2" s="1"/>
  <c r="V21" i="2"/>
  <c r="W21" i="2" s="1"/>
  <c r="V17" i="2"/>
  <c r="W17" i="2" s="1"/>
  <c r="V33" i="2"/>
  <c r="W33" i="2" s="1"/>
  <c r="V45" i="2"/>
  <c r="W45" i="2" s="1"/>
  <c r="V37" i="2"/>
  <c r="W37" i="2" s="1"/>
  <c r="V41" i="2"/>
  <c r="W41" i="2" s="1"/>
  <c r="V36" i="2"/>
  <c r="W36" i="2" s="1"/>
  <c r="V8" i="2"/>
  <c r="W8" i="2" s="1"/>
  <c r="V46" i="2"/>
  <c r="W46" i="2" s="1"/>
  <c r="V32" i="2"/>
  <c r="W32" i="2" s="1"/>
  <c r="V12" i="2"/>
  <c r="W12" i="2" s="1"/>
  <c r="V20" i="2"/>
  <c r="W20" i="2" s="1"/>
  <c r="V26" i="2"/>
  <c r="W26" i="2" s="1"/>
  <c r="V34" i="2"/>
  <c r="W34" i="2" s="1"/>
  <c r="V38" i="2"/>
  <c r="W38" i="2" s="1"/>
  <c r="V29" i="2"/>
  <c r="W29" i="2" s="1"/>
  <c r="V50" i="2"/>
  <c r="W50" i="2" s="1"/>
  <c r="V44" i="2"/>
  <c r="W44" i="2" s="1"/>
  <c r="V11" i="2"/>
  <c r="W11" i="2" s="1"/>
  <c r="AA45" i="2"/>
  <c r="AB45" i="2" s="1"/>
  <c r="AA25" i="2"/>
  <c r="AB25" i="2" s="1"/>
  <c r="AA63" i="2"/>
  <c r="AB63" i="2" s="1"/>
  <c r="AA23" i="2"/>
  <c r="AB23" i="2" s="1"/>
  <c r="AA47" i="2"/>
  <c r="AB47" i="2" s="1"/>
  <c r="AA51" i="2"/>
  <c r="AB51" i="2" s="1"/>
  <c r="AA60" i="2"/>
  <c r="AB60" i="2" s="1"/>
  <c r="AA33" i="2"/>
  <c r="AB33" i="2" s="1"/>
  <c r="AA40" i="2"/>
  <c r="AB40" i="2" s="1"/>
  <c r="AA56" i="2"/>
  <c r="AB56" i="2" s="1"/>
  <c r="AA37" i="2"/>
  <c r="AB37" i="2" s="1"/>
  <c r="AA29" i="2"/>
  <c r="AB29" i="2" s="1"/>
  <c r="AA35" i="2"/>
  <c r="AB35" i="2" s="1"/>
  <c r="AA50" i="2"/>
  <c r="AB50" i="2" s="1"/>
  <c r="AA34" i="2"/>
  <c r="AB34" i="2" s="1"/>
  <c r="AA62" i="2"/>
  <c r="AB62" i="2" s="1"/>
  <c r="AA41" i="2"/>
  <c r="AB41" i="2" s="1"/>
  <c r="AA30" i="2"/>
  <c r="AB30" i="2" s="1"/>
  <c r="AA36" i="2"/>
  <c r="AB36" i="2" s="1"/>
  <c r="AA48" i="2"/>
  <c r="AB48" i="2" s="1"/>
  <c r="AA57" i="2"/>
  <c r="AB57" i="2" s="1"/>
  <c r="AA46" i="2"/>
  <c r="AB46" i="2" s="1"/>
  <c r="AA26" i="2"/>
  <c r="AB26" i="2" s="1"/>
  <c r="AA38" i="2"/>
  <c r="AB38" i="2" s="1"/>
  <c r="AA28" i="2"/>
  <c r="AB28" i="2" s="1"/>
  <c r="AA32" i="2"/>
  <c r="AB32" i="2" s="1"/>
  <c r="AA42" i="2"/>
  <c r="AB42" i="2" s="1"/>
  <c r="AA58" i="2"/>
  <c r="AB58" i="2" s="1"/>
  <c r="AA44" i="2"/>
  <c r="AB44" i="2" s="1"/>
  <c r="AA24" i="2"/>
  <c r="AB24" i="2" s="1"/>
  <c r="AA27" i="2"/>
  <c r="AB27" i="2" s="1"/>
  <c r="AA39" i="2"/>
  <c r="AB39" i="2" s="1"/>
  <c r="AA22" i="2"/>
  <c r="AB22" i="2" s="1"/>
  <c r="AA59" i="2"/>
  <c r="AB59" i="2" s="1"/>
  <c r="AA54" i="2"/>
  <c r="AB54" i="2" s="1"/>
  <c r="AA53" i="2"/>
  <c r="AB53" i="2" s="1"/>
  <c r="AA52" i="2"/>
  <c r="AB52" i="2" s="1"/>
  <c r="AA31" i="2"/>
  <c r="AB31" i="2" s="1"/>
  <c r="AA43" i="2"/>
  <c r="AB43" i="2" s="1"/>
  <c r="AA61" i="2"/>
  <c r="AB61" i="2" s="1"/>
  <c r="AA49" i="2"/>
  <c r="AB49" i="2" s="1"/>
  <c r="Z76" i="2"/>
  <c r="Z77" i="2"/>
  <c r="Z78" i="2"/>
  <c r="Z79" i="2"/>
  <c r="Z75" i="2"/>
  <c r="N7" i="2"/>
  <c r="C4" i="1"/>
  <c r="C5" i="1"/>
  <c r="H20" i="1"/>
  <c r="H21" i="1"/>
  <c r="H22" i="1"/>
  <c r="H23" i="1"/>
  <c r="H24" i="1"/>
  <c r="H29" i="1"/>
  <c r="H30" i="1"/>
  <c r="H31" i="1"/>
  <c r="H32" i="1"/>
  <c r="H33" i="1"/>
  <c r="H38" i="1"/>
  <c r="H39" i="1"/>
  <c r="H40" i="1"/>
  <c r="H41" i="1"/>
  <c r="H42" i="1"/>
  <c r="M7" i="2"/>
  <c r="D33" i="1"/>
  <c r="D39" i="1"/>
  <c r="D40" i="1"/>
  <c r="D41" i="1"/>
  <c r="D42" i="1"/>
  <c r="D30" i="1"/>
  <c r="D31" i="1"/>
  <c r="D32" i="1"/>
  <c r="D38" i="1"/>
  <c r="D29" i="1"/>
  <c r="D21" i="1"/>
  <c r="D22" i="1"/>
  <c r="D23" i="1"/>
  <c r="D24" i="1"/>
  <c r="D20" i="1"/>
  <c r="D12" i="1"/>
  <c r="D13" i="1"/>
  <c r="D14" i="1"/>
  <c r="D15" i="1"/>
  <c r="E14" i="1" s="1" a="1"/>
  <c r="E14" i="1" s="1"/>
  <c r="D11" i="1"/>
  <c r="E11" i="1" s="1" a="1"/>
  <c r="E11" i="1" s="1"/>
  <c r="H15" i="1"/>
  <c r="H14" i="1"/>
  <c r="H13" i="1"/>
  <c r="H12" i="1"/>
  <c r="H11" i="1"/>
  <c r="I111" i="2"/>
  <c r="F7" i="2"/>
  <c r="Q7" i="2" s="1"/>
  <c r="AD74" i="2" l="1" a="1"/>
  <c r="AD75" i="2" s="1"/>
  <c r="D3" i="2" s="1"/>
  <c r="R7" i="2"/>
  <c r="E23" i="1" a="1"/>
  <c r="E23" i="1" s="1"/>
  <c r="E40" i="1" a="1"/>
  <c r="E40" i="1" s="1"/>
  <c r="E20" i="1" a="1"/>
  <c r="E20" i="1" s="1"/>
  <c r="E29" i="1" a="1"/>
  <c r="E29" i="1" s="1"/>
  <c r="E38" i="1" a="1"/>
  <c r="E38" i="1" s="1"/>
  <c r="E31" i="1" a="1"/>
  <c r="E31" i="1" s="1"/>
  <c r="AD76" i="2" l="1"/>
  <c r="AE76" i="2"/>
  <c r="AD74" i="2"/>
  <c r="D2" i="2" s="1"/>
  <c r="AE74" i="2"/>
  <c r="AE75" i="2"/>
  <c r="F20" i="1" a="1"/>
  <c r="F20" i="1" s="1"/>
  <c r="M19" i="1" s="1" a="1"/>
  <c r="M19" i="1" s="1"/>
  <c r="I20" i="1" s="1" a="1"/>
  <c r="J24" i="1" s="1"/>
  <c r="F38" i="1" a="1"/>
  <c r="F38" i="1" s="1"/>
  <c r="M37" i="1" s="1" a="1"/>
  <c r="M37" i="1" s="1"/>
  <c r="I38" i="1" s="1" a="1"/>
  <c r="J40" i="1" s="1"/>
  <c r="F11" i="1" a="1"/>
  <c r="F11" i="1" s="1"/>
  <c r="M10" i="1" s="1" a="1"/>
  <c r="M10" i="1" s="1"/>
  <c r="I11" i="1" s="1" a="1"/>
  <c r="I11" i="1" s="1"/>
  <c r="F29" i="1" a="1"/>
  <c r="F29" i="1" s="1"/>
  <c r="M28" i="1" s="1" a="1"/>
  <c r="M28" i="1" s="1"/>
  <c r="I7" i="2" l="1"/>
  <c r="K7" i="2" s="1"/>
  <c r="O7" i="2" s="1"/>
  <c r="J7" i="2"/>
  <c r="D4" i="2"/>
  <c r="T7" i="2"/>
  <c r="U7" i="2" s="1"/>
  <c r="J23" i="1"/>
  <c r="J21" i="1"/>
  <c r="I20" i="1"/>
  <c r="J20" i="1" s="1"/>
  <c r="J22" i="1"/>
  <c r="J42" i="1"/>
  <c r="J41" i="1"/>
  <c r="I38" i="1"/>
  <c r="J38" i="1" s="1"/>
  <c r="J39" i="1"/>
  <c r="F6" i="1"/>
  <c r="F3" i="1"/>
  <c r="F4" i="1"/>
  <c r="F5" i="1"/>
  <c r="I29" i="1" a="1"/>
  <c r="I29" i="1" s="1"/>
  <c r="J29" i="1" s="1"/>
  <c r="L7" i="2" l="1"/>
  <c r="P7" i="2" s="1"/>
  <c r="J15" i="1"/>
  <c r="J12" i="1"/>
  <c r="J14" i="1"/>
  <c r="J13" i="1"/>
  <c r="J11" i="1"/>
  <c r="J31" i="1"/>
  <c r="J30" i="1"/>
  <c r="J33" i="1"/>
  <c r="J32" i="1"/>
  <c r="S113" i="2" l="1"/>
  <c r="I113" i="2"/>
  <c r="S112" i="2" l="1"/>
  <c r="S115" i="2" s="1"/>
  <c r="S114" i="2"/>
  <c r="V7" i="2"/>
  <c r="W7" i="2" s="1"/>
  <c r="I112" i="2"/>
  <c r="I115" i="2" s="1"/>
  <c r="I1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<sst xmlns="http://schemas.openxmlformats.org/spreadsheetml/2006/main" count="293" uniqueCount="78">
  <si>
    <t>Posição do alimentador</t>
  </si>
  <si>
    <t>R(Ω)</t>
  </si>
  <si>
    <t>m</t>
  </si>
  <si>
    <t>s(m)</t>
  </si>
  <si>
    <t>r²</t>
  </si>
  <si>
    <t>b</t>
  </si>
  <si>
    <t>s(b)</t>
  </si>
  <si>
    <t>s(y)</t>
  </si>
  <si>
    <t>Resíduos (V)</t>
  </si>
  <si>
    <t>Vs (mV)</t>
  </si>
  <si>
    <t>Vs (V)</t>
  </si>
  <si>
    <t>log(T)</t>
  </si>
  <si>
    <t>Vs ajuste (V)</t>
  </si>
  <si>
    <t>u(R(Ω))</t>
  </si>
  <si>
    <t>P(W)</t>
  </si>
  <si>
    <t>u(P(W))</t>
  </si>
  <si>
    <t>I(A)</t>
  </si>
  <si>
    <t>log (Vs)</t>
  </si>
  <si>
    <t>u(log (Vs))</t>
  </si>
  <si>
    <t>log (Vs) aj</t>
  </si>
  <si>
    <r>
      <t>T</t>
    </r>
    <r>
      <rPr>
        <b/>
        <vertAlign val="superscript"/>
        <sz val="12"/>
        <color theme="1"/>
        <rFont val="Calibri (corpo)"/>
      </rPr>
      <t>4</t>
    </r>
    <r>
      <rPr>
        <b/>
        <sz val="12"/>
        <color theme="1"/>
        <rFont val="Calibri"/>
        <family val="2"/>
        <scheme val="minor"/>
      </rPr>
      <t xml:space="preserve"> (K</t>
    </r>
    <r>
      <rPr>
        <b/>
        <vertAlign val="superscript"/>
        <sz val="12"/>
        <color theme="1"/>
        <rFont val="Calibri (corpo)"/>
      </rPr>
      <t>4</t>
    </r>
    <r>
      <rPr>
        <b/>
        <sz val="12"/>
        <color theme="1"/>
        <rFont val="Calibri (corpo)"/>
      </rPr>
      <t>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</si>
  <si>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metalizada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</si>
  <si>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metalizada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</si>
  <si>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aj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</si>
  <si>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baça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</si>
  <si>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baça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</si>
  <si>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branca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</si>
  <si>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branca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</si>
  <si>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preta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</si>
  <si>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preta (V)</t>
    </r>
  </si>
  <si>
    <t>u(Vs(V))</t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</si>
  <si>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preta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</si>
  <si>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branca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</si>
  <si>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baça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</si>
  <si>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metalizada</t>
    </r>
  </si>
  <si>
    <r>
      <t>u(R/R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</t>
    </r>
  </si>
  <si>
    <r>
      <t>R/R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</si>
  <si>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 xml:space="preserve"> (Ω)</t>
    </r>
  </si>
  <si>
    <r>
      <t>u(R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 (Ω)</t>
    </r>
  </si>
  <si>
    <r>
      <t>u(R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 (%)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</si>
  <si>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teórico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</si>
  <si>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obtido</t>
    </r>
  </si>
  <si>
    <r>
      <t>u(m</t>
    </r>
    <r>
      <rPr>
        <b/>
        <vertAlign val="subscript"/>
        <sz val="11"/>
        <color theme="1"/>
        <rFont val="Calibri"/>
        <family val="2"/>
        <scheme val="minor"/>
      </rPr>
      <t>obtido</t>
    </r>
    <r>
      <rPr>
        <b/>
        <sz val="11"/>
        <color theme="1"/>
        <rFont val="Calibri"/>
        <family val="2"/>
        <scheme val="minor"/>
      </rPr>
      <t>)</t>
    </r>
  </si>
  <si>
    <r>
      <t>u(m</t>
    </r>
    <r>
      <rPr>
        <b/>
        <vertAlign val="subscript"/>
        <sz val="11"/>
        <color theme="1"/>
        <rFont val="Calibri"/>
        <family val="2"/>
        <scheme val="minor"/>
      </rPr>
      <t>obtido</t>
    </r>
    <r>
      <rPr>
        <b/>
        <sz val="11"/>
        <color theme="1"/>
        <rFont val="Calibri"/>
        <family val="2"/>
        <scheme val="minor"/>
      </rPr>
      <t>) (%)</t>
    </r>
  </si>
  <si>
    <t>erro (%)</t>
  </si>
  <si>
    <r>
      <t>V</t>
    </r>
    <r>
      <rPr>
        <b/>
        <sz val="11"/>
        <color theme="1"/>
        <rFont val="Calibri"/>
        <family val="2"/>
      </rPr>
      <t xml:space="preserve"> (V)</t>
    </r>
  </si>
  <si>
    <t>HIGH</t>
  </si>
  <si>
    <t>R(KΩ)</t>
  </si>
  <si>
    <t>Resíduos log (Vs)</t>
  </si>
  <si>
    <t>u(R(kΩ))</t>
  </si>
  <si>
    <r>
      <t>T (°C</t>
    </r>
    <r>
      <rPr>
        <b/>
        <sz val="12"/>
        <color theme="1"/>
        <rFont val="Calibri (corpo)"/>
      </rPr>
      <t>)</t>
    </r>
  </si>
  <si>
    <t>u(I) (A)</t>
  </si>
  <si>
    <t>u(V) (V)</t>
  </si>
  <si>
    <t>resíduos Vs (V)</t>
  </si>
  <si>
    <t>T(K)</t>
  </si>
  <si>
    <t xml:space="preserve">R amb </t>
  </si>
  <si>
    <t>400-700</t>
  </si>
  <si>
    <t>2 mV + 0,001</t>
  </si>
  <si>
    <t>R. Amb</t>
  </si>
  <si>
    <t>V</t>
  </si>
  <si>
    <t>I</t>
  </si>
  <si>
    <t>mV</t>
  </si>
  <si>
    <t>Reg. Lin da R amb</t>
  </si>
  <si>
    <t>Regressão Linear Vs(P)</t>
  </si>
  <si>
    <t>Regressão Linear log(Vs)(log(T))</t>
  </si>
  <si>
    <t>u (Vs) (V)</t>
  </si>
  <si>
    <t>u(log(T))</t>
  </si>
  <si>
    <t>u (T) (K)</t>
  </si>
  <si>
    <t>Com todos os pontos</t>
  </si>
  <si>
    <t>//</t>
  </si>
  <si>
    <t>Com os últimos 5 pontos</t>
  </si>
  <si>
    <t>Arrefecimento</t>
  </si>
  <si>
    <t>20mv</t>
  </si>
  <si>
    <t>Face Branca</t>
  </si>
  <si>
    <t>Face Preta</t>
  </si>
  <si>
    <t>Face Baça</t>
  </si>
  <si>
    <t>Face Metalizada</t>
  </si>
  <si>
    <t xml:space="preserve">Dados Pilar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</si>
</sst>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00"/>
    <numFmt numFmtId="166" formatCode="0.0"/>
    <numFmt numFmtId="167" formatCode="0.000000"/>
    <numFmt numFmtId="168" formatCode="0.0000"/>
    <numFmt numFmtId="169" formatCode="0.000E+00"/>
    <numFmt numFmtId="170" formatCode="0.0E+00"/>
    <numFmt numFmtId="171" formatCode="0E+00"/>
    <numFmt numFmtId="172" formatCode="0.0000000"/>
  </numFmts>
  <fonts count="10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2"/>
      <color theme="1"/>
      <name val="Calibri (corpo)"/>
    </font>
    <font>
      <b/>
      <sz val="12"/>
      <color theme="1"/>
      <name val="Calibri (corpo)"/>
    </font>
    <font>
      <b/>
      <vertAlign val="subscript"/>
      <sz val="12"/>
      <color theme="1"/>
      <name val="Calibri (corpo)"/>
    </font>
    <font>
      <b/>
      <sz val="11"/>
      <color theme="1"/>
      <name val="Calibri"/>
      <family val="2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2" fontId="0" fillId="0" borderId="0" xfId="0" applyNumberFormat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1" fontId="0" fillId="0" borderId="0" xfId="0" applyNumberFormat="1" applyAlignment="1">
      <alignment horizontal="center" vertical="center"/>
    </xf>
    <xf numFmtId="171" fontId="0" fillId="0" borderId="0" xfId="0" applyNumberFormat="1"/>
    <xf numFmtId="16" fontId="0" fillId="0" borderId="0" xfId="0" applyNumberFormat="1"/>
    <xf numFmtId="2" fontId="0" fillId="0" borderId="0" xfId="0" applyNumberFormat="1"/>
    <xf numFmtId="166" fontId="0" fillId="0" borderId="0" xfId="0" applyNumberFormat="1"/>
    <xf numFmtId="11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5" borderId="0" xfId="0" applyFill="1"/>
    <xf numFmtId="164" fontId="0" fillId="5" borderId="1" xfId="0" applyNumberForma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72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3907671536573"/>
          <c:y val="5.0603529496569141E-2"/>
          <c:w val="0.8108431525031502"/>
          <c:h val="0.78157425764113497"/>
        </c:manualLayout>
      </c:layout>
      <c:scatterChart>
        <c:scatterStyle val="lineMarker"/>
        <c:varyColors val="0"/>
        <c:ser>
          <c:idx val="0"/>
          <c:order val="0"/>
          <c:tx>
            <c:v>F. Preta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1'!$H$11:$H$15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E-5843-8AAE-7954534DC3CD}"/>
            </c:ext>
          </c:extLst>
        </c:ser>
        <c:ser>
          <c:idx val="4"/>
          <c:order val="1"/>
          <c:tx>
            <c:v>F. Preta aj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1'!$I$11:$I$15</c:f>
              <c:numCache>
                <c:formatCode>0.00E+00</c:formatCode>
                <c:ptCount val="5"/>
                <c:pt idx="0">
                  <c:v>4.0274133529912236E-3</c:v>
                </c:pt>
                <c:pt idx="1">
                  <c:v>2.2792237610330347E-3</c:v>
                </c:pt>
                <c:pt idx="2">
                  <c:v>2.2792237610330347E-3</c:v>
                </c:pt>
                <c:pt idx="3">
                  <c:v>9.9124724105775254E-5</c:v>
                </c:pt>
                <c:pt idx="4">
                  <c:v>3.0650144008369348E-3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B3E-5843-8AAE-7954534DC3CD}"/>
            </c:ext>
          </c:extLst>
        </c:ser>
        <c:ser>
          <c:idx val="1"/>
          <c:order val="2"/>
          <c:tx>
            <c:v>F. branca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1'!$H$20:$H$24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1.1476000000000002E-2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3E-5843-8AAE-7954534DC3CD}"/>
            </c:ext>
          </c:extLst>
        </c:ser>
        <c:ser>
          <c:idx val="5"/>
          <c:order val="3"/>
          <c:tx>
            <c:v>F. Branca aj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1'!$I$20:$I$24</c:f>
              <c:numCache>
                <c:formatCode>0.00E+00</c:formatCode>
                <c:ptCount val="5"/>
                <c:pt idx="0">
                  <c:v>2.9796986346098163E-3</c:v>
                </c:pt>
                <c:pt idx="1">
                  <c:v>2.9796986346098163E-3</c:v>
                </c:pt>
                <c:pt idx="2">
                  <c:v>2.9796986346098163E-3</c:v>
                </c:pt>
                <c:pt idx="3">
                  <c:v>-2.3638711626047908E-3</c:v>
                </c:pt>
                <c:pt idx="4">
                  <c:v>4.9007752587753514E-3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B3E-5843-8AAE-7954534DC3CD}"/>
            </c:ext>
          </c:extLst>
        </c:ser>
        <c:ser>
          <c:idx val="2"/>
          <c:order val="4"/>
          <c:tx>
            <c:v>F. Baça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1'!$H$29:$H$33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5.1370000000000001E-3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3E-5843-8AAE-7954534DC3CD}"/>
            </c:ext>
          </c:extLst>
        </c:ser>
        <c:ser>
          <c:idx val="6"/>
          <c:order val="5"/>
          <c:tx>
            <c:v>F. Baça aj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1'!$I$29:$I$33</c:f>
              <c:numCache>
                <c:formatCode>0.00E+00</c:formatCode>
                <c:ptCount val="5"/>
                <c:pt idx="0">
                  <c:v>1.7564481320568011E-3</c:v>
                </c:pt>
                <c:pt idx="1">
                  <c:v>1.7564481320568011E-3</c:v>
                </c:pt>
                <c:pt idx="2">
                  <c:v>-4.6181201992106981E-4</c:v>
                </c:pt>
                <c:pt idx="3">
                  <c:v>-4.6181201992106981E-4</c:v>
                </c:pt>
                <c:pt idx="4">
                  <c:v>2.5477277757285292E-3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B3E-5843-8AAE-7954534DC3CD}"/>
            </c:ext>
          </c:extLst>
        </c:ser>
        <c:ser>
          <c:idx val="3"/>
          <c:order val="6"/>
          <c:tx>
            <c:v>F. Metalizada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1'!$H$38:$H$42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3E-5843-8AAE-7954534DC3CD}"/>
            </c:ext>
          </c:extLst>
        </c:ser>
        <c:ser>
          <c:idx val="7"/>
          <c:order val="7"/>
          <c:tx>
            <c:v>F. Metalizada aj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1'!$I$38:$I$42</c:f>
              <c:numCache>
                <c:formatCode>0.00E+00</c:formatCode>
                <c:ptCount val="5"/>
                <c:pt idx="0">
                  <c:v>5.9967117793747831E-4</c:v>
                </c:pt>
                <c:pt idx="1">
                  <c:v>5.9967117793747831E-4</c:v>
                </c:pt>
                <c:pt idx="2">
                  <c:v>-1.5643148425078233E-4</c:v>
                </c:pt>
                <c:pt idx="3">
                  <c:v>-1.5643148425078233E-4</c:v>
                </c:pt>
                <c:pt idx="4">
                  <c:v>8.6652061262660653E-4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B3E-5843-8AAE-7954534D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86783"/>
        <c:axId val="406588415"/>
      </c:scatterChart>
      <c:valAx>
        <c:axId val="406586783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</a:t>
                </a:r>
                <a:r>
                  <a:rPr lang="pt-PT" baseline="30000"/>
                  <a:t>4</a:t>
                </a:r>
                <a:r>
                  <a:rPr lang="pt-PT"/>
                  <a:t> (K</a:t>
                </a:r>
                <a:r>
                  <a:rPr lang="pt-PT" baseline="30000"/>
                  <a:t>4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88415"/>
        <c:crossesAt val="-90"/>
        <c:crossBetween val="midCat"/>
        <c:majorUnit val="1000000000"/>
      </c:valAx>
      <c:valAx>
        <c:axId val="40658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S </a:t>
                </a:r>
                <a:r>
                  <a:rPr lang="pt-PT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8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00523926361346"/>
          <c:y val="6.1093373602272322E-2"/>
          <c:w val="0.16709326880128506"/>
          <c:h val="0.4795363703025338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5494264643704"/>
          <c:y val="5.6121565591512178E-2"/>
          <c:w val="0.75895954666921273"/>
          <c:h val="0.80266118245567919"/>
        </c:manualLayout>
      </c:layout>
      <c:scatterChart>
        <c:scatterStyle val="lineMarker"/>
        <c:varyColors val="0"/>
        <c:ser>
          <c:idx val="0"/>
          <c:order val="0"/>
          <c:tx>
            <c:v>Res. Preta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1'!$J$11:$J$15</c:f>
              <c:numCache>
                <c:formatCode>0E+00</c:formatCode>
                <c:ptCount val="5"/>
                <c:pt idx="0">
                  <c:v>4.0274133529912236E-3</c:v>
                </c:pt>
                <c:pt idx="1">
                  <c:v>2.2792237610330347E-3</c:v>
                </c:pt>
                <c:pt idx="2">
                  <c:v>2.2792237610330347E-3</c:v>
                </c:pt>
                <c:pt idx="3">
                  <c:v>9.9124724105775254E-5</c:v>
                </c:pt>
                <c:pt idx="4">
                  <c:v>-8.6849855991630656E-3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D-D040-BDC8-C0F21843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227695"/>
        <c:axId val="1386412111"/>
      </c:scatterChart>
      <c:valAx>
        <c:axId val="1258227695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12111"/>
        <c:crossesAt val="-90"/>
        <c:crossBetween val="midCat"/>
        <c:majorUnit val="1000000000"/>
      </c:valAx>
      <c:valAx>
        <c:axId val="13864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22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37679816770753"/>
          <c:y val="7.9537535751394259E-2"/>
          <c:w val="0.13874258343352078"/>
          <c:h val="7.356354990171588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0"/>
          <c:order val="0"/>
          <c:tx>
            <c:v>Res. Branca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1'!$J$20:$J$24</c:f>
              <c:numCache>
                <c:formatCode>0E+00</c:formatCode>
                <c:ptCount val="5"/>
                <c:pt idx="0">
                  <c:v>2.9796986346098163E-3</c:v>
                </c:pt>
                <c:pt idx="1">
                  <c:v>2.9796986346098163E-3</c:v>
                </c:pt>
                <c:pt idx="2">
                  <c:v>2.9796986346098163E-3</c:v>
                </c:pt>
                <c:pt idx="3">
                  <c:v>-2.3638711626047908E-3</c:v>
                </c:pt>
                <c:pt idx="4">
                  <c:v>-6.5752247412246504E-3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6-F146-884C-0C375368C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85368329871548"/>
          <c:y val="0.76033683276199793"/>
          <c:w val="0.15130193316729443"/>
          <c:h val="7.495860259576506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1"/>
          <c:order val="0"/>
          <c:tx>
            <c:v>Res. Baça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1'!$J$29:$J$33</c:f>
              <c:numCache>
                <c:formatCode>0E+00</c:formatCode>
                <c:ptCount val="5"/>
                <c:pt idx="0">
                  <c:v>1.7564481320568011E-3</c:v>
                </c:pt>
                <c:pt idx="1">
                  <c:v>1.7564481320568011E-3</c:v>
                </c:pt>
                <c:pt idx="2">
                  <c:v>-4.6181201992106981E-4</c:v>
                </c:pt>
                <c:pt idx="3">
                  <c:v>-4.6181201992106981E-4</c:v>
                </c:pt>
                <c:pt idx="4">
                  <c:v>-2.5892722242714709E-3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A-7F4D-B360-5CB748982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887432331747681"/>
          <c:y val="0.7429592848396861"/>
          <c:w val="0.16578675610438653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2"/>
          <c:order val="0"/>
          <c:tx>
            <c:v>Res. Metalizada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1'!$J$38:$J$42</c:f>
              <c:numCache>
                <c:formatCode>0E+00</c:formatCode>
                <c:ptCount val="5"/>
                <c:pt idx="0">
                  <c:v>5.9967117793747831E-4</c:v>
                </c:pt>
                <c:pt idx="1">
                  <c:v>5.9967117793747831E-4</c:v>
                </c:pt>
                <c:pt idx="2">
                  <c:v>-1.5643148425078233E-4</c:v>
                </c:pt>
                <c:pt idx="3">
                  <c:v>-1.5643148425078233E-4</c:v>
                </c:pt>
                <c:pt idx="4">
                  <c:v>-8.8647938737339347E-4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1B-5C4B-B86E-8274C59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103796724239919"/>
          <c:y val="9.3367444639341865E-2"/>
          <c:w val="0.20930702277954055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3907671536573"/>
          <c:y val="5.0603529496569141E-2"/>
          <c:w val="0.8108431525031502"/>
          <c:h val="0.78157425764113497"/>
        </c:manualLayout>
      </c:layout>
      <c:scatterChart>
        <c:scatterStyle val="lineMarker"/>
        <c:varyColors val="0"/>
        <c:ser>
          <c:idx val="0"/>
          <c:order val="0"/>
          <c:tx>
            <c:v>F. Preta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'[1]Parte 1'!$F$12:$F$16</c:f>
              <c:numCache>
                <c:formatCode>0.00E+00</c:formatCode>
                <c:ptCount val="5"/>
                <c:pt idx="0">
                  <c:v>13142727961.904379</c:v>
                </c:pt>
                <c:pt idx="1">
                  <c:v>14601507201.905622</c:v>
                </c:pt>
                <c:pt idx="2">
                  <c:v>15530054682.161085</c:v>
                </c:pt>
                <c:pt idx="3">
                  <c:v>16989425427.95402</c:v>
                </c:pt>
                <c:pt idx="4">
                  <c:v>18602812972.712791</c:v>
                </c:pt>
              </c:numCache>
            </c:numRef>
          </c:xVal>
          <c:yVal>
            <c:numRef>
              <c:f>'[1]Parte 1'!$H$12:$H$16</c:f>
              <c:numCache>
                <c:formatCode>0.00E+00</c:formatCode>
                <c:ptCount val="5"/>
                <c:pt idx="0">
                  <c:v>3.6900000000000001E-3</c:v>
                </c:pt>
                <c:pt idx="1">
                  <c:v>5.1200000000000004E-3</c:v>
                </c:pt>
                <c:pt idx="2">
                  <c:v>6.2500000000000003E-3</c:v>
                </c:pt>
                <c:pt idx="3">
                  <c:v>7.3000000000000001E-3</c:v>
                </c:pt>
                <c:pt idx="4">
                  <c:v>8.9600000000000009E-3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6B-4E20-A63A-AF765136279A}"/>
            </c:ext>
          </c:extLst>
        </c:ser>
        <c:ser>
          <c:idx val="4"/>
          <c:order val="1"/>
          <c:tx>
            <c:v>F. Preta aj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'[1]Parte 1'!$F$12:$F$16</c:f>
              <c:numCache>
                <c:formatCode>0.00E+00</c:formatCode>
                <c:ptCount val="5"/>
                <c:pt idx="0">
                  <c:v>13142727961.904379</c:v>
                </c:pt>
                <c:pt idx="1">
                  <c:v>14601507201.905622</c:v>
                </c:pt>
                <c:pt idx="2">
                  <c:v>15530054682.161085</c:v>
                </c:pt>
                <c:pt idx="3">
                  <c:v>16989425427.95402</c:v>
                </c:pt>
                <c:pt idx="4">
                  <c:v>18602812972.712791</c:v>
                </c:pt>
              </c:numCache>
            </c:numRef>
          </c:xVal>
          <c:yVal>
            <c:numRef>
              <c:f>'[1]Parte 1'!$I$12:$I$16</c:f>
              <c:numCache>
                <c:formatCode>0.00E+00</c:formatCode>
                <c:ptCount val="5"/>
                <c:pt idx="0">
                  <c:v>3.7564145031781845E-3</c:v>
                </c:pt>
                <c:pt idx="1">
                  <c:v>5.1469887799923016E-3</c:v>
                </c:pt>
                <c:pt idx="2">
                  <c:v>6.0321221884185889E-3</c:v>
                </c:pt>
                <c:pt idx="3">
                  <c:v>7.4232603152766044E-3</c:v>
                </c:pt>
                <c:pt idx="4">
                  <c:v>8.9612142131343213E-3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6B-4E20-A63A-AF765136279A}"/>
            </c:ext>
          </c:extLst>
        </c:ser>
        <c:ser>
          <c:idx val="1"/>
          <c:order val="2"/>
          <c:tx>
            <c:v>F. branca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'[1]Parte 1'!$F$22:$F$26</c:f>
              <c:numCache>
                <c:formatCode>0.00E+00</c:formatCode>
                <c:ptCount val="5"/>
                <c:pt idx="0">
                  <c:v>13233745957.575876</c:v>
                </c:pt>
                <c:pt idx="1">
                  <c:v>14637108482.47266</c:v>
                </c:pt>
                <c:pt idx="2">
                  <c:v>15576452146.710482</c:v>
                </c:pt>
                <c:pt idx="3">
                  <c:v>17057417918.085489</c:v>
                </c:pt>
                <c:pt idx="4">
                  <c:v>18706927664.011597</c:v>
                </c:pt>
              </c:numCache>
            </c:numRef>
          </c:xVal>
          <c:yVal>
            <c:numRef>
              <c:f>'[1]Parte 1'!$H$22:$H$26</c:f>
              <c:numCache>
                <c:formatCode>0.00E+00</c:formatCode>
                <c:ptCount val="5"/>
                <c:pt idx="0">
                  <c:v>3.7000000000000002E-3</c:v>
                </c:pt>
                <c:pt idx="1">
                  <c:v>5.13E-3</c:v>
                </c:pt>
                <c:pt idx="2">
                  <c:v>6.2000000000000006E-3</c:v>
                </c:pt>
                <c:pt idx="3">
                  <c:v>7.2500000000000004E-3</c:v>
                </c:pt>
                <c:pt idx="4">
                  <c:v>8.9300000000000004E-3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6B-4E20-A63A-AF765136279A}"/>
            </c:ext>
          </c:extLst>
        </c:ser>
        <c:ser>
          <c:idx val="5"/>
          <c:order val="3"/>
          <c:tx>
            <c:v>F. Branca aj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'[1]Parte 1'!$F$22:$F$27</c:f>
              <c:numCache>
                <c:formatCode>0.00E+00</c:formatCode>
                <c:ptCount val="6"/>
                <c:pt idx="0">
                  <c:v>13233745957.575876</c:v>
                </c:pt>
                <c:pt idx="1">
                  <c:v>14637108482.47266</c:v>
                </c:pt>
                <c:pt idx="2">
                  <c:v>15576452146.710482</c:v>
                </c:pt>
                <c:pt idx="3">
                  <c:v>17057417918.085489</c:v>
                </c:pt>
                <c:pt idx="4">
                  <c:v>18706927664.011597</c:v>
                </c:pt>
              </c:numCache>
            </c:numRef>
          </c:xVal>
          <c:yVal>
            <c:numRef>
              <c:f>'[1]Parte 1'!$I$22:$I$27</c:f>
              <c:numCache>
                <c:formatCode>0.00E+00</c:formatCode>
                <c:ptCount val="6"/>
                <c:pt idx="0">
                  <c:v>3.7931835092843407E-3</c:v>
                </c:pt>
                <c:pt idx="1">
                  <c:v>5.1105942831274412E-3</c:v>
                </c:pt>
                <c:pt idx="2">
                  <c:v>5.9924059616167039E-3</c:v>
                </c:pt>
                <c:pt idx="3">
                  <c:v>7.3826670155420181E-3</c:v>
                </c:pt>
                <c:pt idx="4">
                  <c:v>8.9311492304294943E-3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36B-4E20-A63A-AF765136279A}"/>
            </c:ext>
          </c:extLst>
        </c:ser>
        <c:ser>
          <c:idx val="2"/>
          <c:order val="4"/>
          <c:tx>
            <c:v>F. Baça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'[1]Parte 1'!$F$32:$F$37</c:f>
              <c:numCache>
                <c:formatCode>0.00E+00</c:formatCode>
                <c:ptCount val="6"/>
                <c:pt idx="0">
                  <c:v>13256936808.181841</c:v>
                </c:pt>
                <c:pt idx="1">
                  <c:v>14673088340.474276</c:v>
                </c:pt>
                <c:pt idx="2">
                  <c:v>15504282386.148224</c:v>
                </c:pt>
                <c:pt idx="3">
                  <c:v>17057417918.085489</c:v>
                </c:pt>
                <c:pt idx="4">
                  <c:v>18706927664.011597</c:v>
                </c:pt>
              </c:numCache>
            </c:numRef>
          </c:xVal>
          <c:yVal>
            <c:numRef>
              <c:f>'[1]Parte 1'!$H$32:$H$37</c:f>
              <c:numCache>
                <c:formatCode>0.00E+00</c:formatCode>
                <c:ptCount val="6"/>
                <c:pt idx="0">
                  <c:v>1.2649999999999998E-3</c:v>
                </c:pt>
                <c:pt idx="1">
                  <c:v>1.8000000000000002E-3</c:v>
                </c:pt>
                <c:pt idx="2">
                  <c:v>2.2000000000000001E-3</c:v>
                </c:pt>
                <c:pt idx="3">
                  <c:v>2.63E-3</c:v>
                </c:pt>
                <c:pt idx="4">
                  <c:v>3.3709999999999999E-3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6B-4E20-A63A-AF765136279A}"/>
            </c:ext>
          </c:extLst>
        </c:ser>
        <c:ser>
          <c:idx val="6"/>
          <c:order val="5"/>
          <c:tx>
            <c:v>F. Baça aj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'[1]Parte 1'!$F$32:$F$37</c:f>
              <c:numCache>
                <c:formatCode>0.00E+00</c:formatCode>
                <c:ptCount val="6"/>
                <c:pt idx="0">
                  <c:v>13256936808.181841</c:v>
                </c:pt>
                <c:pt idx="1">
                  <c:v>14673088340.474276</c:v>
                </c:pt>
                <c:pt idx="2">
                  <c:v>15504282386.148224</c:v>
                </c:pt>
                <c:pt idx="3">
                  <c:v>17057417918.085489</c:v>
                </c:pt>
                <c:pt idx="4">
                  <c:v>18706927664.011597</c:v>
                </c:pt>
              </c:numCache>
            </c:numRef>
          </c:xVal>
          <c:yVal>
            <c:numRef>
              <c:f>'[1]Parte 1'!$I$32:$I$37</c:f>
              <c:numCache>
                <c:formatCode>0.00E+00</c:formatCode>
                <c:ptCount val="6"/>
                <c:pt idx="0">
                  <c:v>1.2745706042124943E-3</c:v>
                </c:pt>
                <c:pt idx="1">
                  <c:v>1.8111552553896982E-3</c:v>
                </c:pt>
                <c:pt idx="2">
                  <c:v>2.1260975174910851E-3</c:v>
                </c:pt>
                <c:pt idx="3">
                  <c:v>2.7145858738793355E-3</c:v>
                </c:pt>
                <c:pt idx="4">
                  <c:v>3.3395907490273895E-3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36B-4E20-A63A-AF765136279A}"/>
            </c:ext>
          </c:extLst>
        </c:ser>
        <c:ser>
          <c:idx val="3"/>
          <c:order val="6"/>
          <c:tx>
            <c:v>F. Metalizada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'[1]Parte 1'!$F$42:$F$47</c:f>
              <c:numCache>
                <c:formatCode>0.00E+00</c:formatCode>
                <c:ptCount val="6"/>
                <c:pt idx="0">
                  <c:v>13280306688.930208</c:v>
                </c:pt>
                <c:pt idx="1">
                  <c:v>14673088340.474276</c:v>
                </c:pt>
                <c:pt idx="2">
                  <c:v>15637969476.118885</c:v>
                </c:pt>
                <c:pt idx="3">
                  <c:v>17127207504.160236</c:v>
                </c:pt>
                <c:pt idx="4">
                  <c:v>18813042969.865082</c:v>
                </c:pt>
              </c:numCache>
            </c:numRef>
          </c:xVal>
          <c:yVal>
            <c:numRef>
              <c:f>'[1]Parte 1'!$H$42:$H$47</c:f>
              <c:numCache>
                <c:formatCode>0.00E+00</c:formatCode>
                <c:ptCount val="6"/>
                <c:pt idx="0">
                  <c:v>3.2000000000000003E-4</c:v>
                </c:pt>
                <c:pt idx="1">
                  <c:v>4.8999999999999998E-4</c:v>
                </c:pt>
                <c:pt idx="2">
                  <c:v>5.6000000000000006E-4</c:v>
                </c:pt>
                <c:pt idx="3">
                  <c:v>7.8400000000000008E-4</c:v>
                </c:pt>
                <c:pt idx="4">
                  <c:v>9.9500000000000001E-4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36B-4E20-A63A-AF765136279A}"/>
            </c:ext>
          </c:extLst>
        </c:ser>
        <c:ser>
          <c:idx val="7"/>
          <c:order val="7"/>
          <c:tx>
            <c:v>F. Metalizada aj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'[1]Parte 1'!$F$42:$F$47</c:f>
              <c:numCache>
                <c:formatCode>0.00E+00</c:formatCode>
                <c:ptCount val="6"/>
                <c:pt idx="0">
                  <c:v>13280306688.930208</c:v>
                </c:pt>
                <c:pt idx="1">
                  <c:v>14673088340.474276</c:v>
                </c:pt>
                <c:pt idx="2">
                  <c:v>15637969476.118885</c:v>
                </c:pt>
                <c:pt idx="3">
                  <c:v>17127207504.160236</c:v>
                </c:pt>
                <c:pt idx="4">
                  <c:v>18813042969.865082</c:v>
                </c:pt>
              </c:numCache>
            </c:numRef>
          </c:xVal>
          <c:yVal>
            <c:numRef>
              <c:f>'[1]Parte 1'!$I$42:$I$47</c:f>
              <c:numCache>
                <c:formatCode>0.00E+00</c:formatCode>
                <c:ptCount val="6"/>
                <c:pt idx="0">
                  <c:v>3.085419438835803E-4</c:v>
                </c:pt>
                <c:pt idx="1">
                  <c:v>4.7893019500770077E-4</c:v>
                </c:pt>
                <c:pt idx="2">
                  <c:v>5.9697052750553193E-4</c:v>
                </c:pt>
                <c:pt idx="3">
                  <c:v>7.7915892927273543E-4</c:v>
                </c:pt>
                <c:pt idx="4">
                  <c:v>9.8539840433045037E-4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36B-4E20-A63A-AF7651362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86783"/>
        <c:axId val="406588415"/>
      </c:scatterChart>
      <c:valAx>
        <c:axId val="406586783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</a:t>
                </a:r>
                <a:r>
                  <a:rPr lang="pt-PT" baseline="30000"/>
                  <a:t>4</a:t>
                </a:r>
                <a:r>
                  <a:rPr lang="pt-PT"/>
                  <a:t> (K</a:t>
                </a:r>
                <a:r>
                  <a:rPr lang="pt-PT" baseline="30000"/>
                  <a:t>4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88415"/>
        <c:crossesAt val="-90"/>
        <c:crossBetween val="midCat"/>
        <c:majorUnit val="1000000000"/>
      </c:valAx>
      <c:valAx>
        <c:axId val="40658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S </a:t>
                </a:r>
                <a:r>
                  <a:rPr lang="pt-PT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8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91278823463174"/>
          <c:y val="4.7803568899688093E-2"/>
          <c:w val="0.2010134156458753"/>
          <c:h val="0.5681343956736212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5494264643704"/>
          <c:y val="5.6121565591512178E-2"/>
          <c:w val="0.75895954666921273"/>
          <c:h val="0.80266118245567919"/>
        </c:manualLayout>
      </c:layout>
      <c:scatterChart>
        <c:scatterStyle val="lineMarker"/>
        <c:varyColors val="0"/>
        <c:ser>
          <c:idx val="0"/>
          <c:order val="0"/>
          <c:tx>
            <c:v>Res. Preta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'[1]Parte 1'!$F$12:$F$16</c:f>
              <c:numCache>
                <c:formatCode>0.00E+00</c:formatCode>
                <c:ptCount val="5"/>
                <c:pt idx="0">
                  <c:v>13142727961.904379</c:v>
                </c:pt>
                <c:pt idx="1">
                  <c:v>14601507201.905622</c:v>
                </c:pt>
                <c:pt idx="2">
                  <c:v>15530054682.161085</c:v>
                </c:pt>
                <c:pt idx="3">
                  <c:v>16989425427.95402</c:v>
                </c:pt>
                <c:pt idx="4">
                  <c:v>18602812972.712791</c:v>
                </c:pt>
              </c:numCache>
            </c:numRef>
          </c:xVal>
          <c:yVal>
            <c:numRef>
              <c:f>'[1]Parte 1'!$J$12:$J$16</c:f>
              <c:numCache>
                <c:formatCode>0E+00</c:formatCode>
                <c:ptCount val="5"/>
                <c:pt idx="0">
                  <c:v>6.6414503178184332E-5</c:v>
                </c:pt>
                <c:pt idx="1">
                  <c:v>2.6988779992301141E-5</c:v>
                </c:pt>
                <c:pt idx="2">
                  <c:v>-2.1787781158141145E-4</c:v>
                </c:pt>
                <c:pt idx="3">
                  <c:v>1.2326031527660434E-4</c:v>
                </c:pt>
                <c:pt idx="4">
                  <c:v>1.2142131343203383E-6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86-4737-A4D5-0239A6A6B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227695"/>
        <c:axId val="1386412111"/>
      </c:scatterChart>
      <c:valAx>
        <c:axId val="1258227695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12111"/>
        <c:crossesAt val="-90"/>
        <c:crossBetween val="midCat"/>
        <c:majorUnit val="1000000000"/>
      </c:valAx>
      <c:valAx>
        <c:axId val="13864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22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37685764532503"/>
          <c:y val="0.33686400611981704"/>
          <c:w val="0.13874258343352078"/>
          <c:h val="7.356354990171588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0"/>
          <c:order val="0"/>
          <c:tx>
            <c:v>Res. Branca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'[1]Parte 1'!$F$22:$F$26</c:f>
              <c:numCache>
                <c:formatCode>0.00E+00</c:formatCode>
                <c:ptCount val="5"/>
                <c:pt idx="0">
                  <c:v>13233745957.575876</c:v>
                </c:pt>
                <c:pt idx="1">
                  <c:v>14637108482.47266</c:v>
                </c:pt>
                <c:pt idx="2">
                  <c:v>15576452146.710482</c:v>
                </c:pt>
                <c:pt idx="3">
                  <c:v>17057417918.085489</c:v>
                </c:pt>
                <c:pt idx="4">
                  <c:v>18706927664.011597</c:v>
                </c:pt>
              </c:numCache>
            </c:numRef>
          </c:xVal>
          <c:yVal>
            <c:numRef>
              <c:f>'[1]Parte 1'!$J$22:$J$26</c:f>
              <c:numCache>
                <c:formatCode>0E+00</c:formatCode>
                <c:ptCount val="5"/>
                <c:pt idx="0">
                  <c:v>9.3183509284340549E-5</c:v>
                </c:pt>
                <c:pt idx="1">
                  <c:v>-1.9405716872558827E-5</c:v>
                </c:pt>
                <c:pt idx="2">
                  <c:v>-2.0759403838329672E-4</c:v>
                </c:pt>
                <c:pt idx="3">
                  <c:v>1.326670155420177E-4</c:v>
                </c:pt>
                <c:pt idx="4">
                  <c:v>1.1492304294938305E-6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1-4430-B73B-3FCF44681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85368329871548"/>
          <c:y val="0.76033683276199793"/>
          <c:w val="0.15130193316729443"/>
          <c:h val="7.495860259576506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1"/>
          <c:order val="0"/>
          <c:tx>
            <c:v>Res. Baça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'[1]Parte 1'!$F$32:$F$36</c:f>
              <c:numCache>
                <c:formatCode>0.00E+00</c:formatCode>
                <c:ptCount val="5"/>
                <c:pt idx="0">
                  <c:v>13256936808.181841</c:v>
                </c:pt>
                <c:pt idx="1">
                  <c:v>14673088340.474276</c:v>
                </c:pt>
                <c:pt idx="2">
                  <c:v>15504282386.148224</c:v>
                </c:pt>
                <c:pt idx="3">
                  <c:v>17057417918.085489</c:v>
                </c:pt>
                <c:pt idx="4">
                  <c:v>18706927664.011597</c:v>
                </c:pt>
              </c:numCache>
            </c:numRef>
          </c:xVal>
          <c:yVal>
            <c:numRef>
              <c:f>'[1]Parte 1'!$J$32:$J$36</c:f>
              <c:numCache>
                <c:formatCode>0E+00</c:formatCode>
                <c:ptCount val="5"/>
                <c:pt idx="0">
                  <c:v>9.5706042124944681E-6</c:v>
                </c:pt>
                <c:pt idx="1">
                  <c:v>1.1155255389697994E-5</c:v>
                </c:pt>
                <c:pt idx="2">
                  <c:v>-7.3902482508915023E-5</c:v>
                </c:pt>
                <c:pt idx="3">
                  <c:v>8.4585873879335517E-5</c:v>
                </c:pt>
                <c:pt idx="4">
                  <c:v>-3.1409250972610353E-5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8-4ED5-A1E4-5FAB6E3B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887432331747681"/>
          <c:y val="0.7429592848396861"/>
          <c:w val="0.16578675610438653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2"/>
          <c:order val="0"/>
          <c:tx>
            <c:v>Res. Metalizada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'[1]Parte 1'!$F$42:$F$46</c:f>
              <c:numCache>
                <c:formatCode>0.00E+00</c:formatCode>
                <c:ptCount val="5"/>
                <c:pt idx="0">
                  <c:v>13280306688.930208</c:v>
                </c:pt>
                <c:pt idx="1">
                  <c:v>14673088340.474276</c:v>
                </c:pt>
                <c:pt idx="2">
                  <c:v>15637969476.118885</c:v>
                </c:pt>
                <c:pt idx="3">
                  <c:v>17127207504.160236</c:v>
                </c:pt>
                <c:pt idx="4">
                  <c:v>18813042969.865082</c:v>
                </c:pt>
              </c:numCache>
            </c:numRef>
          </c:xVal>
          <c:yVal>
            <c:numRef>
              <c:f>'[1]Parte 1'!$J$42:$J$46</c:f>
              <c:numCache>
                <c:formatCode>0E+00</c:formatCode>
                <c:ptCount val="5"/>
                <c:pt idx="0">
                  <c:v>-1.1458056116419723E-5</c:v>
                </c:pt>
                <c:pt idx="1">
                  <c:v>-1.1069804992299218E-5</c:v>
                </c:pt>
                <c:pt idx="2">
                  <c:v>3.697052750553187E-5</c:v>
                </c:pt>
                <c:pt idx="3">
                  <c:v>-4.8410707272646515E-6</c:v>
                </c:pt>
                <c:pt idx="4">
                  <c:v>-9.6015956695496337E-6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71-4BD8-860F-1960E7A87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103796724239919"/>
          <c:y val="9.3367444639341865E-2"/>
          <c:w val="0.20930702277954055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</a:t>
            </a:r>
            <a:r>
              <a:rPr lang="pt-PT" sz="1800" b="0" i="0" baseline="-25000">
                <a:effectLst/>
              </a:rPr>
              <a:t>S</a:t>
            </a:r>
            <a:r>
              <a:rPr lang="pt-PT" sz="1800" b="0" i="0" baseline="0">
                <a:effectLst/>
              </a:rPr>
              <a:t>(P) - Regressão Linear 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46853427801949"/>
          <c:y val="0.1559400517843974"/>
          <c:w val="0.77627513584282959"/>
          <c:h val="0.65963053198384647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2'!$N$7:$N$32</c:f>
                <c:numCache>
                  <c:formatCode>General</c:formatCode>
                  <c:ptCount val="26"/>
                  <c:pt idx="0">
                    <c:v>1.3140000000000002E-2</c:v>
                  </c:pt>
                  <c:pt idx="1">
                    <c:v>1.507E-2</c:v>
                  </c:pt>
                  <c:pt idx="2">
                    <c:v>1.8010000000000002E-2</c:v>
                  </c:pt>
                  <c:pt idx="3">
                    <c:v>2.0480000000000002E-2</c:v>
                  </c:pt>
                  <c:pt idx="4">
                    <c:v>2.5219999999999996E-2</c:v>
                  </c:pt>
                  <c:pt idx="5">
                    <c:v>3.1040000000000002E-2</c:v>
                  </c:pt>
                  <c:pt idx="6">
                    <c:v>3.5499999999999997E-2</c:v>
                  </c:pt>
                  <c:pt idx="7">
                    <c:v>4.1200000000000001E-2</c:v>
                  </c:pt>
                  <c:pt idx="8">
                    <c:v>4.6299999999999994E-2</c:v>
                  </c:pt>
                  <c:pt idx="9">
                    <c:v>5.0500000000000003E-2</c:v>
                  </c:pt>
                  <c:pt idx="10">
                    <c:v>5.5599999999999997E-2</c:v>
                  </c:pt>
                  <c:pt idx="11">
                    <c:v>6.0899999999999996E-2</c:v>
                  </c:pt>
                  <c:pt idx="12">
                    <c:v>6.6449999999999995E-2</c:v>
                  </c:pt>
                  <c:pt idx="13">
                    <c:v>7.0349999999999996E-2</c:v>
                  </c:pt>
                  <c:pt idx="14">
                    <c:v>7.51E-2</c:v>
                  </c:pt>
                  <c:pt idx="15">
                    <c:v>0.08</c:v>
                  </c:pt>
                  <c:pt idx="16">
                    <c:v>8.48E-2</c:v>
                  </c:pt>
                  <c:pt idx="17">
                    <c:v>8.7800000000000003E-2</c:v>
                  </c:pt>
                  <c:pt idx="18">
                    <c:v>9.0399999999999994E-2</c:v>
                  </c:pt>
                  <c:pt idx="19">
                    <c:v>9.2899999999999996E-2</c:v>
                  </c:pt>
                  <c:pt idx="20">
                    <c:v>9.4550000000000009E-2</c:v>
                  </c:pt>
                  <c:pt idx="21">
                    <c:v>0.1003</c:v>
                  </c:pt>
                  <c:pt idx="22">
                    <c:v>0.10529999999999999</c:v>
                  </c:pt>
                  <c:pt idx="23">
                    <c:v>0.11</c:v>
                  </c:pt>
                  <c:pt idx="24">
                    <c:v>0.11410000000000001</c:v>
                  </c:pt>
                  <c:pt idx="25">
                    <c:v>0.11960000000000001</c:v>
                  </c:pt>
                </c:numCache>
              </c:numRef>
            </c:plus>
            <c:minus>
              <c:numRef>
                <c:f>'Parte 2'!$N$7:$N$32</c:f>
                <c:numCache>
                  <c:formatCode>General</c:formatCode>
                  <c:ptCount val="26"/>
                  <c:pt idx="0">
                    <c:v>1.3140000000000002E-2</c:v>
                  </c:pt>
                  <c:pt idx="1">
                    <c:v>1.507E-2</c:v>
                  </c:pt>
                  <c:pt idx="2">
                    <c:v>1.8010000000000002E-2</c:v>
                  </c:pt>
                  <c:pt idx="3">
                    <c:v>2.0480000000000002E-2</c:v>
                  </c:pt>
                  <c:pt idx="4">
                    <c:v>2.5219999999999996E-2</c:v>
                  </c:pt>
                  <c:pt idx="5">
                    <c:v>3.1040000000000002E-2</c:v>
                  </c:pt>
                  <c:pt idx="6">
                    <c:v>3.5499999999999997E-2</c:v>
                  </c:pt>
                  <c:pt idx="7">
                    <c:v>4.1200000000000001E-2</c:v>
                  </c:pt>
                  <c:pt idx="8">
                    <c:v>4.6299999999999994E-2</c:v>
                  </c:pt>
                  <c:pt idx="9">
                    <c:v>5.0500000000000003E-2</c:v>
                  </c:pt>
                  <c:pt idx="10">
                    <c:v>5.5599999999999997E-2</c:v>
                  </c:pt>
                  <c:pt idx="11">
                    <c:v>6.0899999999999996E-2</c:v>
                  </c:pt>
                  <c:pt idx="12">
                    <c:v>6.6449999999999995E-2</c:v>
                  </c:pt>
                  <c:pt idx="13">
                    <c:v>7.0349999999999996E-2</c:v>
                  </c:pt>
                  <c:pt idx="14">
                    <c:v>7.51E-2</c:v>
                  </c:pt>
                  <c:pt idx="15">
                    <c:v>0.08</c:v>
                  </c:pt>
                  <c:pt idx="16">
                    <c:v>8.48E-2</c:v>
                  </c:pt>
                  <c:pt idx="17">
                    <c:v>8.7800000000000003E-2</c:v>
                  </c:pt>
                  <c:pt idx="18">
                    <c:v>9.0399999999999994E-2</c:v>
                  </c:pt>
                  <c:pt idx="19">
                    <c:v>9.2899999999999996E-2</c:v>
                  </c:pt>
                  <c:pt idx="20">
                    <c:v>9.4550000000000009E-2</c:v>
                  </c:pt>
                  <c:pt idx="21">
                    <c:v>0.1003</c:v>
                  </c:pt>
                  <c:pt idx="22">
                    <c:v>0.10529999999999999</c:v>
                  </c:pt>
                  <c:pt idx="23">
                    <c:v>0.11</c:v>
                  </c:pt>
                  <c:pt idx="24">
                    <c:v>0.11410000000000001</c:v>
                  </c:pt>
                  <c:pt idx="25">
                    <c:v>0.11960000000000001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2'!$G$3</c:f>
                <c:numCache>
                  <c:formatCode>General</c:formatCode>
                  <c:ptCount val="1"/>
                  <c:pt idx="0">
                    <c:v>9.9999999999999995E-7</c:v>
                  </c:pt>
                </c:numCache>
              </c:numRef>
            </c:plus>
            <c:minus>
              <c:numRef>
                <c:f>'Parte 2'!$G$3</c:f>
                <c:numCache>
                  <c:formatCode>General</c:formatCode>
                  <c:ptCount val="1"/>
                  <c:pt idx="0">
                    <c:v>9.9999999999999995E-7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2'!$M$7:$M$50</c:f>
              <c:numCache>
                <c:formatCode>0.00</c:formatCode>
                <c:ptCount val="44"/>
                <c:pt idx="0">
                  <c:v>0.83439000000000008</c:v>
                </c:pt>
                <c:pt idx="1">
                  <c:v>1.00969</c:v>
                </c:pt>
                <c:pt idx="2">
                  <c:v>1.2967199999999999</c:v>
                </c:pt>
                <c:pt idx="3">
                  <c:v>1.5462400000000001</c:v>
                </c:pt>
                <c:pt idx="4">
                  <c:v>2.0932599999999999</c:v>
                </c:pt>
                <c:pt idx="5">
                  <c:v>2.7936000000000001</c:v>
                </c:pt>
                <c:pt idx="6">
                  <c:v>3.4079999999999999</c:v>
                </c:pt>
                <c:pt idx="7">
                  <c:v>4.2848000000000006</c:v>
                </c:pt>
                <c:pt idx="8">
                  <c:v>5.0467000000000004</c:v>
                </c:pt>
                <c:pt idx="9">
                  <c:v>5.7317499999999999</c:v>
                </c:pt>
                <c:pt idx="10">
                  <c:v>6.6163999999999996</c:v>
                </c:pt>
                <c:pt idx="11">
                  <c:v>7.5515999999999996</c:v>
                </c:pt>
                <c:pt idx="12">
                  <c:v>8.6385000000000005</c:v>
                </c:pt>
                <c:pt idx="13">
                  <c:v>9.3917249999999992</c:v>
                </c:pt>
                <c:pt idx="14">
                  <c:v>10.32625</c:v>
                </c:pt>
                <c:pt idx="15">
                  <c:v>11.36</c:v>
                </c:pt>
                <c:pt idx="16">
                  <c:v>12.380800000000001</c:v>
                </c:pt>
                <c:pt idx="17">
                  <c:v>13.082199999999998</c:v>
                </c:pt>
                <c:pt idx="18">
                  <c:v>13.695599999999997</c:v>
                </c:pt>
                <c:pt idx="19">
                  <c:v>14.213699999999999</c:v>
                </c:pt>
                <c:pt idx="20">
                  <c:v>14.560700000000001</c:v>
                </c:pt>
                <c:pt idx="21">
                  <c:v>15.947699999999999</c:v>
                </c:pt>
                <c:pt idx="22">
                  <c:v>17.163899999999998</c:v>
                </c:pt>
                <c:pt idx="23">
                  <c:v>18.369999999999997</c:v>
                </c:pt>
                <c:pt idx="24">
                  <c:v>19.396999999999998</c:v>
                </c:pt>
                <c:pt idx="25">
                  <c:v>20.810400000000001</c:v>
                </c:pt>
                <c:pt idx="26">
                  <c:v>11.779199999999999</c:v>
                </c:pt>
                <c:pt idx="27">
                  <c:v>12.1075</c:v>
                </c:pt>
                <c:pt idx="28">
                  <c:v>12.5832</c:v>
                </c:pt>
                <c:pt idx="29">
                  <c:v>13.335000000000001</c:v>
                </c:pt>
                <c:pt idx="30">
                  <c:v>13.847199999999999</c:v>
                </c:pt>
                <c:pt idx="31">
                  <c:v>14.398999999999999</c:v>
                </c:pt>
                <c:pt idx="32">
                  <c:v>14.740500000000001</c:v>
                </c:pt>
                <c:pt idx="33">
                  <c:v>15.1976</c:v>
                </c:pt>
                <c:pt idx="34">
                  <c:v>15.836400000000003</c:v>
                </c:pt>
                <c:pt idx="35">
                  <c:v>16.5669</c:v>
                </c:pt>
                <c:pt idx="36">
                  <c:v>17.049800000000001</c:v>
                </c:pt>
                <c:pt idx="37">
                  <c:v>18.2531</c:v>
                </c:pt>
                <c:pt idx="38">
                  <c:v>18.731999999999999</c:v>
                </c:pt>
                <c:pt idx="39">
                  <c:v>19.046299999999999</c:v>
                </c:pt>
                <c:pt idx="40">
                  <c:v>19.579499999999999</c:v>
                </c:pt>
                <c:pt idx="41">
                  <c:v>19.934799999999999</c:v>
                </c:pt>
                <c:pt idx="42">
                  <c:v>20.258300000000002</c:v>
                </c:pt>
                <c:pt idx="43">
                  <c:v>20.912499999999998</c:v>
                </c:pt>
              </c:numCache>
            </c:numRef>
          </c:xVal>
          <c:yVal>
            <c:numRef>
              <c:f>'Parte 2'!$F$7:$F$50</c:f>
              <c:numCache>
                <c:formatCode>0.000000</c:formatCode>
                <c:ptCount val="44"/>
                <c:pt idx="0">
                  <c:v>1.4999999999999999E-4</c:v>
                </c:pt>
                <c:pt idx="1">
                  <c:v>1.9000000000000001E-4</c:v>
                </c:pt>
                <c:pt idx="2">
                  <c:v>1.6000000000000001E-4</c:v>
                </c:pt>
                <c:pt idx="3">
                  <c:v>2.5300000000000002E-4</c:v>
                </c:pt>
                <c:pt idx="4">
                  <c:v>4.2999999999999999E-4</c:v>
                </c:pt>
                <c:pt idx="5">
                  <c:v>8.4800000000000001E-4</c:v>
                </c:pt>
                <c:pt idx="6">
                  <c:v>9.6400000000000001E-4</c:v>
                </c:pt>
                <c:pt idx="7">
                  <c:v>1.2099999999999999E-3</c:v>
                </c:pt>
                <c:pt idx="8">
                  <c:v>1.7060000000000001E-3</c:v>
                </c:pt>
                <c:pt idx="9">
                  <c:v>2.1219999999999998E-3</c:v>
                </c:pt>
                <c:pt idx="10">
                  <c:v>2.6099999999999999E-3</c:v>
                </c:pt>
                <c:pt idx="11">
                  <c:v>3.1070000000000004E-3</c:v>
                </c:pt>
                <c:pt idx="12">
                  <c:v>3.7060000000000001E-3</c:v>
                </c:pt>
                <c:pt idx="13">
                  <c:v>4.2529999999999998E-3</c:v>
                </c:pt>
                <c:pt idx="14">
                  <c:v>4.7949999999999998E-3</c:v>
                </c:pt>
                <c:pt idx="15">
                  <c:v>5.398E-3</c:v>
                </c:pt>
                <c:pt idx="16">
                  <c:v>5.9850000000000007E-3</c:v>
                </c:pt>
                <c:pt idx="17">
                  <c:v>6.2300000000000003E-3</c:v>
                </c:pt>
                <c:pt idx="18">
                  <c:v>6.5000000000000006E-3</c:v>
                </c:pt>
                <c:pt idx="19">
                  <c:v>6.7800000000000004E-3</c:v>
                </c:pt>
                <c:pt idx="20">
                  <c:v>7.2270000000000008E-3</c:v>
                </c:pt>
                <c:pt idx="21">
                  <c:v>8.0500000000000016E-3</c:v>
                </c:pt>
                <c:pt idx="22">
                  <c:v>8.7690000000000008E-3</c:v>
                </c:pt>
                <c:pt idx="23">
                  <c:v>9.3699999999999999E-3</c:v>
                </c:pt>
                <c:pt idx="24">
                  <c:v>1.0060000000000001E-2</c:v>
                </c:pt>
                <c:pt idx="25">
                  <c:v>1.0840000000000001E-2</c:v>
                </c:pt>
                <c:pt idx="26">
                  <c:v>5.6249999999999998E-3</c:v>
                </c:pt>
                <c:pt idx="27">
                  <c:v>5.8430000000000001E-3</c:v>
                </c:pt>
                <c:pt idx="28">
                  <c:v>6.1269999999999996E-3</c:v>
                </c:pt>
                <c:pt idx="29">
                  <c:v>6.5570000000000003E-3</c:v>
                </c:pt>
                <c:pt idx="30">
                  <c:v>6.8890000000000002E-3</c:v>
                </c:pt>
                <c:pt idx="31">
                  <c:v>7.2060000000000006E-3</c:v>
                </c:pt>
                <c:pt idx="32">
                  <c:v>7.4600000000000005E-3</c:v>
                </c:pt>
                <c:pt idx="33">
                  <c:v>7.5820000000000002E-3</c:v>
                </c:pt>
                <c:pt idx="34">
                  <c:v>8.0199999999999994E-3</c:v>
                </c:pt>
                <c:pt idx="35">
                  <c:v>8.3320000000000009E-3</c:v>
                </c:pt>
                <c:pt idx="36">
                  <c:v>8.6039999999999988E-3</c:v>
                </c:pt>
                <c:pt idx="37">
                  <c:v>9.4719999999999995E-3</c:v>
                </c:pt>
                <c:pt idx="38">
                  <c:v>9.5989999999999999E-3</c:v>
                </c:pt>
                <c:pt idx="39">
                  <c:v>9.8160000000000001E-3</c:v>
                </c:pt>
                <c:pt idx="40">
                  <c:v>1.0052E-2</c:v>
                </c:pt>
                <c:pt idx="41">
                  <c:v>1.0236E-2</c:v>
                </c:pt>
                <c:pt idx="42">
                  <c:v>1.0435000000000002E-2</c:v>
                </c:pt>
                <c:pt idx="43">
                  <c:v>1.0834E-2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2-2541-866F-361AC77D759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2'!$M$7:$M$50</c:f>
              <c:numCache>
                <c:formatCode>0.00</c:formatCode>
                <c:ptCount val="44"/>
                <c:pt idx="0">
                  <c:v>0.83439000000000008</c:v>
                </c:pt>
                <c:pt idx="1">
                  <c:v>1.00969</c:v>
                </c:pt>
                <c:pt idx="2">
                  <c:v>1.2967199999999999</c:v>
                </c:pt>
                <c:pt idx="3">
                  <c:v>1.5462400000000001</c:v>
                </c:pt>
                <c:pt idx="4">
                  <c:v>2.0932599999999999</c:v>
                </c:pt>
                <c:pt idx="5">
                  <c:v>2.7936000000000001</c:v>
                </c:pt>
                <c:pt idx="6">
                  <c:v>3.4079999999999999</c:v>
                </c:pt>
                <c:pt idx="7">
                  <c:v>4.2848000000000006</c:v>
                </c:pt>
                <c:pt idx="8">
                  <c:v>5.0467000000000004</c:v>
                </c:pt>
                <c:pt idx="9">
                  <c:v>5.7317499999999999</c:v>
                </c:pt>
                <c:pt idx="10">
                  <c:v>6.6163999999999996</c:v>
                </c:pt>
                <c:pt idx="11">
                  <c:v>7.5515999999999996</c:v>
                </c:pt>
                <c:pt idx="12">
                  <c:v>8.6385000000000005</c:v>
                </c:pt>
                <c:pt idx="13">
                  <c:v>9.3917249999999992</c:v>
                </c:pt>
                <c:pt idx="14">
                  <c:v>10.32625</c:v>
                </c:pt>
                <c:pt idx="15">
                  <c:v>11.36</c:v>
                </c:pt>
                <c:pt idx="16">
                  <c:v>12.380800000000001</c:v>
                </c:pt>
                <c:pt idx="17">
                  <c:v>13.082199999999998</c:v>
                </c:pt>
                <c:pt idx="18">
                  <c:v>13.695599999999997</c:v>
                </c:pt>
                <c:pt idx="19">
                  <c:v>14.213699999999999</c:v>
                </c:pt>
                <c:pt idx="20">
                  <c:v>14.560700000000001</c:v>
                </c:pt>
                <c:pt idx="21">
                  <c:v>15.947699999999999</c:v>
                </c:pt>
                <c:pt idx="22">
                  <c:v>17.163899999999998</c:v>
                </c:pt>
                <c:pt idx="23">
                  <c:v>18.369999999999997</c:v>
                </c:pt>
                <c:pt idx="24">
                  <c:v>19.396999999999998</c:v>
                </c:pt>
                <c:pt idx="25">
                  <c:v>20.810400000000001</c:v>
                </c:pt>
                <c:pt idx="26">
                  <c:v>11.779199999999999</c:v>
                </c:pt>
                <c:pt idx="27">
                  <c:v>12.1075</c:v>
                </c:pt>
                <c:pt idx="28">
                  <c:v>12.5832</c:v>
                </c:pt>
                <c:pt idx="29">
                  <c:v>13.335000000000001</c:v>
                </c:pt>
                <c:pt idx="30">
                  <c:v>13.847199999999999</c:v>
                </c:pt>
                <c:pt idx="31">
                  <c:v>14.398999999999999</c:v>
                </c:pt>
                <c:pt idx="32">
                  <c:v>14.740500000000001</c:v>
                </c:pt>
                <c:pt idx="33">
                  <c:v>15.1976</c:v>
                </c:pt>
                <c:pt idx="34">
                  <c:v>15.836400000000003</c:v>
                </c:pt>
                <c:pt idx="35">
                  <c:v>16.5669</c:v>
                </c:pt>
                <c:pt idx="36">
                  <c:v>17.049800000000001</c:v>
                </c:pt>
                <c:pt idx="37">
                  <c:v>18.2531</c:v>
                </c:pt>
                <c:pt idx="38">
                  <c:v>18.731999999999999</c:v>
                </c:pt>
                <c:pt idx="39">
                  <c:v>19.046299999999999</c:v>
                </c:pt>
                <c:pt idx="40">
                  <c:v>19.579499999999999</c:v>
                </c:pt>
                <c:pt idx="41">
                  <c:v>19.934799999999999</c:v>
                </c:pt>
                <c:pt idx="42">
                  <c:v>20.258300000000002</c:v>
                </c:pt>
                <c:pt idx="43">
                  <c:v>20.912499999999998</c:v>
                </c:pt>
              </c:numCache>
            </c:numRef>
          </c:xVal>
          <c:yVal>
            <c:numRef>
              <c:f>'Parte 2'!$T$7:$T$50</c:f>
              <c:numCache>
                <c:formatCode>0.0000000</c:formatCode>
                <c:ptCount val="44"/>
                <c:pt idx="0">
                  <c:v>-3.5197543714724909E-4</c:v>
                </c:pt>
                <c:pt idx="1">
                  <c:v>-2.5505440985102909E-4</c:v>
                </c:pt>
                <c:pt idx="2">
                  <c:v>-9.6359358711074479E-5</c:v>
                </c:pt>
                <c:pt idx="3">
                  <c:v>4.1596914711360448E-5</c:v>
                </c:pt>
                <c:pt idx="4">
                  <c:v>3.4403696235299356E-4</c:v>
                </c:pt>
                <c:pt idx="5">
                  <c:v>7.3124558903088738E-4</c:v>
                </c:pt>
                <c:pt idx="6">
                  <c:v>1.0709391382082839E-3</c:v>
                </c:pt>
                <c:pt idx="7">
                  <c:v>1.5557101406801937E-3</c:v>
                </c:pt>
                <c:pt idx="8">
                  <c:v>1.976954468672151E-3</c:v>
                </c:pt>
                <c:pt idx="9">
                  <c:v>2.3557094586851316E-3</c:v>
                </c:pt>
                <c:pt idx="10">
                  <c:v>2.8448206212498836E-3</c:v>
                </c:pt>
                <c:pt idx="11">
                  <c:v>3.3618802032659989E-3</c:v>
                </c:pt>
                <c:pt idx="12">
                  <c:v>3.9628126879680051E-3</c:v>
                </c:pt>
                <c:pt idx="13">
                  <c:v>4.3792607243923936E-3</c:v>
                </c:pt>
                <c:pt idx="14">
                  <c:v>4.8959471079291885E-3</c:v>
                </c:pt>
                <c:pt idx="15">
                  <c:v>5.4674936679261505E-3</c:v>
                </c:pt>
                <c:pt idx="16">
                  <c:v>6.0318803459865128E-3</c:v>
                </c:pt>
                <c:pt idx="17">
                  <c:v>6.4196750324985981E-3</c:v>
                </c:pt>
                <c:pt idx="18">
                  <c:v>6.7588156950399627E-3</c:v>
                </c:pt>
                <c:pt idx="19">
                  <c:v>7.0452662611675829E-3</c:v>
                </c:pt>
                <c:pt idx="20">
                  <c:v>7.2371179238703122E-3</c:v>
                </c:pt>
                <c:pt idx="21">
                  <c:v>8.0039716880451958E-3</c:v>
                </c:pt>
                <c:pt idx="22">
                  <c:v>8.6763924147859987E-3</c:v>
                </c:pt>
                <c:pt idx="23">
                  <c:v>9.3432289865028918E-3</c:v>
                </c:pt>
                <c:pt idx="24">
                  <c:v>9.9110435617066443E-3</c:v>
                </c:pt>
                <c:pt idx="25">
                  <c:v>1.0692493533072746E-2</c:v>
                </c:pt>
                <c:pt idx="26">
                  <c:v>5.6992637457503117E-3</c:v>
                </c:pt>
                <c:pt idx="27">
                  <c:v>5.880776428359262E-3</c:v>
                </c:pt>
                <c:pt idx="28">
                  <c:v>6.1437846011191703E-3</c:v>
                </c:pt>
                <c:pt idx="29">
                  <c:v>6.5594447740872155E-3</c:v>
                </c:pt>
                <c:pt idx="30">
                  <c:v>6.8426333090622514E-3</c:v>
                </c:pt>
                <c:pt idx="31">
                  <c:v>7.1477161548241129E-3</c:v>
                </c:pt>
                <c:pt idx="32">
                  <c:v>7.336526941028672E-3</c:v>
                </c:pt>
                <c:pt idx="33">
                  <c:v>7.5892514223584043E-3</c:v>
                </c:pt>
                <c:pt idx="34">
                  <c:v>7.942435405454959E-3</c:v>
                </c:pt>
                <c:pt idx="35">
                  <c:v>8.3463190930755417E-3</c:v>
                </c:pt>
                <c:pt idx="36">
                  <c:v>8.6133080496148748E-3</c:v>
                </c:pt>
                <c:pt idx="37">
                  <c:v>9.2785965387508773E-3</c:v>
                </c:pt>
                <c:pt idx="38">
                  <c:v>9.5433739487460825E-3</c:v>
                </c:pt>
                <c:pt idx="39">
                  <c:v>9.7171462184506008E-3</c:v>
                </c:pt>
                <c:pt idx="40">
                  <c:v>1.0011945372782289E-2</c:v>
                </c:pt>
                <c:pt idx="41">
                  <c:v>1.0208385994564074E-2</c:v>
                </c:pt>
                <c:pt idx="42">
                  <c:v>1.0387244821320078E-2</c:v>
                </c:pt>
                <c:pt idx="43">
                  <c:v>1.0748943258611501E-2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01-A543-A994-29C7789B1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492991"/>
        <c:axId val="1458353375"/>
      </c:scatterChart>
      <c:valAx>
        <c:axId val="1463492991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P</a:t>
                </a:r>
                <a:r>
                  <a:rPr lang="pt-PT" sz="1400" baseline="0"/>
                  <a:t> (W)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53375"/>
        <c:crossesAt val="-90"/>
        <c:crossBetween val="midCat"/>
        <c:majorUnit val="2"/>
      </c:valAx>
      <c:valAx>
        <c:axId val="145835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S</a:t>
                </a:r>
                <a:r>
                  <a:rPr lang="pt-PT" sz="1400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92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38250318680051"/>
          <c:y val="0.56709038507098153"/>
          <c:w val="0.21996974287716933"/>
          <c:h val="0.23430883639545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log(Vs)[log(T)] - Regressão Linear 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49603349738649"/>
          <c:y val="0.15359566940782762"/>
          <c:w val="0.81387019134853389"/>
          <c:h val="0.69664365077745583"/>
        </c:manualLayout>
      </c:layout>
      <c:scatterChart>
        <c:scatterStyle val="lineMarker"/>
        <c:varyColors val="0"/>
        <c:ser>
          <c:idx val="0"/>
          <c:order val="0"/>
          <c:tx>
            <c:v>log(Vs)[log(T)]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2'!$P$7:$P$32</c:f>
                <c:numCache>
                  <c:formatCode>General</c:formatCode>
                  <c:ptCount val="26"/>
                  <c:pt idx="0">
                    <c:v>3.8189201734085414E-3</c:v>
                  </c:pt>
                  <c:pt idx="1">
                    <c:v>3.0235230979647515E-3</c:v>
                  </c:pt>
                  <c:pt idx="2">
                    <c:v>2.0679023575996946E-3</c:v>
                  </c:pt>
                  <c:pt idx="3">
                    <c:v>1.4837321404807735E-3</c:v>
                  </c:pt>
                  <c:pt idx="4">
                    <c:v>4.8029560660192456E-4</c:v>
                  </c:pt>
                  <c:pt idx="5">
                    <c:v>2.9579834580167945E-4</c:v>
                  </c:pt>
                  <c:pt idx="6">
                    <c:v>8.3262501515616878E-4</c:v>
                  </c:pt>
                  <c:pt idx="7">
                    <c:v>1.4242243576950597E-3</c:v>
                  </c:pt>
                  <c:pt idx="8">
                    <c:v>1.7584482127860502E-3</c:v>
                  </c:pt>
                  <c:pt idx="9">
                    <c:v>2.021900503778385E-3</c:v>
                  </c:pt>
                  <c:pt idx="10">
                    <c:v>2.3090640823971932E-3</c:v>
                  </c:pt>
                  <c:pt idx="11">
                    <c:v>2.5481523485219554E-3</c:v>
                  </c:pt>
                  <c:pt idx="12">
                    <c:v>2.7971699731912576E-3</c:v>
                  </c:pt>
                  <c:pt idx="13">
                    <c:v>2.9346570718789774E-3</c:v>
                  </c:pt>
                  <c:pt idx="14">
                    <c:v>3.0830014266036046E-3</c:v>
                  </c:pt>
                  <c:pt idx="15">
                    <c:v>3.2338224684008367E-3</c:v>
                  </c:pt>
                  <c:pt idx="16">
                    <c:v>3.3609958540935167E-3</c:v>
                  </c:pt>
                  <c:pt idx="17">
                    <c:v>3.4465606031260265E-3</c:v>
                  </c:pt>
                  <c:pt idx="18">
                    <c:v>3.5152004760873523E-3</c:v>
                  </c:pt>
                  <c:pt idx="19">
                    <c:v>3.5611509268677522E-3</c:v>
                  </c:pt>
                  <c:pt idx="20">
                    <c:v>3.59101428916523E-3</c:v>
                  </c:pt>
                  <c:pt idx="21">
                    <c:v>3.7176475362246508E-3</c:v>
                  </c:pt>
                  <c:pt idx="22">
                    <c:v>3.8141850240212098E-3</c:v>
                  </c:pt>
                  <c:pt idx="23">
                    <c:v>3.903049177525758E-3</c:v>
                  </c:pt>
                  <c:pt idx="24">
                    <c:v>3.9694504523869294E-3</c:v>
                  </c:pt>
                  <c:pt idx="25">
                    <c:v>4.0536098873072499E-3</c:v>
                  </c:pt>
                </c:numCache>
              </c:numRef>
            </c:plus>
            <c:minus>
              <c:numRef>
                <c:f>'Parte 2'!$P$7:$P$32</c:f>
                <c:numCache>
                  <c:formatCode>General</c:formatCode>
                  <c:ptCount val="26"/>
                  <c:pt idx="0">
                    <c:v>3.8189201734085414E-3</c:v>
                  </c:pt>
                  <c:pt idx="1">
                    <c:v>3.0235230979647515E-3</c:v>
                  </c:pt>
                  <c:pt idx="2">
                    <c:v>2.0679023575996946E-3</c:v>
                  </c:pt>
                  <c:pt idx="3">
                    <c:v>1.4837321404807735E-3</c:v>
                  </c:pt>
                  <c:pt idx="4">
                    <c:v>4.8029560660192456E-4</c:v>
                  </c:pt>
                  <c:pt idx="5">
                    <c:v>2.9579834580167945E-4</c:v>
                  </c:pt>
                  <c:pt idx="6">
                    <c:v>8.3262501515616878E-4</c:v>
                  </c:pt>
                  <c:pt idx="7">
                    <c:v>1.4242243576950597E-3</c:v>
                  </c:pt>
                  <c:pt idx="8">
                    <c:v>1.7584482127860502E-3</c:v>
                  </c:pt>
                  <c:pt idx="9">
                    <c:v>2.021900503778385E-3</c:v>
                  </c:pt>
                  <c:pt idx="10">
                    <c:v>2.3090640823971932E-3</c:v>
                  </c:pt>
                  <c:pt idx="11">
                    <c:v>2.5481523485219554E-3</c:v>
                  </c:pt>
                  <c:pt idx="12">
                    <c:v>2.7971699731912576E-3</c:v>
                  </c:pt>
                  <c:pt idx="13">
                    <c:v>2.9346570718789774E-3</c:v>
                  </c:pt>
                  <c:pt idx="14">
                    <c:v>3.0830014266036046E-3</c:v>
                  </c:pt>
                  <c:pt idx="15">
                    <c:v>3.2338224684008367E-3</c:v>
                  </c:pt>
                  <c:pt idx="16">
                    <c:v>3.3609958540935167E-3</c:v>
                  </c:pt>
                  <c:pt idx="17">
                    <c:v>3.4465606031260265E-3</c:v>
                  </c:pt>
                  <c:pt idx="18">
                    <c:v>3.5152004760873523E-3</c:v>
                  </c:pt>
                  <c:pt idx="19">
                    <c:v>3.5611509268677522E-3</c:v>
                  </c:pt>
                  <c:pt idx="20">
                    <c:v>3.59101428916523E-3</c:v>
                  </c:pt>
                  <c:pt idx="21">
                    <c:v>3.7176475362246508E-3</c:v>
                  </c:pt>
                  <c:pt idx="22">
                    <c:v>3.8141850240212098E-3</c:v>
                  </c:pt>
                  <c:pt idx="23">
                    <c:v>3.903049177525758E-3</c:v>
                  </c:pt>
                  <c:pt idx="24">
                    <c:v>3.9694504523869294E-3</c:v>
                  </c:pt>
                  <c:pt idx="25">
                    <c:v>4.0536098873072499E-3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2'!$R$7:$R$32</c:f>
                <c:numCache>
                  <c:formatCode>General</c:formatCode>
                  <c:ptCount val="26"/>
                  <c:pt idx="0">
                    <c:v>2.8952965460216787E-3</c:v>
                  </c:pt>
                  <c:pt idx="1">
                    <c:v>2.2857604310697463E-3</c:v>
                  </c:pt>
                  <c:pt idx="2">
                    <c:v>2.7143405118953234E-3</c:v>
                  </c:pt>
                  <c:pt idx="3">
                    <c:v>1.7165789798547501E-3</c:v>
                  </c:pt>
                  <c:pt idx="4">
                    <c:v>1.0099871672168647E-3</c:v>
                  </c:pt>
                  <c:pt idx="5">
                    <c:v>5.1213971922553275E-4</c:v>
                  </c:pt>
                  <c:pt idx="6">
                    <c:v>4.5051294803241882E-4</c:v>
                  </c:pt>
                  <c:pt idx="7">
                    <c:v>3.5892105942417505E-4</c:v>
                  </c:pt>
                  <c:pt idx="8">
                    <c:v>2.5456886395266808E-4</c:v>
                  </c:pt>
                  <c:pt idx="9">
                    <c:v>2.0466280956797916E-4</c:v>
                  </c:pt>
                  <c:pt idx="10">
                    <c:v>1.663963532196367E-4</c:v>
                  </c:pt>
                  <c:pt idx="11">
                    <c:v>1.3977936334188984E-4</c:v>
                  </c:pt>
                  <c:pt idx="12">
                    <c:v>1.1718685426423415E-4</c:v>
                  </c:pt>
                  <c:pt idx="13">
                    <c:v>1.0211485584369899E-4</c:v>
                  </c:pt>
                  <c:pt idx="14">
                    <c:v>9.057236327492216E-5</c:v>
                  </c:pt>
                  <c:pt idx="15">
                    <c:v>8.0454702093970309E-5</c:v>
                  </c:pt>
                  <c:pt idx="16">
                    <c:v>7.2563823208563358E-5</c:v>
                  </c:pt>
                  <c:pt idx="17">
                    <c:v>6.9710189711597392E-5</c:v>
                  </c:pt>
                  <c:pt idx="18">
                    <c:v>6.6814535677423345E-5</c:v>
                  </c:pt>
                  <c:pt idx="19">
                    <c:v>6.4055233319063677E-5</c:v>
                  </c:pt>
                  <c:pt idx="20">
                    <c:v>6.0093328061886225E-5</c:v>
                  </c:pt>
                  <c:pt idx="21">
                    <c:v>5.3949625081149278E-5</c:v>
                  </c:pt>
                  <c:pt idx="22">
                    <c:v>4.952611265859867E-5</c:v>
                  </c:pt>
                  <c:pt idx="23">
                    <c:v>4.6349464450720579E-5</c:v>
                  </c:pt>
                  <c:pt idx="24">
                    <c:v>4.3170425636506131E-5</c:v>
                  </c:pt>
                  <c:pt idx="25">
                    <c:v>4.0064066596240934E-5</c:v>
                  </c:pt>
                </c:numCache>
              </c:numRef>
            </c:plus>
            <c:minus>
              <c:numRef>
                <c:f>'Parte 2'!$R$7:$R$32</c:f>
                <c:numCache>
                  <c:formatCode>General</c:formatCode>
                  <c:ptCount val="26"/>
                  <c:pt idx="0">
                    <c:v>2.8952965460216787E-3</c:v>
                  </c:pt>
                  <c:pt idx="1">
                    <c:v>2.2857604310697463E-3</c:v>
                  </c:pt>
                  <c:pt idx="2">
                    <c:v>2.7143405118953234E-3</c:v>
                  </c:pt>
                  <c:pt idx="3">
                    <c:v>1.7165789798547501E-3</c:v>
                  </c:pt>
                  <c:pt idx="4">
                    <c:v>1.0099871672168647E-3</c:v>
                  </c:pt>
                  <c:pt idx="5">
                    <c:v>5.1213971922553275E-4</c:v>
                  </c:pt>
                  <c:pt idx="6">
                    <c:v>4.5051294803241882E-4</c:v>
                  </c:pt>
                  <c:pt idx="7">
                    <c:v>3.5892105942417505E-4</c:v>
                  </c:pt>
                  <c:pt idx="8">
                    <c:v>2.5456886395266808E-4</c:v>
                  </c:pt>
                  <c:pt idx="9">
                    <c:v>2.0466280956797916E-4</c:v>
                  </c:pt>
                  <c:pt idx="10">
                    <c:v>1.663963532196367E-4</c:v>
                  </c:pt>
                  <c:pt idx="11">
                    <c:v>1.3977936334188984E-4</c:v>
                  </c:pt>
                  <c:pt idx="12">
                    <c:v>1.1718685426423415E-4</c:v>
                  </c:pt>
                  <c:pt idx="13">
                    <c:v>1.0211485584369899E-4</c:v>
                  </c:pt>
                  <c:pt idx="14">
                    <c:v>9.057236327492216E-5</c:v>
                  </c:pt>
                  <c:pt idx="15">
                    <c:v>8.0454702093970309E-5</c:v>
                  </c:pt>
                  <c:pt idx="16">
                    <c:v>7.2563823208563358E-5</c:v>
                  </c:pt>
                  <c:pt idx="17">
                    <c:v>6.9710189711597392E-5</c:v>
                  </c:pt>
                  <c:pt idx="18">
                    <c:v>6.6814535677423345E-5</c:v>
                  </c:pt>
                  <c:pt idx="19">
                    <c:v>6.4055233319063677E-5</c:v>
                  </c:pt>
                  <c:pt idx="20">
                    <c:v>6.0093328061886225E-5</c:v>
                  </c:pt>
                  <c:pt idx="21">
                    <c:v>5.3949625081149278E-5</c:v>
                  </c:pt>
                  <c:pt idx="22">
                    <c:v>4.952611265859867E-5</c:v>
                  </c:pt>
                  <c:pt idx="23">
                    <c:v>4.6349464450720579E-5</c:v>
                  </c:pt>
                  <c:pt idx="24">
                    <c:v>4.3170425636506131E-5</c:v>
                  </c:pt>
                  <c:pt idx="25">
                    <c:v>4.0064066596240934E-5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2'!$O$7:$O$50</c:f>
              <c:numCache>
                <c:formatCode>0.0000000</c:formatCode>
                <c:ptCount val="44"/>
                <c:pt idx="0">
                  <c:v>2.8869672014837899</c:v>
                </c:pt>
                <c:pt idx="1">
                  <c:v>2.9165355227023659</c:v>
                </c:pt>
                <c:pt idx="2">
                  <c:v>2.9546330676191301</c:v>
                </c:pt>
                <c:pt idx="3">
                  <c:v>2.9839817895097061</c:v>
                </c:pt>
                <c:pt idx="4">
                  <c:v>3.0254265591679785</c:v>
                </c:pt>
                <c:pt idx="5">
                  <c:v>3.0720914117869915</c:v>
                </c:pt>
                <c:pt idx="6">
                  <c:v>3.0979184845479169</c:v>
                </c:pt>
                <c:pt idx="7">
                  <c:v>3.1235059718687253</c:v>
                </c:pt>
                <c:pt idx="8">
                  <c:v>3.1494813494031955</c:v>
                </c:pt>
                <c:pt idx="9">
                  <c:v>3.1667768691899538</c:v>
                </c:pt>
                <c:pt idx="10">
                  <c:v>3.1850227880865321</c:v>
                </c:pt>
                <c:pt idx="11">
                  <c:v>3.2036500552649096</c:v>
                </c:pt>
                <c:pt idx="12">
                  <c:v>3.2185709044223096</c:v>
                </c:pt>
                <c:pt idx="13">
                  <c:v>3.2299432602134575</c:v>
                </c:pt>
                <c:pt idx="14">
                  <c:v>3.2433071870648513</c:v>
                </c:pt>
                <c:pt idx="15">
                  <c:v>3.254868776589817</c:v>
                </c:pt>
                <c:pt idx="16">
                  <c:v>3.2662308802918294</c:v>
                </c:pt>
                <c:pt idx="17">
                  <c:v>3.2716036719958663</c:v>
                </c:pt>
                <c:pt idx="18">
                  <c:v>3.2762733190046553</c:v>
                </c:pt>
                <c:pt idx="19">
                  <c:v>3.2827578127435286</c:v>
                </c:pt>
                <c:pt idx="20">
                  <c:v>3.2868824027179118</c:v>
                </c:pt>
                <c:pt idx="21">
                  <c:v>3.2969480436789005</c:v>
                </c:pt>
                <c:pt idx="22">
                  <c:v>3.3057837917491555</c:v>
                </c:pt>
                <c:pt idx="23">
                  <c:v>3.3129868291207454</c:v>
                </c:pt>
                <c:pt idx="24">
                  <c:v>3.3199482892845902</c:v>
                </c:pt>
                <c:pt idx="25">
                  <c:v>3.3287630747749728</c:v>
                </c:pt>
                <c:pt idx="26">
                  <c:v>3.2579494170767522</c:v>
                </c:pt>
                <c:pt idx="27">
                  <c:v>3.2630358557199157</c:v>
                </c:pt>
                <c:pt idx="28">
                  <c:v>3.2671858744090962</c:v>
                </c:pt>
                <c:pt idx="29">
                  <c:v>3.2737488383314801</c:v>
                </c:pt>
                <c:pt idx="30">
                  <c:v>3.2779178293225786</c:v>
                </c:pt>
                <c:pt idx="31">
                  <c:v>3.282729210985889</c:v>
                </c:pt>
                <c:pt idx="32">
                  <c:v>3.2866324052966025</c:v>
                </c:pt>
                <c:pt idx="33">
                  <c:v>3.2884532437142968</c:v>
                </c:pt>
                <c:pt idx="34">
                  <c:v>3.2943464079961218</c:v>
                </c:pt>
                <c:pt idx="35">
                  <c:v>3.301809194283539</c:v>
                </c:pt>
                <c:pt idx="36">
                  <c:v>3.3033087494977198</c:v>
                </c:pt>
                <c:pt idx="37">
                  <c:v>3.3106201331300893</c:v>
                </c:pt>
                <c:pt idx="38">
                  <c:v>3.3157937155903214</c:v>
                </c:pt>
                <c:pt idx="39">
                  <c:v>3.3175609027529793</c:v>
                </c:pt>
                <c:pt idx="40">
                  <c:v>3.3190722785452427</c:v>
                </c:pt>
                <c:pt idx="41">
                  <c:v>3.3214131871304722</c:v>
                </c:pt>
                <c:pt idx="42">
                  <c:v>3.3230802031427444</c:v>
                </c:pt>
                <c:pt idx="43">
                  <c:v>3.3263341293685507</c:v>
                </c:pt>
              </c:numCache>
            </c:numRef>
          </c:xVal>
          <c:yVal>
            <c:numRef>
              <c:f>'Parte 2'!$Q$7:$Q$50</c:f>
              <c:numCache>
                <c:formatCode>0.00000</c:formatCode>
                <c:ptCount val="44"/>
                <c:pt idx="0">
                  <c:v>-3.8239087409443187</c:v>
                </c:pt>
                <c:pt idx="1">
                  <c:v>-3.7212463990471711</c:v>
                </c:pt>
                <c:pt idx="2">
                  <c:v>-3.795880017344075</c:v>
                </c:pt>
                <c:pt idx="3">
                  <c:v>-3.596879478824182</c:v>
                </c:pt>
                <c:pt idx="4">
                  <c:v>-3.3665315444204134</c:v>
                </c:pt>
                <c:pt idx="5">
                  <c:v>-3.0716041477432863</c:v>
                </c:pt>
                <c:pt idx="6">
                  <c:v>-3.0159229660971691</c:v>
                </c:pt>
                <c:pt idx="7">
                  <c:v>-2.9172146296835502</c:v>
                </c:pt>
                <c:pt idx="8">
                  <c:v>-2.7680209731684959</c:v>
                </c:pt>
                <c:pt idx="9">
                  <c:v>-2.6732546204346783</c:v>
                </c:pt>
                <c:pt idx="10">
                  <c:v>-2.5833594926617192</c:v>
                </c:pt>
                <c:pt idx="11">
                  <c:v>-2.5076587467450255</c:v>
                </c:pt>
                <c:pt idx="12">
                  <c:v>-2.4310945850171213</c:v>
                </c:pt>
                <c:pt idx="13">
                  <c:v>-2.3713046172859769</c:v>
                </c:pt>
                <c:pt idx="14">
                  <c:v>-2.3192113884933176</c:v>
                </c:pt>
                <c:pt idx="15">
                  <c:v>-2.267767119779502</c:v>
                </c:pt>
                <c:pt idx="16">
                  <c:v>-2.2229358452575703</c:v>
                </c:pt>
                <c:pt idx="17">
                  <c:v>-2.2055119533408303</c:v>
                </c:pt>
                <c:pt idx="18">
                  <c:v>-2.1870866433571443</c:v>
                </c:pt>
                <c:pt idx="19">
                  <c:v>-2.1687703061329366</c:v>
                </c:pt>
                <c:pt idx="20">
                  <c:v>-2.141041945281994</c:v>
                </c:pt>
                <c:pt idx="21">
                  <c:v>-2.0942041196321313</c:v>
                </c:pt>
                <c:pt idx="22">
                  <c:v>-2.057049929922901</c:v>
                </c:pt>
                <c:pt idx="23">
                  <c:v>-2.0282604091122218</c:v>
                </c:pt>
                <c:pt idx="24">
                  <c:v>-1.9974020192800914</c:v>
                </c:pt>
                <c:pt idx="25">
                  <c:v>-1.9649707177976319</c:v>
                </c:pt>
                <c:pt idx="26">
                  <c:v>-2.2498774732165998</c:v>
                </c:pt>
                <c:pt idx="27">
                  <c:v>-2.2333641136897326</c:v>
                </c:pt>
                <c:pt idx="28">
                  <c:v>-2.2127521196680462</c:v>
                </c:pt>
                <c:pt idx="29">
                  <c:v>-2.1832948163334844</c:v>
                </c:pt>
                <c:pt idx="30">
                  <c:v>-2.1618438152478521</c:v>
                </c:pt>
                <c:pt idx="31">
                  <c:v>-2.1423057422134502</c:v>
                </c:pt>
                <c:pt idx="32">
                  <c:v>-2.1272611725273314</c:v>
                </c:pt>
                <c:pt idx="33">
                  <c:v>-2.120216219909584</c:v>
                </c:pt>
                <c:pt idx="34">
                  <c:v>-2.0958256317158366</c:v>
                </c:pt>
                <c:pt idx="35">
                  <c:v>-2.0792507387242916</c:v>
                </c:pt>
                <c:pt idx="36">
                  <c:v>-2.0652995982845752</c:v>
                </c:pt>
                <c:pt idx="37">
                  <c:v>-2.0235583106211554</c:v>
                </c:pt>
                <c:pt idx="38">
                  <c:v>-2.0177740083253251</c:v>
                </c:pt>
                <c:pt idx="39">
                  <c:v>-2.0080654502810522</c:v>
                </c:pt>
                <c:pt idx="40">
                  <c:v>-1.9977475200794617</c:v>
                </c:pt>
                <c:pt idx="41">
                  <c:v>-1.9898697227848521</c:v>
                </c:pt>
                <c:pt idx="42">
                  <c:v>-1.981507546598527</c:v>
                </c:pt>
                <c:pt idx="43">
                  <c:v>-1.9652111687488161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7-A346-879C-F8313EECAB6F}"/>
            </c:ext>
          </c:extLst>
        </c:ser>
        <c:ser>
          <c:idx val="1"/>
          <c:order val="1"/>
          <c:tx>
            <c:v>Aj. lin.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2'!$O$7:$O$50</c:f>
              <c:numCache>
                <c:formatCode>0.0000000</c:formatCode>
                <c:ptCount val="44"/>
                <c:pt idx="0">
                  <c:v>2.8869672014837899</c:v>
                </c:pt>
                <c:pt idx="1">
                  <c:v>2.9165355227023659</c:v>
                </c:pt>
                <c:pt idx="2">
                  <c:v>2.9546330676191301</c:v>
                </c:pt>
                <c:pt idx="3">
                  <c:v>2.9839817895097061</c:v>
                </c:pt>
                <c:pt idx="4">
                  <c:v>3.0254265591679785</c:v>
                </c:pt>
                <c:pt idx="5">
                  <c:v>3.0720914117869915</c:v>
                </c:pt>
                <c:pt idx="6">
                  <c:v>3.0979184845479169</c:v>
                </c:pt>
                <c:pt idx="7">
                  <c:v>3.1235059718687253</c:v>
                </c:pt>
                <c:pt idx="8">
                  <c:v>3.1494813494031955</c:v>
                </c:pt>
                <c:pt idx="9">
                  <c:v>3.1667768691899538</c:v>
                </c:pt>
                <c:pt idx="10">
                  <c:v>3.1850227880865321</c:v>
                </c:pt>
                <c:pt idx="11">
                  <c:v>3.2036500552649096</c:v>
                </c:pt>
                <c:pt idx="12">
                  <c:v>3.2185709044223096</c:v>
                </c:pt>
                <c:pt idx="13">
                  <c:v>3.2299432602134575</c:v>
                </c:pt>
                <c:pt idx="14">
                  <c:v>3.2433071870648513</c:v>
                </c:pt>
                <c:pt idx="15">
                  <c:v>3.254868776589817</c:v>
                </c:pt>
                <c:pt idx="16">
                  <c:v>3.2662308802918294</c:v>
                </c:pt>
                <c:pt idx="17">
                  <c:v>3.2716036719958663</c:v>
                </c:pt>
                <c:pt idx="18">
                  <c:v>3.2762733190046553</c:v>
                </c:pt>
                <c:pt idx="19">
                  <c:v>3.2827578127435286</c:v>
                </c:pt>
                <c:pt idx="20">
                  <c:v>3.2868824027179118</c:v>
                </c:pt>
                <c:pt idx="21">
                  <c:v>3.2969480436789005</c:v>
                </c:pt>
                <c:pt idx="22">
                  <c:v>3.3057837917491555</c:v>
                </c:pt>
                <c:pt idx="23">
                  <c:v>3.3129868291207454</c:v>
                </c:pt>
                <c:pt idx="24">
                  <c:v>3.3199482892845902</c:v>
                </c:pt>
                <c:pt idx="25">
                  <c:v>3.3287630747749728</c:v>
                </c:pt>
                <c:pt idx="26">
                  <c:v>3.2579494170767522</c:v>
                </c:pt>
                <c:pt idx="27">
                  <c:v>3.2630358557199157</c:v>
                </c:pt>
                <c:pt idx="28">
                  <c:v>3.2671858744090962</c:v>
                </c:pt>
                <c:pt idx="29">
                  <c:v>3.2737488383314801</c:v>
                </c:pt>
                <c:pt idx="30">
                  <c:v>3.2779178293225786</c:v>
                </c:pt>
                <c:pt idx="31">
                  <c:v>3.282729210985889</c:v>
                </c:pt>
                <c:pt idx="32">
                  <c:v>3.2866324052966025</c:v>
                </c:pt>
                <c:pt idx="33">
                  <c:v>3.2884532437142968</c:v>
                </c:pt>
                <c:pt idx="34">
                  <c:v>3.2943464079961218</c:v>
                </c:pt>
                <c:pt idx="35">
                  <c:v>3.301809194283539</c:v>
                </c:pt>
                <c:pt idx="36">
                  <c:v>3.3033087494977198</c:v>
                </c:pt>
                <c:pt idx="37">
                  <c:v>3.3106201331300893</c:v>
                </c:pt>
                <c:pt idx="38">
                  <c:v>3.3157937155903214</c:v>
                </c:pt>
                <c:pt idx="39">
                  <c:v>3.3175609027529793</c:v>
                </c:pt>
                <c:pt idx="40">
                  <c:v>3.3190722785452427</c:v>
                </c:pt>
                <c:pt idx="41">
                  <c:v>3.3214131871304722</c:v>
                </c:pt>
                <c:pt idx="42">
                  <c:v>3.3230802031427444</c:v>
                </c:pt>
                <c:pt idx="43">
                  <c:v>3.3263341293685507</c:v>
                </c:pt>
              </c:numCache>
            </c:numRef>
          </c:xVal>
          <c:yVal>
            <c:numRef>
              <c:f>'Parte 2'!$V$7:$V$50</c:f>
              <c:numCache>
                <c:formatCode>0.000</c:formatCode>
                <c:ptCount val="44"/>
                <c:pt idx="0">
                  <c:v>-3.8712240991068931</c:v>
                </c:pt>
                <c:pt idx="1">
                  <c:v>-3.7429054016805434</c:v>
                </c:pt>
                <c:pt idx="2">
                  <c:v>-3.5775721281841175</c:v>
                </c:pt>
                <c:pt idx="3">
                  <c:v>-3.4502064337881517</c:v>
                </c:pt>
                <c:pt idx="4">
                  <c:v>-3.2703470897837477</c:v>
                </c:pt>
                <c:pt idx="5">
                  <c:v>-3.067833965707484</c:v>
                </c:pt>
                <c:pt idx="6">
                  <c:v>-2.9557512975533164</c:v>
                </c:pt>
                <c:pt idx="7">
                  <c:v>-2.8447083668726041</c:v>
                </c:pt>
                <c:pt idx="8">
                  <c:v>-2.7319820952070071</c:v>
                </c:pt>
                <c:pt idx="9">
                  <c:v>-2.6569241115648978</c:v>
                </c:pt>
                <c:pt idx="10">
                  <c:v>-2.577741647033065</c:v>
                </c:pt>
                <c:pt idx="11">
                  <c:v>-2.4969042317712091</c:v>
                </c:pt>
                <c:pt idx="12">
                  <c:v>-2.4321516908941234</c:v>
                </c:pt>
                <c:pt idx="13">
                  <c:v>-2.3827986731491624</c:v>
                </c:pt>
                <c:pt idx="14">
                  <c:v>-2.3248027634931709</c:v>
                </c:pt>
                <c:pt idx="15">
                  <c:v>-2.2746285213691486</c:v>
                </c:pt>
                <c:pt idx="16">
                  <c:v>-2.2253199949808007</c:v>
                </c:pt>
                <c:pt idx="17">
                  <c:v>-2.2020034993330189</c:v>
                </c:pt>
                <c:pt idx="18">
                  <c:v>-2.1817384657797376</c:v>
                </c:pt>
                <c:pt idx="19">
                  <c:v>-2.1535974771895976</c:v>
                </c:pt>
                <c:pt idx="20">
                  <c:v>-2.135697847074713</c:v>
                </c:pt>
                <c:pt idx="21">
                  <c:v>-2.0920156262503546</c:v>
                </c:pt>
                <c:pt idx="22">
                  <c:v>-2.0536708154380925</c:v>
                </c:pt>
                <c:pt idx="23">
                  <c:v>-2.0224115374356924</c:v>
                </c:pt>
                <c:pt idx="24">
                  <c:v>-1.9922006406517117</c:v>
                </c:pt>
                <c:pt idx="25">
                  <c:v>-1.9539468018944408</c:v>
                </c:pt>
                <c:pt idx="26">
                  <c:v>-2.2612593560519763</c:v>
                </c:pt>
                <c:pt idx="27">
                  <c:v>-2.2391855569882768</c:v>
                </c:pt>
                <c:pt idx="28">
                  <c:v>-2.2211755729734897</c:v>
                </c:pt>
                <c:pt idx="29">
                  <c:v>-2.1926940445312404</c:v>
                </c:pt>
                <c:pt idx="30">
                  <c:v>-2.1746017257416348</c:v>
                </c:pt>
                <c:pt idx="31">
                  <c:v>-2.1537216012566116</c:v>
                </c:pt>
                <c:pt idx="32">
                  <c:v>-2.1367827697940385</c:v>
                </c:pt>
                <c:pt idx="33">
                  <c:v>-2.1288808124169112</c:v>
                </c:pt>
                <c:pt idx="34">
                  <c:v>-2.1033060373468881</c:v>
                </c:pt>
                <c:pt idx="35">
                  <c:v>-2.0709195177168525</c:v>
                </c:pt>
                <c:pt idx="36">
                  <c:v>-2.0644118445087543</c:v>
                </c:pt>
                <c:pt idx="37">
                  <c:v>-2.0326823723769181</c:v>
                </c:pt>
                <c:pt idx="38">
                  <c:v>-2.0102303921844236</c:v>
                </c:pt>
                <c:pt idx="39">
                  <c:v>-2.0025612670709432</c:v>
                </c:pt>
                <c:pt idx="40">
                  <c:v>-1.9960022956788475</c:v>
                </c:pt>
                <c:pt idx="41">
                  <c:v>-1.9858433712600299</c:v>
                </c:pt>
                <c:pt idx="42">
                  <c:v>-1.9786089624580434</c:v>
                </c:pt>
                <c:pt idx="43">
                  <c:v>-1.9644877828438769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AF-5C46-AE94-EB2464737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91423"/>
        <c:axId val="1467241439"/>
      </c:scatterChart>
      <c:valAx>
        <c:axId val="146509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241439"/>
        <c:crossesAt val="-90"/>
        <c:crossBetween val="midCat"/>
      </c:valAx>
      <c:valAx>
        <c:axId val="1467241439"/>
        <c:scaling>
          <c:orientation val="minMax"/>
          <c:max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log(Vs)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9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046811924644325"/>
          <c:y val="0.65771414422545615"/>
          <c:w val="0.20215064013527265"/>
          <c:h val="0.1558569853648565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 b="0" i="0" baseline="0">
                <a:effectLst/>
              </a:rPr>
              <a:t>Resíduos  log(Vs)[log(T)] - Regressão Linear 1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1875747719894757"/>
          <c:y val="2.4709296104141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08025245219219"/>
          <c:y val="0.14532529301917635"/>
          <c:w val="0.77915682432721134"/>
          <c:h val="0.666505440130932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2'!$O$7:$O$32</c:f>
              <c:numCache>
                <c:formatCode>0.0000000</c:formatCode>
                <c:ptCount val="26"/>
                <c:pt idx="0">
                  <c:v>2.8869672014837899</c:v>
                </c:pt>
                <c:pt idx="1">
                  <c:v>2.9165355227023659</c:v>
                </c:pt>
                <c:pt idx="2">
                  <c:v>2.9546330676191301</c:v>
                </c:pt>
                <c:pt idx="3">
                  <c:v>2.9839817895097061</c:v>
                </c:pt>
                <c:pt idx="4">
                  <c:v>3.0254265591679785</c:v>
                </c:pt>
                <c:pt idx="5">
                  <c:v>3.0720914117869915</c:v>
                </c:pt>
                <c:pt idx="6">
                  <c:v>3.0979184845479169</c:v>
                </c:pt>
                <c:pt idx="7">
                  <c:v>3.1235059718687253</c:v>
                </c:pt>
                <c:pt idx="8">
                  <c:v>3.1494813494031955</c:v>
                </c:pt>
                <c:pt idx="9">
                  <c:v>3.1667768691899538</c:v>
                </c:pt>
                <c:pt idx="10">
                  <c:v>3.1850227880865321</c:v>
                </c:pt>
                <c:pt idx="11">
                  <c:v>3.2036500552649096</c:v>
                </c:pt>
                <c:pt idx="12">
                  <c:v>3.2185709044223096</c:v>
                </c:pt>
                <c:pt idx="13">
                  <c:v>3.2299432602134575</c:v>
                </c:pt>
                <c:pt idx="14">
                  <c:v>3.2433071870648513</c:v>
                </c:pt>
                <c:pt idx="15">
                  <c:v>3.254868776589817</c:v>
                </c:pt>
                <c:pt idx="16">
                  <c:v>3.2662308802918294</c:v>
                </c:pt>
                <c:pt idx="17">
                  <c:v>3.2716036719958663</c:v>
                </c:pt>
                <c:pt idx="18">
                  <c:v>3.2762733190046553</c:v>
                </c:pt>
                <c:pt idx="19">
                  <c:v>3.2827578127435286</c:v>
                </c:pt>
                <c:pt idx="20">
                  <c:v>3.2868824027179118</c:v>
                </c:pt>
                <c:pt idx="21">
                  <c:v>3.2969480436789005</c:v>
                </c:pt>
                <c:pt idx="22">
                  <c:v>3.3057837917491555</c:v>
                </c:pt>
                <c:pt idx="23">
                  <c:v>3.3129868291207454</c:v>
                </c:pt>
                <c:pt idx="24">
                  <c:v>3.3199482892845902</c:v>
                </c:pt>
                <c:pt idx="25">
                  <c:v>3.3287630747749728</c:v>
                </c:pt>
              </c:numCache>
            </c:numRef>
          </c:xVal>
          <c:yVal>
            <c:numRef>
              <c:f>'Parte 2'!$W$7:$W$32</c:f>
              <c:numCache>
                <c:formatCode>0.000</c:formatCode>
                <c:ptCount val="26"/>
                <c:pt idx="0">
                  <c:v>-4.7315358162574483E-2</c:v>
                </c:pt>
                <c:pt idx="1">
                  <c:v>-2.1659002633372282E-2</c:v>
                </c:pt>
                <c:pt idx="2">
                  <c:v>0.21830788915995747</c:v>
                </c:pt>
                <c:pt idx="3">
                  <c:v>0.14667304503603029</c:v>
                </c:pt>
                <c:pt idx="4">
                  <c:v>9.6184454636665695E-2</c:v>
                </c:pt>
                <c:pt idx="5">
                  <c:v>3.7701820358022609E-3</c:v>
                </c:pt>
                <c:pt idx="6">
                  <c:v>6.0171668543852697E-2</c:v>
                </c:pt>
                <c:pt idx="7">
                  <c:v>7.2506262810946076E-2</c:v>
                </c:pt>
                <c:pt idx="8">
                  <c:v>3.6038877961488858E-2</c:v>
                </c:pt>
                <c:pt idx="9">
                  <c:v>1.6330508869780491E-2</c:v>
                </c:pt>
                <c:pt idx="10">
                  <c:v>5.6178456286541945E-3</c:v>
                </c:pt>
                <c:pt idx="11">
                  <c:v>1.0754514973816409E-2</c:v>
                </c:pt>
                <c:pt idx="12">
                  <c:v>-1.0571058770021402E-3</c:v>
                </c:pt>
                <c:pt idx="13">
                  <c:v>-1.1494055863185526E-2</c:v>
                </c:pt>
                <c:pt idx="14">
                  <c:v>-5.5913749998532936E-3</c:v>
                </c:pt>
                <c:pt idx="15">
                  <c:v>-6.861401589646654E-3</c:v>
                </c:pt>
                <c:pt idx="16">
                  <c:v>-2.3841497232304221E-3</c:v>
                </c:pt>
                <c:pt idx="17">
                  <c:v>3.5084540078114124E-3</c:v>
                </c:pt>
                <c:pt idx="18">
                  <c:v>5.3481775774066875E-3</c:v>
                </c:pt>
                <c:pt idx="19">
                  <c:v>1.5172828943339045E-2</c:v>
                </c:pt>
                <c:pt idx="20">
                  <c:v>5.3440982072809895E-3</c:v>
                </c:pt>
                <c:pt idx="21">
                  <c:v>2.1884933817766239E-3</c:v>
                </c:pt>
                <c:pt idx="22">
                  <c:v>3.379114484808543E-3</c:v>
                </c:pt>
                <c:pt idx="23">
                  <c:v>5.8488716765294768E-3</c:v>
                </c:pt>
                <c:pt idx="24">
                  <c:v>5.2013786283797714E-3</c:v>
                </c:pt>
                <c:pt idx="25">
                  <c:v>1.1023915903191073E-2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D-8D45-A805-8F8A5EC5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465599"/>
        <c:axId val="1151367759"/>
      </c:scatterChart>
      <c:valAx>
        <c:axId val="115146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67759"/>
        <c:crossesAt val="-90"/>
        <c:crossBetween val="midCat"/>
      </c:valAx>
      <c:valAx>
        <c:axId val="11513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6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48263572752263"/>
          <c:y val="0.70368618263185367"/>
          <c:w val="0.1306953338657145"/>
          <c:h val="7.8876238538662435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Resíduos de V</a:t>
            </a:r>
            <a:r>
              <a:rPr lang="pt-PT" sz="1800" b="0" i="0" baseline="-25000">
                <a:effectLst/>
              </a:rPr>
              <a:t>S</a:t>
            </a:r>
            <a:r>
              <a:rPr lang="pt-PT" sz="1800" b="0" i="0" baseline="0">
                <a:effectLst/>
              </a:rPr>
              <a:t>(P) - Regressão Linear 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78592958040934"/>
          <c:y val="0.1535271161889406"/>
          <c:w val="0.73951846419511647"/>
          <c:h val="0.6882272076745497"/>
        </c:manualLayout>
      </c:layout>
      <c:scatterChart>
        <c:scatterStyle val="lineMarker"/>
        <c:varyColors val="0"/>
        <c:ser>
          <c:idx val="0"/>
          <c:order val="0"/>
          <c:tx>
            <c:v>Res. Vs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2'!$M$7:$M$50</c:f>
              <c:numCache>
                <c:formatCode>0.00</c:formatCode>
                <c:ptCount val="44"/>
                <c:pt idx="0">
                  <c:v>0.83439000000000008</c:v>
                </c:pt>
                <c:pt idx="1">
                  <c:v>1.00969</c:v>
                </c:pt>
                <c:pt idx="2">
                  <c:v>1.2967199999999999</c:v>
                </c:pt>
                <c:pt idx="3">
                  <c:v>1.5462400000000001</c:v>
                </c:pt>
                <c:pt idx="4">
                  <c:v>2.0932599999999999</c:v>
                </c:pt>
                <c:pt idx="5">
                  <c:v>2.7936000000000001</c:v>
                </c:pt>
                <c:pt idx="6">
                  <c:v>3.4079999999999999</c:v>
                </c:pt>
                <c:pt idx="7">
                  <c:v>4.2848000000000006</c:v>
                </c:pt>
                <c:pt idx="8">
                  <c:v>5.0467000000000004</c:v>
                </c:pt>
                <c:pt idx="9">
                  <c:v>5.7317499999999999</c:v>
                </c:pt>
                <c:pt idx="10">
                  <c:v>6.6163999999999996</c:v>
                </c:pt>
                <c:pt idx="11">
                  <c:v>7.5515999999999996</c:v>
                </c:pt>
                <c:pt idx="12">
                  <c:v>8.6385000000000005</c:v>
                </c:pt>
                <c:pt idx="13">
                  <c:v>9.3917249999999992</c:v>
                </c:pt>
                <c:pt idx="14">
                  <c:v>10.32625</c:v>
                </c:pt>
                <c:pt idx="15">
                  <c:v>11.36</c:v>
                </c:pt>
                <c:pt idx="16">
                  <c:v>12.380800000000001</c:v>
                </c:pt>
                <c:pt idx="17">
                  <c:v>13.082199999999998</c:v>
                </c:pt>
                <c:pt idx="18">
                  <c:v>13.695599999999997</c:v>
                </c:pt>
                <c:pt idx="19">
                  <c:v>14.213699999999999</c:v>
                </c:pt>
                <c:pt idx="20">
                  <c:v>14.560700000000001</c:v>
                </c:pt>
                <c:pt idx="21">
                  <c:v>15.947699999999999</c:v>
                </c:pt>
                <c:pt idx="22">
                  <c:v>17.163899999999998</c:v>
                </c:pt>
                <c:pt idx="23">
                  <c:v>18.369999999999997</c:v>
                </c:pt>
                <c:pt idx="24">
                  <c:v>19.396999999999998</c:v>
                </c:pt>
                <c:pt idx="25">
                  <c:v>20.810400000000001</c:v>
                </c:pt>
                <c:pt idx="26">
                  <c:v>11.779199999999999</c:v>
                </c:pt>
                <c:pt idx="27">
                  <c:v>12.1075</c:v>
                </c:pt>
                <c:pt idx="28">
                  <c:v>12.5832</c:v>
                </c:pt>
                <c:pt idx="29">
                  <c:v>13.335000000000001</c:v>
                </c:pt>
                <c:pt idx="30">
                  <c:v>13.847199999999999</c:v>
                </c:pt>
                <c:pt idx="31">
                  <c:v>14.398999999999999</c:v>
                </c:pt>
                <c:pt idx="32">
                  <c:v>14.740500000000001</c:v>
                </c:pt>
                <c:pt idx="33">
                  <c:v>15.1976</c:v>
                </c:pt>
                <c:pt idx="34">
                  <c:v>15.836400000000003</c:v>
                </c:pt>
                <c:pt idx="35">
                  <c:v>16.5669</c:v>
                </c:pt>
                <c:pt idx="36">
                  <c:v>17.049800000000001</c:v>
                </c:pt>
                <c:pt idx="37">
                  <c:v>18.2531</c:v>
                </c:pt>
                <c:pt idx="38">
                  <c:v>18.731999999999999</c:v>
                </c:pt>
                <c:pt idx="39">
                  <c:v>19.046299999999999</c:v>
                </c:pt>
                <c:pt idx="40">
                  <c:v>19.579499999999999</c:v>
                </c:pt>
                <c:pt idx="41">
                  <c:v>19.934799999999999</c:v>
                </c:pt>
                <c:pt idx="42">
                  <c:v>20.258300000000002</c:v>
                </c:pt>
                <c:pt idx="43">
                  <c:v>20.912499999999998</c:v>
                </c:pt>
              </c:numCache>
            </c:numRef>
          </c:xVal>
          <c:yVal>
            <c:numRef>
              <c:f>'Parte 2'!$U$7:$U$50</c:f>
              <c:numCache>
                <c:formatCode>0.0000000</c:formatCode>
                <c:ptCount val="44"/>
                <c:pt idx="0">
                  <c:v>5.0197543714724905E-4</c:v>
                </c:pt>
                <c:pt idx="1">
                  <c:v>4.450544098510291E-4</c:v>
                </c:pt>
                <c:pt idx="2">
                  <c:v>2.5635935871107446E-4</c:v>
                </c:pt>
                <c:pt idx="3">
                  <c:v>2.1140308528863958E-4</c:v>
                </c:pt>
                <c:pt idx="4">
                  <c:v>8.5963037647006433E-5</c:v>
                </c:pt>
                <c:pt idx="5">
                  <c:v>1.1675441096911264E-4</c:v>
                </c:pt>
                <c:pt idx="6">
                  <c:v>-1.0693913820828392E-4</c:v>
                </c:pt>
                <c:pt idx="7">
                  <c:v>-3.4571014068019378E-4</c:v>
                </c:pt>
                <c:pt idx="8">
                  <c:v>-2.709544686721509E-4</c:v>
                </c:pt>
                <c:pt idx="9">
                  <c:v>-2.3370945868513189E-4</c:v>
                </c:pt>
                <c:pt idx="10">
                  <c:v>-2.3482062124988374E-4</c:v>
                </c:pt>
                <c:pt idx="11">
                  <c:v>-2.5488020326599851E-4</c:v>
                </c:pt>
                <c:pt idx="12">
                  <c:v>-2.5681268796800497E-4</c:v>
                </c:pt>
                <c:pt idx="13">
                  <c:v>-1.2626072439239373E-4</c:v>
                </c:pt>
                <c:pt idx="14">
                  <c:v>-1.0094710792918869E-4</c:v>
                </c:pt>
                <c:pt idx="15">
                  <c:v>-6.9493667926150485E-5</c:v>
                </c:pt>
                <c:pt idx="16">
                  <c:v>-4.6880345986512022E-5</c:v>
                </c:pt>
                <c:pt idx="17">
                  <c:v>-1.8967503249859782E-4</c:v>
                </c:pt>
                <c:pt idx="18">
                  <c:v>-2.5881569503996213E-4</c:v>
                </c:pt>
                <c:pt idx="19">
                  <c:v>-2.6526626116758246E-4</c:v>
                </c:pt>
                <c:pt idx="20">
                  <c:v>-1.0117923870311442E-5</c:v>
                </c:pt>
                <c:pt idx="21">
                  <c:v>4.6028311954805778E-5</c:v>
                </c:pt>
                <c:pt idx="22">
                  <c:v>9.2607585214002017E-5</c:v>
                </c:pt>
                <c:pt idx="23">
                  <c:v>2.6771013497108032E-5</c:v>
                </c:pt>
                <c:pt idx="24">
                  <c:v>1.489564382933569E-4</c:v>
                </c:pt>
                <c:pt idx="25">
                  <c:v>1.4750646692725418E-4</c:v>
                </c:pt>
                <c:pt idx="26">
                  <c:v>-7.4263745750311957E-5</c:v>
                </c:pt>
                <c:pt idx="27">
                  <c:v>-3.7776428359261906E-5</c:v>
                </c:pt>
                <c:pt idx="28">
                  <c:v>-1.6784601119170656E-5</c:v>
                </c:pt>
                <c:pt idx="29">
                  <c:v>-2.4447740872152179E-6</c:v>
                </c:pt>
                <c:pt idx="30">
                  <c:v>4.6366690937748797E-5</c:v>
                </c:pt>
                <c:pt idx="31">
                  <c:v>5.8283845175887729E-5</c:v>
                </c:pt>
                <c:pt idx="32">
                  <c:v>1.234730589713285E-4</c:v>
                </c:pt>
                <c:pt idx="33">
                  <c:v>-7.2514223584041124E-6</c:v>
                </c:pt>
                <c:pt idx="34">
                  <c:v>7.7564594545040388E-5</c:v>
                </c:pt>
                <c:pt idx="35">
                  <c:v>-1.4319093075540815E-5</c:v>
                </c:pt>
                <c:pt idx="36">
                  <c:v>-9.3080496148759823E-6</c:v>
                </c:pt>
                <c:pt idx="37">
                  <c:v>1.9340346124912221E-4</c:v>
                </c:pt>
                <c:pt idx="38">
                  <c:v>5.5626051253917369E-5</c:v>
                </c:pt>
                <c:pt idx="39">
                  <c:v>9.8853781549399292E-5</c:v>
                </c:pt>
                <c:pt idx="40">
                  <c:v>4.0054627217711233E-5</c:v>
                </c:pt>
                <c:pt idx="41">
                  <c:v>2.7614005435926472E-5</c:v>
                </c:pt>
                <c:pt idx="42">
                  <c:v>4.7755178679923307E-5</c:v>
                </c:pt>
                <c:pt idx="43">
                  <c:v>8.5056741388499224E-5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8-D64A-8313-B7CC0F40E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25935"/>
        <c:axId val="1243127567"/>
      </c:scatterChart>
      <c:valAx>
        <c:axId val="1243125935"/>
        <c:scaling>
          <c:orientation val="minMax"/>
          <c:max val="21.5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P(W)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7567"/>
        <c:crossesAt val="-90"/>
        <c:crossBetween val="midCat"/>
        <c:majorUnit val="2"/>
      </c:valAx>
      <c:valAx>
        <c:axId val="12431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10963347717522"/>
          <c:y val="0.19117605077600894"/>
          <c:w val="0.10889068058680232"/>
          <c:h val="7.7369078657528109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</a:t>
            </a:r>
            <a:r>
              <a:rPr lang="pt-PT" sz="1800" b="0" i="0" baseline="-25000">
                <a:effectLst/>
              </a:rPr>
              <a:t>S</a:t>
            </a:r>
            <a:r>
              <a:rPr lang="pt-PT" sz="1800" b="0" i="0" baseline="0">
                <a:effectLst/>
              </a:rPr>
              <a:t>(P) - Regressão Linear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46853427801949"/>
          <c:y val="0.14632932772985238"/>
          <c:w val="0.77627513584282959"/>
          <c:h val="0.67404661806566391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2'!$N$7:$N$32</c:f>
                <c:numCache>
                  <c:formatCode>General</c:formatCode>
                  <c:ptCount val="26"/>
                  <c:pt idx="0">
                    <c:v>1.3140000000000002E-2</c:v>
                  </c:pt>
                  <c:pt idx="1">
                    <c:v>1.507E-2</c:v>
                  </c:pt>
                  <c:pt idx="2">
                    <c:v>1.8010000000000002E-2</c:v>
                  </c:pt>
                  <c:pt idx="3">
                    <c:v>2.0480000000000002E-2</c:v>
                  </c:pt>
                  <c:pt idx="4">
                    <c:v>2.5219999999999996E-2</c:v>
                  </c:pt>
                  <c:pt idx="5">
                    <c:v>3.1040000000000002E-2</c:v>
                  </c:pt>
                  <c:pt idx="6">
                    <c:v>3.5499999999999997E-2</c:v>
                  </c:pt>
                  <c:pt idx="7">
                    <c:v>4.1200000000000001E-2</c:v>
                  </c:pt>
                  <c:pt idx="8">
                    <c:v>4.6299999999999994E-2</c:v>
                  </c:pt>
                  <c:pt idx="9">
                    <c:v>5.0500000000000003E-2</c:v>
                  </c:pt>
                  <c:pt idx="10">
                    <c:v>5.5599999999999997E-2</c:v>
                  </c:pt>
                  <c:pt idx="11">
                    <c:v>6.0899999999999996E-2</c:v>
                  </c:pt>
                  <c:pt idx="12">
                    <c:v>6.6449999999999995E-2</c:v>
                  </c:pt>
                  <c:pt idx="13">
                    <c:v>7.0349999999999996E-2</c:v>
                  </c:pt>
                  <c:pt idx="14">
                    <c:v>7.51E-2</c:v>
                  </c:pt>
                  <c:pt idx="15">
                    <c:v>0.08</c:v>
                  </c:pt>
                  <c:pt idx="16">
                    <c:v>8.48E-2</c:v>
                  </c:pt>
                  <c:pt idx="17">
                    <c:v>8.7800000000000003E-2</c:v>
                  </c:pt>
                  <c:pt idx="18">
                    <c:v>9.0399999999999994E-2</c:v>
                  </c:pt>
                  <c:pt idx="19">
                    <c:v>9.2899999999999996E-2</c:v>
                  </c:pt>
                  <c:pt idx="20">
                    <c:v>9.4550000000000009E-2</c:v>
                  </c:pt>
                  <c:pt idx="21">
                    <c:v>0.1003</c:v>
                  </c:pt>
                  <c:pt idx="22">
                    <c:v>0.10529999999999999</c:v>
                  </c:pt>
                  <c:pt idx="23">
                    <c:v>0.11</c:v>
                  </c:pt>
                  <c:pt idx="24">
                    <c:v>0.11410000000000001</c:v>
                  </c:pt>
                  <c:pt idx="25">
                    <c:v>0.11960000000000001</c:v>
                  </c:pt>
                </c:numCache>
              </c:numRef>
            </c:plus>
            <c:minus>
              <c:numRef>
                <c:f>'Parte 2'!$N$7:$N$32</c:f>
                <c:numCache>
                  <c:formatCode>General</c:formatCode>
                  <c:ptCount val="26"/>
                  <c:pt idx="0">
                    <c:v>1.3140000000000002E-2</c:v>
                  </c:pt>
                  <c:pt idx="1">
                    <c:v>1.507E-2</c:v>
                  </c:pt>
                  <c:pt idx="2">
                    <c:v>1.8010000000000002E-2</c:v>
                  </c:pt>
                  <c:pt idx="3">
                    <c:v>2.0480000000000002E-2</c:v>
                  </c:pt>
                  <c:pt idx="4">
                    <c:v>2.5219999999999996E-2</c:v>
                  </c:pt>
                  <c:pt idx="5">
                    <c:v>3.1040000000000002E-2</c:v>
                  </c:pt>
                  <c:pt idx="6">
                    <c:v>3.5499999999999997E-2</c:v>
                  </c:pt>
                  <c:pt idx="7">
                    <c:v>4.1200000000000001E-2</c:v>
                  </c:pt>
                  <c:pt idx="8">
                    <c:v>4.6299999999999994E-2</c:v>
                  </c:pt>
                  <c:pt idx="9">
                    <c:v>5.0500000000000003E-2</c:v>
                  </c:pt>
                  <c:pt idx="10">
                    <c:v>5.5599999999999997E-2</c:v>
                  </c:pt>
                  <c:pt idx="11">
                    <c:v>6.0899999999999996E-2</c:v>
                  </c:pt>
                  <c:pt idx="12">
                    <c:v>6.6449999999999995E-2</c:v>
                  </c:pt>
                  <c:pt idx="13">
                    <c:v>7.0349999999999996E-2</c:v>
                  </c:pt>
                  <c:pt idx="14">
                    <c:v>7.51E-2</c:v>
                  </c:pt>
                  <c:pt idx="15">
                    <c:v>0.08</c:v>
                  </c:pt>
                  <c:pt idx="16">
                    <c:v>8.48E-2</c:v>
                  </c:pt>
                  <c:pt idx="17">
                    <c:v>8.7800000000000003E-2</c:v>
                  </c:pt>
                  <c:pt idx="18">
                    <c:v>9.0399999999999994E-2</c:v>
                  </c:pt>
                  <c:pt idx="19">
                    <c:v>9.2899999999999996E-2</c:v>
                  </c:pt>
                  <c:pt idx="20">
                    <c:v>9.4550000000000009E-2</c:v>
                  </c:pt>
                  <c:pt idx="21">
                    <c:v>0.1003</c:v>
                  </c:pt>
                  <c:pt idx="22">
                    <c:v>0.10529999999999999</c:v>
                  </c:pt>
                  <c:pt idx="23">
                    <c:v>0.11</c:v>
                  </c:pt>
                  <c:pt idx="24">
                    <c:v>0.11410000000000001</c:v>
                  </c:pt>
                  <c:pt idx="25">
                    <c:v>0.11960000000000001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2'!$G$3</c:f>
                <c:numCache>
                  <c:formatCode>General</c:formatCode>
                  <c:ptCount val="1"/>
                  <c:pt idx="0">
                    <c:v>9.9999999999999995E-7</c:v>
                  </c:pt>
                </c:numCache>
              </c:numRef>
            </c:plus>
            <c:minus>
              <c:numRef>
                <c:f>'Parte 2'!$G$3</c:f>
                <c:numCache>
                  <c:formatCode>General</c:formatCode>
                  <c:ptCount val="1"/>
                  <c:pt idx="0">
                    <c:v>9.9999999999999995E-7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2'!$M$22:$M$50</c:f>
              <c:numCache>
                <c:formatCode>0.00</c:formatCode>
                <c:ptCount val="29"/>
                <c:pt idx="0">
                  <c:v>11.36</c:v>
                </c:pt>
                <c:pt idx="1">
                  <c:v>12.380800000000001</c:v>
                </c:pt>
                <c:pt idx="2">
                  <c:v>13.082199999999998</c:v>
                </c:pt>
                <c:pt idx="3">
                  <c:v>13.695599999999997</c:v>
                </c:pt>
                <c:pt idx="4">
                  <c:v>14.213699999999999</c:v>
                </c:pt>
                <c:pt idx="5">
                  <c:v>14.560700000000001</c:v>
                </c:pt>
                <c:pt idx="6">
                  <c:v>15.947699999999999</c:v>
                </c:pt>
                <c:pt idx="7">
                  <c:v>17.163899999999998</c:v>
                </c:pt>
                <c:pt idx="8">
                  <c:v>18.369999999999997</c:v>
                </c:pt>
                <c:pt idx="9">
                  <c:v>19.396999999999998</c:v>
                </c:pt>
                <c:pt idx="10">
                  <c:v>20.810400000000001</c:v>
                </c:pt>
                <c:pt idx="11">
                  <c:v>11.779199999999999</c:v>
                </c:pt>
                <c:pt idx="12">
                  <c:v>12.1075</c:v>
                </c:pt>
                <c:pt idx="13">
                  <c:v>12.5832</c:v>
                </c:pt>
                <c:pt idx="14">
                  <c:v>13.335000000000001</c:v>
                </c:pt>
                <c:pt idx="15">
                  <c:v>13.847199999999999</c:v>
                </c:pt>
                <c:pt idx="16">
                  <c:v>14.398999999999999</c:v>
                </c:pt>
                <c:pt idx="17">
                  <c:v>14.740500000000001</c:v>
                </c:pt>
                <c:pt idx="18">
                  <c:v>15.1976</c:v>
                </c:pt>
                <c:pt idx="19">
                  <c:v>15.836400000000003</c:v>
                </c:pt>
                <c:pt idx="20">
                  <c:v>16.5669</c:v>
                </c:pt>
                <c:pt idx="21">
                  <c:v>17.049800000000001</c:v>
                </c:pt>
                <c:pt idx="22">
                  <c:v>18.2531</c:v>
                </c:pt>
                <c:pt idx="23">
                  <c:v>18.731999999999999</c:v>
                </c:pt>
                <c:pt idx="24">
                  <c:v>19.046299999999999</c:v>
                </c:pt>
                <c:pt idx="25">
                  <c:v>19.579499999999999</c:v>
                </c:pt>
                <c:pt idx="26">
                  <c:v>19.934799999999999</c:v>
                </c:pt>
                <c:pt idx="27">
                  <c:v>20.258300000000002</c:v>
                </c:pt>
                <c:pt idx="28">
                  <c:v>20.912499999999998</c:v>
                </c:pt>
              </c:numCache>
            </c:numRef>
          </c:xVal>
          <c:yVal>
            <c:numRef>
              <c:f>'Parte 2'!$F$22:$F$50</c:f>
              <c:numCache>
                <c:formatCode>0.000000</c:formatCode>
                <c:ptCount val="29"/>
                <c:pt idx="0">
                  <c:v>5.398E-3</c:v>
                </c:pt>
                <c:pt idx="1">
                  <c:v>5.9850000000000007E-3</c:v>
                </c:pt>
                <c:pt idx="2">
                  <c:v>6.2300000000000003E-3</c:v>
                </c:pt>
                <c:pt idx="3">
                  <c:v>6.5000000000000006E-3</c:v>
                </c:pt>
                <c:pt idx="4">
                  <c:v>6.7800000000000004E-3</c:v>
                </c:pt>
                <c:pt idx="5">
                  <c:v>7.2270000000000008E-3</c:v>
                </c:pt>
                <c:pt idx="6">
                  <c:v>8.0500000000000016E-3</c:v>
                </c:pt>
                <c:pt idx="7">
                  <c:v>8.7690000000000008E-3</c:v>
                </c:pt>
                <c:pt idx="8">
                  <c:v>9.3699999999999999E-3</c:v>
                </c:pt>
                <c:pt idx="9">
                  <c:v>1.0060000000000001E-2</c:v>
                </c:pt>
                <c:pt idx="10">
                  <c:v>1.0840000000000001E-2</c:v>
                </c:pt>
                <c:pt idx="11">
                  <c:v>5.6249999999999998E-3</c:v>
                </c:pt>
                <c:pt idx="12">
                  <c:v>5.8430000000000001E-3</c:v>
                </c:pt>
                <c:pt idx="13">
                  <c:v>6.1269999999999996E-3</c:v>
                </c:pt>
                <c:pt idx="14">
                  <c:v>6.5570000000000003E-3</c:v>
                </c:pt>
                <c:pt idx="15">
                  <c:v>6.8890000000000002E-3</c:v>
                </c:pt>
                <c:pt idx="16">
                  <c:v>7.2060000000000006E-3</c:v>
                </c:pt>
                <c:pt idx="17">
                  <c:v>7.4600000000000005E-3</c:v>
                </c:pt>
                <c:pt idx="18">
                  <c:v>7.5820000000000002E-3</c:v>
                </c:pt>
                <c:pt idx="19">
                  <c:v>8.0199999999999994E-3</c:v>
                </c:pt>
                <c:pt idx="20">
                  <c:v>8.3320000000000009E-3</c:v>
                </c:pt>
                <c:pt idx="21">
                  <c:v>8.6039999999999988E-3</c:v>
                </c:pt>
                <c:pt idx="22">
                  <c:v>9.4719999999999995E-3</c:v>
                </c:pt>
                <c:pt idx="23">
                  <c:v>9.5989999999999999E-3</c:v>
                </c:pt>
                <c:pt idx="24">
                  <c:v>9.8160000000000001E-3</c:v>
                </c:pt>
                <c:pt idx="25">
                  <c:v>1.0052E-2</c:v>
                </c:pt>
                <c:pt idx="26">
                  <c:v>1.0236E-2</c:v>
                </c:pt>
                <c:pt idx="27">
                  <c:v>1.0435000000000002E-2</c:v>
                </c:pt>
                <c:pt idx="28">
                  <c:v>1.0834E-2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87-4683-8DD3-013A145FD58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2'!$M$22:$M$50</c:f>
              <c:numCache>
                <c:formatCode>0.00</c:formatCode>
                <c:ptCount val="29"/>
                <c:pt idx="0">
                  <c:v>11.36</c:v>
                </c:pt>
                <c:pt idx="1">
                  <c:v>12.380800000000001</c:v>
                </c:pt>
                <c:pt idx="2">
                  <c:v>13.082199999999998</c:v>
                </c:pt>
                <c:pt idx="3">
                  <c:v>13.695599999999997</c:v>
                </c:pt>
                <c:pt idx="4">
                  <c:v>14.213699999999999</c:v>
                </c:pt>
                <c:pt idx="5">
                  <c:v>14.560700000000001</c:v>
                </c:pt>
                <c:pt idx="6">
                  <c:v>15.947699999999999</c:v>
                </c:pt>
                <c:pt idx="7">
                  <c:v>17.163899999999998</c:v>
                </c:pt>
                <c:pt idx="8">
                  <c:v>18.369999999999997</c:v>
                </c:pt>
                <c:pt idx="9">
                  <c:v>19.396999999999998</c:v>
                </c:pt>
                <c:pt idx="10">
                  <c:v>20.810400000000001</c:v>
                </c:pt>
                <c:pt idx="11">
                  <c:v>11.779199999999999</c:v>
                </c:pt>
                <c:pt idx="12">
                  <c:v>12.1075</c:v>
                </c:pt>
                <c:pt idx="13">
                  <c:v>12.5832</c:v>
                </c:pt>
                <c:pt idx="14">
                  <c:v>13.335000000000001</c:v>
                </c:pt>
                <c:pt idx="15">
                  <c:v>13.847199999999999</c:v>
                </c:pt>
                <c:pt idx="16">
                  <c:v>14.398999999999999</c:v>
                </c:pt>
                <c:pt idx="17">
                  <c:v>14.740500000000001</c:v>
                </c:pt>
                <c:pt idx="18">
                  <c:v>15.1976</c:v>
                </c:pt>
                <c:pt idx="19">
                  <c:v>15.836400000000003</c:v>
                </c:pt>
                <c:pt idx="20">
                  <c:v>16.5669</c:v>
                </c:pt>
                <c:pt idx="21">
                  <c:v>17.049800000000001</c:v>
                </c:pt>
                <c:pt idx="22">
                  <c:v>18.2531</c:v>
                </c:pt>
                <c:pt idx="23">
                  <c:v>18.731999999999999</c:v>
                </c:pt>
                <c:pt idx="24">
                  <c:v>19.046299999999999</c:v>
                </c:pt>
                <c:pt idx="25">
                  <c:v>19.579499999999999</c:v>
                </c:pt>
                <c:pt idx="26">
                  <c:v>19.934799999999999</c:v>
                </c:pt>
                <c:pt idx="27">
                  <c:v>20.258300000000002</c:v>
                </c:pt>
                <c:pt idx="28">
                  <c:v>20.912499999999998</c:v>
                </c:pt>
              </c:numCache>
            </c:numRef>
          </c:xVal>
          <c:yVal>
            <c:numRef>
              <c:f>'Parte 2'!$Y$22:$Y$50</c:f>
              <c:numCache>
                <c:formatCode>0.0000000</c:formatCode>
                <c:ptCount val="29"/>
                <c:pt idx="0">
                  <c:v>5.4393245590498391E-3</c:v>
                </c:pt>
                <c:pt idx="1">
                  <c:v>6.0267820229470762E-3</c:v>
                </c:pt>
                <c:pt idx="2">
                  <c:v>6.4304288344454313E-3</c:v>
                </c:pt>
                <c:pt idx="3">
                  <c:v>6.7834327611250595E-3</c:v>
                </c:pt>
                <c:pt idx="4">
                  <c:v>7.0815927454953177E-3</c:v>
                </c:pt>
                <c:pt idx="5">
                  <c:v>7.2812868481327998E-3</c:v>
                </c:pt>
                <c:pt idx="6">
                  <c:v>8.0794877713552399E-3</c:v>
                </c:pt>
                <c:pt idx="7">
                  <c:v>8.7793954590431496E-3</c:v>
                </c:pt>
                <c:pt idx="8">
                  <c:v>9.4734907247234559E-3</c:v>
                </c:pt>
                <c:pt idx="9">
                  <c:v>1.0064516210051104E-2</c:v>
                </c:pt>
                <c:pt idx="10">
                  <c:v>1.0877909998719165E-2</c:v>
                </c:pt>
                <c:pt idx="11">
                  <c:v>5.6805688467317763E-3</c:v>
                </c:pt>
                <c:pt idx="12">
                  <c:v>5.8695013363452781E-3</c:v>
                </c:pt>
                <c:pt idx="13">
                  <c:v>6.1432606580301488E-3</c:v>
                </c:pt>
                <c:pt idx="14">
                  <c:v>6.5759120308337762E-3</c:v>
                </c:pt>
                <c:pt idx="15">
                  <c:v>6.8706766399718681E-3</c:v>
                </c:pt>
                <c:pt idx="16">
                  <c:v>7.1882305472783879E-3</c:v>
                </c:pt>
                <c:pt idx="17">
                  <c:v>7.384759469614699E-3</c:v>
                </c:pt>
                <c:pt idx="18">
                  <c:v>7.6478147270083383E-3</c:v>
                </c:pt>
                <c:pt idx="19">
                  <c:v>8.0154360318061019E-3</c:v>
                </c:pt>
                <c:pt idx="20">
                  <c:v>8.4358295245342847E-3</c:v>
                </c:pt>
                <c:pt idx="21">
                  <c:v>8.7137323549770513E-3</c:v>
                </c:pt>
                <c:pt idx="22">
                  <c:v>9.4062162561403991E-3</c:v>
                </c:pt>
                <c:pt idx="23">
                  <c:v>9.6818171372732229E-3</c:v>
                </c:pt>
                <c:pt idx="24">
                  <c:v>9.8626928043019264E-3</c:v>
                </c:pt>
                <c:pt idx="25">
                  <c:v>1.0169542647317216E-2</c:v>
                </c:pt>
                <c:pt idx="26">
                  <c:v>1.0374013294772827E-2</c:v>
                </c:pt>
                <c:pt idx="27">
                  <c:v>1.0560183445214401E-2</c:v>
                </c:pt>
                <c:pt idx="28">
                  <c:v>1.0936667254855436E-2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87-4683-8DD3-013A145FD586}"/>
            </c:ext>
          </c:extLst>
        </c:ser>
        <c:ser>
          <c:idx val="2"/>
          <c:order val="2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2'!$M$51:$M$63</c:f>
              <c:numCache>
                <c:formatCode>0.00</c:formatCode>
                <c:ptCount val="13"/>
                <c:pt idx="0">
                  <c:v>20.636399999999998</c:v>
                </c:pt>
                <c:pt idx="1">
                  <c:v>19.8018</c:v>
                </c:pt>
                <c:pt idx="2">
                  <c:v>19.029399999999999</c:v>
                </c:pt>
                <c:pt idx="3">
                  <c:v>17.961199999999998</c:v>
                </c:pt>
                <c:pt idx="4">
                  <c:v>17.334799999999998</c:v>
                </c:pt>
                <c:pt idx="5">
                  <c:v>16.224</c:v>
                </c:pt>
                <c:pt idx="6">
                  <c:v>15.610400000000002</c:v>
                </c:pt>
                <c:pt idx="7">
                  <c:v>14.725</c:v>
                </c:pt>
                <c:pt idx="8">
                  <c:v>13.831999999999999</c:v>
                </c:pt>
                <c:pt idx="9">
                  <c:v>13.32</c:v>
                </c:pt>
                <c:pt idx="10">
                  <c:v>12.293199999999999</c:v>
                </c:pt>
                <c:pt idx="11">
                  <c:v>11.625900000000001</c:v>
                </c:pt>
                <c:pt idx="12">
                  <c:v>11.388399999999999</c:v>
                </c:pt>
              </c:numCache>
            </c:numRef>
          </c:xVal>
          <c:yVal>
            <c:numRef>
              <c:f>'Parte 2'!$F$51:$F$63</c:f>
              <c:numCache>
                <c:formatCode>0.000000</c:formatCode>
                <c:ptCount val="13"/>
                <c:pt idx="0">
                  <c:v>1.1003000000000001E-2</c:v>
                </c:pt>
                <c:pt idx="1">
                  <c:v>1.0362E-2</c:v>
                </c:pt>
                <c:pt idx="2">
                  <c:v>1.0022E-2</c:v>
                </c:pt>
                <c:pt idx="3">
                  <c:v>9.4459999999999995E-3</c:v>
                </c:pt>
                <c:pt idx="4">
                  <c:v>9.0229999999999998E-3</c:v>
                </c:pt>
                <c:pt idx="5">
                  <c:v>8.43E-3</c:v>
                </c:pt>
                <c:pt idx="6">
                  <c:v>8.1539999999999998E-3</c:v>
                </c:pt>
                <c:pt idx="7">
                  <c:v>7.4790000000000004E-3</c:v>
                </c:pt>
                <c:pt idx="8">
                  <c:v>6.9870000000000002E-3</c:v>
                </c:pt>
                <c:pt idx="9">
                  <c:v>6.7009999999999995E-3</c:v>
                </c:pt>
                <c:pt idx="10">
                  <c:v>6.0949999999999997E-3</c:v>
                </c:pt>
                <c:pt idx="11">
                  <c:v>5.7030000000000006E-3</c:v>
                </c:pt>
                <c:pt idx="12">
                  <c:v>5.5290000000000001E-3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E-44DE-9520-C87B012B8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492991"/>
        <c:axId val="1458353375"/>
      </c:scatterChart>
      <c:valAx>
        <c:axId val="1463492991"/>
        <c:scaling>
          <c:orientation val="minMax"/>
          <c:min val="1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P</a:t>
                </a:r>
                <a:r>
                  <a:rPr lang="pt-PT" sz="1400" baseline="0"/>
                  <a:t> (W)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53375"/>
        <c:crossesAt val="-90"/>
        <c:crossBetween val="midCat"/>
      </c:valAx>
      <c:valAx>
        <c:axId val="1458353375"/>
        <c:scaling>
          <c:orientation val="minMax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S</a:t>
                </a:r>
                <a:r>
                  <a:rPr lang="pt-PT" sz="1400"/>
                  <a:t>(V)</a:t>
                </a:r>
              </a:p>
            </c:rich>
          </c:tx>
          <c:layout>
            <c:manualLayout>
              <c:xMode val="edge"/>
              <c:yMode val="edge"/>
              <c:x val="2.4624758700106636E-2"/>
              <c:y val="0.399911671846950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92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38250318680051"/>
          <c:y val="0.56709038507098153"/>
          <c:w val="0.20081426903024696"/>
          <c:h val="0.2165201235387361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log(Vs)[log(T)] - Regressão Linear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49603349738649"/>
          <c:y val="0.13077312660953422"/>
          <c:w val="0.81387019134853389"/>
          <c:h val="0.71946604725897789"/>
        </c:manualLayout>
      </c:layout>
      <c:scatterChart>
        <c:scatterStyle val="lineMarker"/>
        <c:varyColors val="0"/>
        <c:ser>
          <c:idx val="0"/>
          <c:order val="0"/>
          <c:tx>
            <c:v>log(Vs)(log(T))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2'!$P$7:$P$32</c:f>
                <c:numCache>
                  <c:formatCode>General</c:formatCode>
                  <c:ptCount val="26"/>
                  <c:pt idx="0">
                    <c:v>3.8189201734085414E-3</c:v>
                  </c:pt>
                  <c:pt idx="1">
                    <c:v>3.0235230979647515E-3</c:v>
                  </c:pt>
                  <c:pt idx="2">
                    <c:v>2.0679023575996946E-3</c:v>
                  </c:pt>
                  <c:pt idx="3">
                    <c:v>1.4837321404807735E-3</c:v>
                  </c:pt>
                  <c:pt idx="4">
                    <c:v>4.8029560660192456E-4</c:v>
                  </c:pt>
                  <c:pt idx="5">
                    <c:v>2.9579834580167945E-4</c:v>
                  </c:pt>
                  <c:pt idx="6">
                    <c:v>8.3262501515616878E-4</c:v>
                  </c:pt>
                  <c:pt idx="7">
                    <c:v>1.4242243576950597E-3</c:v>
                  </c:pt>
                  <c:pt idx="8">
                    <c:v>1.7584482127860502E-3</c:v>
                  </c:pt>
                  <c:pt idx="9">
                    <c:v>2.021900503778385E-3</c:v>
                  </c:pt>
                  <c:pt idx="10">
                    <c:v>2.3090640823971932E-3</c:v>
                  </c:pt>
                  <c:pt idx="11">
                    <c:v>2.5481523485219554E-3</c:v>
                  </c:pt>
                  <c:pt idx="12">
                    <c:v>2.7971699731912576E-3</c:v>
                  </c:pt>
                  <c:pt idx="13">
                    <c:v>2.9346570718789774E-3</c:v>
                  </c:pt>
                  <c:pt idx="14">
                    <c:v>3.0830014266036046E-3</c:v>
                  </c:pt>
                  <c:pt idx="15">
                    <c:v>3.2338224684008367E-3</c:v>
                  </c:pt>
                  <c:pt idx="16">
                    <c:v>3.3609958540935167E-3</c:v>
                  </c:pt>
                  <c:pt idx="17">
                    <c:v>3.4465606031260265E-3</c:v>
                  </c:pt>
                  <c:pt idx="18">
                    <c:v>3.5152004760873523E-3</c:v>
                  </c:pt>
                  <c:pt idx="19">
                    <c:v>3.5611509268677522E-3</c:v>
                  </c:pt>
                  <c:pt idx="20">
                    <c:v>3.59101428916523E-3</c:v>
                  </c:pt>
                  <c:pt idx="21">
                    <c:v>3.7176475362246508E-3</c:v>
                  </c:pt>
                  <c:pt idx="22">
                    <c:v>3.8141850240212098E-3</c:v>
                  </c:pt>
                  <c:pt idx="23">
                    <c:v>3.903049177525758E-3</c:v>
                  </c:pt>
                  <c:pt idx="24">
                    <c:v>3.9694504523869294E-3</c:v>
                  </c:pt>
                  <c:pt idx="25">
                    <c:v>4.0536098873072499E-3</c:v>
                  </c:pt>
                </c:numCache>
              </c:numRef>
            </c:plus>
            <c:minus>
              <c:numRef>
                <c:f>'Parte 2'!$P$7:$P$32</c:f>
                <c:numCache>
                  <c:formatCode>General</c:formatCode>
                  <c:ptCount val="26"/>
                  <c:pt idx="0">
                    <c:v>3.8189201734085414E-3</c:v>
                  </c:pt>
                  <c:pt idx="1">
                    <c:v>3.0235230979647515E-3</c:v>
                  </c:pt>
                  <c:pt idx="2">
                    <c:v>2.0679023575996946E-3</c:v>
                  </c:pt>
                  <c:pt idx="3">
                    <c:v>1.4837321404807735E-3</c:v>
                  </c:pt>
                  <c:pt idx="4">
                    <c:v>4.8029560660192456E-4</c:v>
                  </c:pt>
                  <c:pt idx="5">
                    <c:v>2.9579834580167945E-4</c:v>
                  </c:pt>
                  <c:pt idx="6">
                    <c:v>8.3262501515616878E-4</c:v>
                  </c:pt>
                  <c:pt idx="7">
                    <c:v>1.4242243576950597E-3</c:v>
                  </c:pt>
                  <c:pt idx="8">
                    <c:v>1.7584482127860502E-3</c:v>
                  </c:pt>
                  <c:pt idx="9">
                    <c:v>2.021900503778385E-3</c:v>
                  </c:pt>
                  <c:pt idx="10">
                    <c:v>2.3090640823971932E-3</c:v>
                  </c:pt>
                  <c:pt idx="11">
                    <c:v>2.5481523485219554E-3</c:v>
                  </c:pt>
                  <c:pt idx="12">
                    <c:v>2.7971699731912576E-3</c:v>
                  </c:pt>
                  <c:pt idx="13">
                    <c:v>2.9346570718789774E-3</c:v>
                  </c:pt>
                  <c:pt idx="14">
                    <c:v>3.0830014266036046E-3</c:v>
                  </c:pt>
                  <c:pt idx="15">
                    <c:v>3.2338224684008367E-3</c:v>
                  </c:pt>
                  <c:pt idx="16">
                    <c:v>3.3609958540935167E-3</c:v>
                  </c:pt>
                  <c:pt idx="17">
                    <c:v>3.4465606031260265E-3</c:v>
                  </c:pt>
                  <c:pt idx="18">
                    <c:v>3.5152004760873523E-3</c:v>
                  </c:pt>
                  <c:pt idx="19">
                    <c:v>3.5611509268677522E-3</c:v>
                  </c:pt>
                  <c:pt idx="20">
                    <c:v>3.59101428916523E-3</c:v>
                  </c:pt>
                  <c:pt idx="21">
                    <c:v>3.7176475362246508E-3</c:v>
                  </c:pt>
                  <c:pt idx="22">
                    <c:v>3.8141850240212098E-3</c:v>
                  </c:pt>
                  <c:pt idx="23">
                    <c:v>3.903049177525758E-3</c:v>
                  </c:pt>
                  <c:pt idx="24">
                    <c:v>3.9694504523869294E-3</c:v>
                  </c:pt>
                  <c:pt idx="25">
                    <c:v>4.0536098873072499E-3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2'!$R$7:$R$32</c:f>
                <c:numCache>
                  <c:formatCode>General</c:formatCode>
                  <c:ptCount val="26"/>
                  <c:pt idx="0">
                    <c:v>2.8952965460216787E-3</c:v>
                  </c:pt>
                  <c:pt idx="1">
                    <c:v>2.2857604310697463E-3</c:v>
                  </c:pt>
                  <c:pt idx="2">
                    <c:v>2.7143405118953234E-3</c:v>
                  </c:pt>
                  <c:pt idx="3">
                    <c:v>1.7165789798547501E-3</c:v>
                  </c:pt>
                  <c:pt idx="4">
                    <c:v>1.0099871672168647E-3</c:v>
                  </c:pt>
                  <c:pt idx="5">
                    <c:v>5.1213971922553275E-4</c:v>
                  </c:pt>
                  <c:pt idx="6">
                    <c:v>4.5051294803241882E-4</c:v>
                  </c:pt>
                  <c:pt idx="7">
                    <c:v>3.5892105942417505E-4</c:v>
                  </c:pt>
                  <c:pt idx="8">
                    <c:v>2.5456886395266808E-4</c:v>
                  </c:pt>
                  <c:pt idx="9">
                    <c:v>2.0466280956797916E-4</c:v>
                  </c:pt>
                  <c:pt idx="10">
                    <c:v>1.663963532196367E-4</c:v>
                  </c:pt>
                  <c:pt idx="11">
                    <c:v>1.3977936334188984E-4</c:v>
                  </c:pt>
                  <c:pt idx="12">
                    <c:v>1.1718685426423415E-4</c:v>
                  </c:pt>
                  <c:pt idx="13">
                    <c:v>1.0211485584369899E-4</c:v>
                  </c:pt>
                  <c:pt idx="14">
                    <c:v>9.057236327492216E-5</c:v>
                  </c:pt>
                  <c:pt idx="15">
                    <c:v>8.0454702093970309E-5</c:v>
                  </c:pt>
                  <c:pt idx="16">
                    <c:v>7.2563823208563358E-5</c:v>
                  </c:pt>
                  <c:pt idx="17">
                    <c:v>6.9710189711597392E-5</c:v>
                  </c:pt>
                  <c:pt idx="18">
                    <c:v>6.6814535677423345E-5</c:v>
                  </c:pt>
                  <c:pt idx="19">
                    <c:v>6.4055233319063677E-5</c:v>
                  </c:pt>
                  <c:pt idx="20">
                    <c:v>6.0093328061886225E-5</c:v>
                  </c:pt>
                  <c:pt idx="21">
                    <c:v>5.3949625081149278E-5</c:v>
                  </c:pt>
                  <c:pt idx="22">
                    <c:v>4.952611265859867E-5</c:v>
                  </c:pt>
                  <c:pt idx="23">
                    <c:v>4.6349464450720579E-5</c:v>
                  </c:pt>
                  <c:pt idx="24">
                    <c:v>4.3170425636506131E-5</c:v>
                  </c:pt>
                  <c:pt idx="25">
                    <c:v>4.0064066596240934E-5</c:v>
                  </c:pt>
                </c:numCache>
              </c:numRef>
            </c:plus>
            <c:minus>
              <c:numRef>
                <c:f>'Parte 2'!$R$7:$R$32</c:f>
                <c:numCache>
                  <c:formatCode>General</c:formatCode>
                  <c:ptCount val="26"/>
                  <c:pt idx="0">
                    <c:v>2.8952965460216787E-3</c:v>
                  </c:pt>
                  <c:pt idx="1">
                    <c:v>2.2857604310697463E-3</c:v>
                  </c:pt>
                  <c:pt idx="2">
                    <c:v>2.7143405118953234E-3</c:v>
                  </c:pt>
                  <c:pt idx="3">
                    <c:v>1.7165789798547501E-3</c:v>
                  </c:pt>
                  <c:pt idx="4">
                    <c:v>1.0099871672168647E-3</c:v>
                  </c:pt>
                  <c:pt idx="5">
                    <c:v>5.1213971922553275E-4</c:v>
                  </c:pt>
                  <c:pt idx="6">
                    <c:v>4.5051294803241882E-4</c:v>
                  </c:pt>
                  <c:pt idx="7">
                    <c:v>3.5892105942417505E-4</c:v>
                  </c:pt>
                  <c:pt idx="8">
                    <c:v>2.5456886395266808E-4</c:v>
                  </c:pt>
                  <c:pt idx="9">
                    <c:v>2.0466280956797916E-4</c:v>
                  </c:pt>
                  <c:pt idx="10">
                    <c:v>1.663963532196367E-4</c:v>
                  </c:pt>
                  <c:pt idx="11">
                    <c:v>1.3977936334188984E-4</c:v>
                  </c:pt>
                  <c:pt idx="12">
                    <c:v>1.1718685426423415E-4</c:v>
                  </c:pt>
                  <c:pt idx="13">
                    <c:v>1.0211485584369899E-4</c:v>
                  </c:pt>
                  <c:pt idx="14">
                    <c:v>9.057236327492216E-5</c:v>
                  </c:pt>
                  <c:pt idx="15">
                    <c:v>8.0454702093970309E-5</c:v>
                  </c:pt>
                  <c:pt idx="16">
                    <c:v>7.2563823208563358E-5</c:v>
                  </c:pt>
                  <c:pt idx="17">
                    <c:v>6.9710189711597392E-5</c:v>
                  </c:pt>
                  <c:pt idx="18">
                    <c:v>6.6814535677423345E-5</c:v>
                  </c:pt>
                  <c:pt idx="19">
                    <c:v>6.4055233319063677E-5</c:v>
                  </c:pt>
                  <c:pt idx="20">
                    <c:v>6.0093328061886225E-5</c:v>
                  </c:pt>
                  <c:pt idx="21">
                    <c:v>5.3949625081149278E-5</c:v>
                  </c:pt>
                  <c:pt idx="22">
                    <c:v>4.952611265859867E-5</c:v>
                  </c:pt>
                  <c:pt idx="23">
                    <c:v>4.6349464450720579E-5</c:v>
                  </c:pt>
                  <c:pt idx="24">
                    <c:v>4.3170425636506131E-5</c:v>
                  </c:pt>
                  <c:pt idx="25">
                    <c:v>4.0064066596240934E-5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2'!$O$22:$O$50</c:f>
              <c:numCache>
                <c:formatCode>0.0000000</c:formatCode>
                <c:ptCount val="29"/>
                <c:pt idx="0">
                  <c:v>3.254868776589817</c:v>
                </c:pt>
                <c:pt idx="1">
                  <c:v>3.2662308802918294</c:v>
                </c:pt>
                <c:pt idx="2">
                  <c:v>3.2716036719958663</c:v>
                </c:pt>
                <c:pt idx="3">
                  <c:v>3.2762733190046553</c:v>
                </c:pt>
                <c:pt idx="4">
                  <c:v>3.2827578127435286</c:v>
                </c:pt>
                <c:pt idx="5">
                  <c:v>3.2868824027179118</c:v>
                </c:pt>
                <c:pt idx="6">
                  <c:v>3.2969480436789005</c:v>
                </c:pt>
                <c:pt idx="7">
                  <c:v>3.3057837917491555</c:v>
                </c:pt>
                <c:pt idx="8">
                  <c:v>3.3129868291207454</c:v>
                </c:pt>
                <c:pt idx="9">
                  <c:v>3.3199482892845902</c:v>
                </c:pt>
                <c:pt idx="10">
                  <c:v>3.3287630747749728</c:v>
                </c:pt>
                <c:pt idx="11">
                  <c:v>3.2579494170767522</c:v>
                </c:pt>
                <c:pt idx="12">
                  <c:v>3.2630358557199157</c:v>
                </c:pt>
                <c:pt idx="13">
                  <c:v>3.2671858744090962</c:v>
                </c:pt>
                <c:pt idx="14">
                  <c:v>3.2737488383314801</c:v>
                </c:pt>
                <c:pt idx="15">
                  <c:v>3.2779178293225786</c:v>
                </c:pt>
                <c:pt idx="16">
                  <c:v>3.282729210985889</c:v>
                </c:pt>
                <c:pt idx="17">
                  <c:v>3.2866324052966025</c:v>
                </c:pt>
                <c:pt idx="18">
                  <c:v>3.2884532437142968</c:v>
                </c:pt>
                <c:pt idx="19">
                  <c:v>3.2943464079961218</c:v>
                </c:pt>
                <c:pt idx="20">
                  <c:v>3.301809194283539</c:v>
                </c:pt>
                <c:pt idx="21">
                  <c:v>3.3033087494977198</c:v>
                </c:pt>
                <c:pt idx="22">
                  <c:v>3.3106201331300893</c:v>
                </c:pt>
                <c:pt idx="23">
                  <c:v>3.3157937155903214</c:v>
                </c:pt>
                <c:pt idx="24">
                  <c:v>3.3175609027529793</c:v>
                </c:pt>
                <c:pt idx="25">
                  <c:v>3.3190722785452427</c:v>
                </c:pt>
                <c:pt idx="26">
                  <c:v>3.3214131871304722</c:v>
                </c:pt>
                <c:pt idx="27">
                  <c:v>3.3230802031427444</c:v>
                </c:pt>
                <c:pt idx="28">
                  <c:v>3.3263341293685507</c:v>
                </c:pt>
              </c:numCache>
            </c:numRef>
          </c:xVal>
          <c:yVal>
            <c:numRef>
              <c:f>'Parte 2'!$Q$22:$Q$50</c:f>
              <c:numCache>
                <c:formatCode>0.00000</c:formatCode>
                <c:ptCount val="29"/>
                <c:pt idx="0">
                  <c:v>-2.267767119779502</c:v>
                </c:pt>
                <c:pt idx="1">
                  <c:v>-2.2229358452575703</c:v>
                </c:pt>
                <c:pt idx="2">
                  <c:v>-2.2055119533408303</c:v>
                </c:pt>
                <c:pt idx="3">
                  <c:v>-2.1870866433571443</c:v>
                </c:pt>
                <c:pt idx="4">
                  <c:v>-2.1687703061329366</c:v>
                </c:pt>
                <c:pt idx="5">
                  <c:v>-2.141041945281994</c:v>
                </c:pt>
                <c:pt idx="6">
                  <c:v>-2.0942041196321313</c:v>
                </c:pt>
                <c:pt idx="7">
                  <c:v>-2.057049929922901</c:v>
                </c:pt>
                <c:pt idx="8">
                  <c:v>-2.0282604091122218</c:v>
                </c:pt>
                <c:pt idx="9">
                  <c:v>-1.9974020192800914</c:v>
                </c:pt>
                <c:pt idx="10">
                  <c:v>-1.9649707177976319</c:v>
                </c:pt>
                <c:pt idx="11">
                  <c:v>-2.2498774732165998</c:v>
                </c:pt>
                <c:pt idx="12">
                  <c:v>-2.2333641136897326</c:v>
                </c:pt>
                <c:pt idx="13">
                  <c:v>-2.2127521196680462</c:v>
                </c:pt>
                <c:pt idx="14">
                  <c:v>-2.1832948163334844</c:v>
                </c:pt>
                <c:pt idx="15">
                  <c:v>-2.1618438152478521</c:v>
                </c:pt>
                <c:pt idx="16">
                  <c:v>-2.1423057422134502</c:v>
                </c:pt>
                <c:pt idx="17">
                  <c:v>-2.1272611725273314</c:v>
                </c:pt>
                <c:pt idx="18">
                  <c:v>-2.120216219909584</c:v>
                </c:pt>
                <c:pt idx="19">
                  <c:v>-2.0958256317158366</c:v>
                </c:pt>
                <c:pt idx="20">
                  <c:v>-2.0792507387242916</c:v>
                </c:pt>
                <c:pt idx="21">
                  <c:v>-2.0652995982845752</c:v>
                </c:pt>
                <c:pt idx="22">
                  <c:v>-2.0235583106211554</c:v>
                </c:pt>
                <c:pt idx="23">
                  <c:v>-2.0177740083253251</c:v>
                </c:pt>
                <c:pt idx="24">
                  <c:v>-2.0080654502810522</c:v>
                </c:pt>
                <c:pt idx="25">
                  <c:v>-1.9977475200794617</c:v>
                </c:pt>
                <c:pt idx="26">
                  <c:v>-1.9898697227848521</c:v>
                </c:pt>
                <c:pt idx="27">
                  <c:v>-1.981507546598527</c:v>
                </c:pt>
                <c:pt idx="28">
                  <c:v>-1.9652111687488161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2-45AF-8E0D-99E30EFCD86C}"/>
            </c:ext>
          </c:extLst>
        </c:ser>
        <c:ser>
          <c:idx val="1"/>
          <c:order val="1"/>
          <c:tx>
            <c:v>Aj. lin.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2'!$O$22:$O$50</c:f>
              <c:numCache>
                <c:formatCode>0.0000000</c:formatCode>
                <c:ptCount val="29"/>
                <c:pt idx="0">
                  <c:v>3.254868776589817</c:v>
                </c:pt>
                <c:pt idx="1">
                  <c:v>3.2662308802918294</c:v>
                </c:pt>
                <c:pt idx="2">
                  <c:v>3.2716036719958663</c:v>
                </c:pt>
                <c:pt idx="3">
                  <c:v>3.2762733190046553</c:v>
                </c:pt>
                <c:pt idx="4">
                  <c:v>3.2827578127435286</c:v>
                </c:pt>
                <c:pt idx="5">
                  <c:v>3.2868824027179118</c:v>
                </c:pt>
                <c:pt idx="6">
                  <c:v>3.2969480436789005</c:v>
                </c:pt>
                <c:pt idx="7">
                  <c:v>3.3057837917491555</c:v>
                </c:pt>
                <c:pt idx="8">
                  <c:v>3.3129868291207454</c:v>
                </c:pt>
                <c:pt idx="9">
                  <c:v>3.3199482892845902</c:v>
                </c:pt>
                <c:pt idx="10">
                  <c:v>3.3287630747749728</c:v>
                </c:pt>
                <c:pt idx="11">
                  <c:v>3.2579494170767522</c:v>
                </c:pt>
                <c:pt idx="12">
                  <c:v>3.2630358557199157</c:v>
                </c:pt>
                <c:pt idx="13">
                  <c:v>3.2671858744090962</c:v>
                </c:pt>
                <c:pt idx="14">
                  <c:v>3.2737488383314801</c:v>
                </c:pt>
                <c:pt idx="15">
                  <c:v>3.2779178293225786</c:v>
                </c:pt>
                <c:pt idx="16">
                  <c:v>3.282729210985889</c:v>
                </c:pt>
                <c:pt idx="17">
                  <c:v>3.2866324052966025</c:v>
                </c:pt>
                <c:pt idx="18">
                  <c:v>3.2884532437142968</c:v>
                </c:pt>
                <c:pt idx="19">
                  <c:v>3.2943464079961218</c:v>
                </c:pt>
                <c:pt idx="20">
                  <c:v>3.301809194283539</c:v>
                </c:pt>
                <c:pt idx="21">
                  <c:v>3.3033087494977198</c:v>
                </c:pt>
                <c:pt idx="22">
                  <c:v>3.3106201331300893</c:v>
                </c:pt>
                <c:pt idx="23">
                  <c:v>3.3157937155903214</c:v>
                </c:pt>
                <c:pt idx="24">
                  <c:v>3.3175609027529793</c:v>
                </c:pt>
                <c:pt idx="25">
                  <c:v>3.3190722785452427</c:v>
                </c:pt>
                <c:pt idx="26">
                  <c:v>3.3214131871304722</c:v>
                </c:pt>
                <c:pt idx="27">
                  <c:v>3.3230802031427444</c:v>
                </c:pt>
                <c:pt idx="28">
                  <c:v>3.3263341293685507</c:v>
                </c:pt>
              </c:numCache>
            </c:numRef>
          </c:xVal>
          <c:yVal>
            <c:numRef>
              <c:f>'Parte 2'!$AA$22:$AA$50</c:f>
              <c:numCache>
                <c:formatCode>0.000</c:formatCode>
                <c:ptCount val="29"/>
                <c:pt idx="0">
                  <c:v>-2.2623222016306315</c:v>
                </c:pt>
                <c:pt idx="1">
                  <c:v>-2.2153698391213954</c:v>
                </c:pt>
                <c:pt idx="2">
                  <c:v>-2.1931675013861867</c:v>
                </c:pt>
                <c:pt idx="3">
                  <c:v>-2.1738708143555971</c:v>
                </c:pt>
                <c:pt idx="4">
                  <c:v>-2.1470745177628707</c:v>
                </c:pt>
                <c:pt idx="5">
                  <c:v>-2.1300302054807272</c:v>
                </c:pt>
                <c:pt idx="6">
                  <c:v>-2.0884353005508896</c:v>
                </c:pt>
                <c:pt idx="7">
                  <c:v>-2.0519227622643914</c:v>
                </c:pt>
                <c:pt idx="8">
                  <c:v>-2.0221571809329557</c:v>
                </c:pt>
                <c:pt idx="9">
                  <c:v>-1.9933898848600862</c:v>
                </c:pt>
                <c:pt idx="10">
                  <c:v>-1.956963971610211</c:v>
                </c:pt>
                <c:pt idx="11">
                  <c:v>-2.2495918699335533</c:v>
                </c:pt>
                <c:pt idx="12">
                  <c:v>-2.2285728476364337</c:v>
                </c:pt>
                <c:pt idx="13">
                  <c:v>-2.2114234546169005</c:v>
                </c:pt>
                <c:pt idx="14">
                  <c:v>-2.1843028905646431</c:v>
                </c:pt>
                <c:pt idx="15">
                  <c:v>-2.167075097063945</c:v>
                </c:pt>
                <c:pt idx="16">
                  <c:v>-2.1471927106722397</c:v>
                </c:pt>
                <c:pt idx="17">
                  <c:v>-2.131063286137227</c:v>
                </c:pt>
                <c:pt idx="18">
                  <c:v>-2.123538916733418</c:v>
                </c:pt>
                <c:pt idx="19">
                  <c:v>-2.0991862094405143</c:v>
                </c:pt>
                <c:pt idx="20">
                  <c:v>-2.0683472507154921</c:v>
                </c:pt>
                <c:pt idx="21">
                  <c:v>-2.0621505408574095</c:v>
                </c:pt>
                <c:pt idx="22">
                  <c:v>-2.0319372332029211</c:v>
                </c:pt>
                <c:pt idx="23">
                  <c:v>-2.0105581008243618</c:v>
                </c:pt>
                <c:pt idx="24">
                  <c:v>-2.0032554380025029</c:v>
                </c:pt>
                <c:pt idx="25">
                  <c:v>-1.997009881198311</c:v>
                </c:pt>
                <c:pt idx="26">
                  <c:v>-1.98733639190643</c:v>
                </c:pt>
                <c:pt idx="27">
                  <c:v>-1.9804476728655143</c:v>
                </c:pt>
                <c:pt idx="28">
                  <c:v>-1.9670012612027428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2-45AF-8E0D-99E30EFCD86C}"/>
            </c:ext>
          </c:extLst>
        </c:ser>
        <c:ser>
          <c:idx val="2"/>
          <c:order val="2"/>
          <c:tx>
            <c:v>log(Vs)(log(T)) 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2'!$P$51:$P$63</c:f>
                <c:numCache>
                  <c:formatCode>General</c:formatCode>
                  <c:ptCount val="13"/>
                  <c:pt idx="0">
                    <c:v>4.0480584543789305E-3</c:v>
                  </c:pt>
                  <c:pt idx="1">
                    <c:v>3.9928022835869111E-3</c:v>
                  </c:pt>
                  <c:pt idx="2">
                    <c:v>3.946888229192265E-3</c:v>
                  </c:pt>
                  <c:pt idx="3">
                    <c:v>3.8776739092655165E-3</c:v>
                  </c:pt>
                  <c:pt idx="4">
                    <c:v>3.8323009564261903E-3</c:v>
                  </c:pt>
                  <c:pt idx="5">
                    <c:v>3.74144568567065E-3</c:v>
                  </c:pt>
                  <c:pt idx="6">
                    <c:v>3.6909627303862336E-3</c:v>
                  </c:pt>
                  <c:pt idx="7">
                    <c:v>3.612706721704659E-3</c:v>
                  </c:pt>
                  <c:pt idx="8">
                    <c:v>3.5291089800752753E-3</c:v>
                  </c:pt>
                  <c:pt idx="9">
                    <c:v>3.4741022242545825E-3</c:v>
                  </c:pt>
                  <c:pt idx="10">
                    <c:v>3.3568125849462579E-3</c:v>
                  </c:pt>
                  <c:pt idx="11">
                    <c:v>3.267197862760638E-3</c:v>
                  </c:pt>
                  <c:pt idx="12">
                    <c:v>3.2352724253009351E-3</c:v>
                  </c:pt>
                </c:numCache>
              </c:numRef>
            </c:plus>
            <c:minus>
              <c:numRef>
                <c:f>'Parte 2'!$P$51:$P$63</c:f>
                <c:numCache>
                  <c:formatCode>General</c:formatCode>
                  <c:ptCount val="13"/>
                  <c:pt idx="0">
                    <c:v>4.0480584543789305E-3</c:v>
                  </c:pt>
                  <c:pt idx="1">
                    <c:v>3.9928022835869111E-3</c:v>
                  </c:pt>
                  <c:pt idx="2">
                    <c:v>3.946888229192265E-3</c:v>
                  </c:pt>
                  <c:pt idx="3">
                    <c:v>3.8776739092655165E-3</c:v>
                  </c:pt>
                  <c:pt idx="4">
                    <c:v>3.8323009564261903E-3</c:v>
                  </c:pt>
                  <c:pt idx="5">
                    <c:v>3.74144568567065E-3</c:v>
                  </c:pt>
                  <c:pt idx="6">
                    <c:v>3.6909627303862336E-3</c:v>
                  </c:pt>
                  <c:pt idx="7">
                    <c:v>3.612706721704659E-3</c:v>
                  </c:pt>
                  <c:pt idx="8">
                    <c:v>3.5291089800752753E-3</c:v>
                  </c:pt>
                  <c:pt idx="9">
                    <c:v>3.4741022242545825E-3</c:v>
                  </c:pt>
                  <c:pt idx="10">
                    <c:v>3.3568125849462579E-3</c:v>
                  </c:pt>
                  <c:pt idx="11">
                    <c:v>3.267197862760638E-3</c:v>
                  </c:pt>
                  <c:pt idx="12">
                    <c:v>3.2352724253009351E-3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2'!$O$51:$O$63</c:f>
              <c:numCache>
                <c:formatCode>0.0000000</c:formatCode>
                <c:ptCount val="13"/>
                <c:pt idx="0">
                  <c:v>3.3256574054213526</c:v>
                </c:pt>
                <c:pt idx="1">
                  <c:v>3.3232520602244371</c:v>
                </c:pt>
                <c:pt idx="2">
                  <c:v>3.317232066629149</c:v>
                </c:pt>
                <c:pt idx="3">
                  <c:v>3.3090964228437882</c:v>
                </c:pt>
                <c:pt idx="4">
                  <c:v>3.3049212144467575</c:v>
                </c:pt>
                <c:pt idx="5">
                  <c:v>3.2986704340705653</c:v>
                </c:pt>
                <c:pt idx="6">
                  <c:v>3.2936942044509752</c:v>
                </c:pt>
                <c:pt idx="7">
                  <c:v>3.2862411964788207</c:v>
                </c:pt>
                <c:pt idx="8">
                  <c:v>3.2775090923163788</c:v>
                </c:pt>
                <c:pt idx="9">
                  <c:v>3.2733298277575429</c:v>
                </c:pt>
                <c:pt idx="10">
                  <c:v>3.2635855769020927</c:v>
                </c:pt>
                <c:pt idx="11">
                  <c:v>3.2582615497850846</c:v>
                </c:pt>
                <c:pt idx="12">
                  <c:v>3.255799581035725</c:v>
                </c:pt>
              </c:numCache>
            </c:numRef>
          </c:xVal>
          <c:yVal>
            <c:numRef>
              <c:f>'Parte 2'!$Q$51:$Q$63</c:f>
              <c:numCache>
                <c:formatCode>0.00000</c:formatCode>
                <c:ptCount val="13"/>
                <c:pt idx="0">
                  <c:v>-1.9584888870406767</c:v>
                </c:pt>
                <c:pt idx="1">
                  <c:v>-1.9845564120488977</c:v>
                </c:pt>
                <c:pt idx="2">
                  <c:v>-1.9990456015935421</c:v>
                </c:pt>
                <c:pt idx="3">
                  <c:v>-2.0247520587593191</c:v>
                </c:pt>
                <c:pt idx="4">
                  <c:v>-2.04464904263234</c:v>
                </c:pt>
                <c:pt idx="5">
                  <c:v>-2.0741724253752576</c:v>
                </c:pt>
                <c:pt idx="6">
                  <c:v>-2.0886292928838621</c:v>
                </c:pt>
                <c:pt idx="7">
                  <c:v>-2.126156466776564</c:v>
                </c:pt>
                <c:pt idx="8">
                  <c:v>-2.1557092567456571</c:v>
                </c:pt>
                <c:pt idx="9">
                  <c:v>-2.1738603820640852</c:v>
                </c:pt>
                <c:pt idx="10">
                  <c:v>-2.2150262900455995</c:v>
                </c:pt>
                <c:pt idx="11">
                  <c:v>-2.2438966284148942</c:v>
                </c:pt>
                <c:pt idx="12">
                  <c:v>-2.2573534100612638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F2-4B0E-93EE-C1A431CB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91423"/>
        <c:axId val="1467241439"/>
      </c:scatterChart>
      <c:valAx>
        <c:axId val="146509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241439"/>
        <c:crossesAt val="-90"/>
        <c:crossBetween val="midCat"/>
      </c:valAx>
      <c:valAx>
        <c:axId val="146724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log(Vs)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9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469526828138577"/>
          <c:y val="0.62315711422573161"/>
          <c:w val="0.32381742463145963"/>
          <c:h val="0.1900846115434636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Resíduos  log(Vs)[log(T)] - Regressão Linear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08025245219219"/>
          <c:y val="0.14532529301917635"/>
          <c:w val="0.77915682432721134"/>
          <c:h val="0.666505440130932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2'!$O$22:$O$50</c:f>
              <c:numCache>
                <c:formatCode>0.0000000</c:formatCode>
                <c:ptCount val="29"/>
                <c:pt idx="0">
                  <c:v>3.254868776589817</c:v>
                </c:pt>
                <c:pt idx="1">
                  <c:v>3.2662308802918294</c:v>
                </c:pt>
                <c:pt idx="2">
                  <c:v>3.2716036719958663</c:v>
                </c:pt>
                <c:pt idx="3">
                  <c:v>3.2762733190046553</c:v>
                </c:pt>
                <c:pt idx="4">
                  <c:v>3.2827578127435286</c:v>
                </c:pt>
                <c:pt idx="5">
                  <c:v>3.2868824027179118</c:v>
                </c:pt>
                <c:pt idx="6">
                  <c:v>3.2969480436789005</c:v>
                </c:pt>
                <c:pt idx="7">
                  <c:v>3.3057837917491555</c:v>
                </c:pt>
                <c:pt idx="8">
                  <c:v>3.3129868291207454</c:v>
                </c:pt>
                <c:pt idx="9">
                  <c:v>3.3199482892845902</c:v>
                </c:pt>
                <c:pt idx="10">
                  <c:v>3.3287630747749728</c:v>
                </c:pt>
                <c:pt idx="11">
                  <c:v>3.2579494170767522</c:v>
                </c:pt>
                <c:pt idx="12">
                  <c:v>3.2630358557199157</c:v>
                </c:pt>
                <c:pt idx="13">
                  <c:v>3.2671858744090962</c:v>
                </c:pt>
                <c:pt idx="14">
                  <c:v>3.2737488383314801</c:v>
                </c:pt>
                <c:pt idx="15">
                  <c:v>3.2779178293225786</c:v>
                </c:pt>
                <c:pt idx="16">
                  <c:v>3.282729210985889</c:v>
                </c:pt>
                <c:pt idx="17">
                  <c:v>3.2866324052966025</c:v>
                </c:pt>
                <c:pt idx="18">
                  <c:v>3.2884532437142968</c:v>
                </c:pt>
                <c:pt idx="19">
                  <c:v>3.2943464079961218</c:v>
                </c:pt>
                <c:pt idx="20">
                  <c:v>3.301809194283539</c:v>
                </c:pt>
                <c:pt idx="21">
                  <c:v>3.3033087494977198</c:v>
                </c:pt>
                <c:pt idx="22">
                  <c:v>3.3106201331300893</c:v>
                </c:pt>
                <c:pt idx="23">
                  <c:v>3.3157937155903214</c:v>
                </c:pt>
                <c:pt idx="24">
                  <c:v>3.3175609027529793</c:v>
                </c:pt>
                <c:pt idx="25">
                  <c:v>3.3190722785452427</c:v>
                </c:pt>
                <c:pt idx="26">
                  <c:v>3.3214131871304722</c:v>
                </c:pt>
                <c:pt idx="27">
                  <c:v>3.3230802031427444</c:v>
                </c:pt>
                <c:pt idx="28">
                  <c:v>3.3263341293685507</c:v>
                </c:pt>
              </c:numCache>
            </c:numRef>
          </c:xVal>
          <c:yVal>
            <c:numRef>
              <c:f>'Parte 2'!$AB$22:$AB$50</c:f>
              <c:numCache>
                <c:formatCode>0.00E+00</c:formatCode>
                <c:ptCount val="29"/>
                <c:pt idx="0">
                  <c:v>-5.4449181488704923E-3</c:v>
                </c:pt>
                <c:pt idx="1">
                  <c:v>-7.5660061361748632E-3</c:v>
                </c:pt>
                <c:pt idx="2">
                  <c:v>-1.234445195464362E-2</c:v>
                </c:pt>
                <c:pt idx="3">
                  <c:v>-1.3215829001547164E-2</c:v>
                </c:pt>
                <c:pt idx="4">
                  <c:v>-2.1695788370065916E-2</c:v>
                </c:pt>
                <c:pt idx="5">
                  <c:v>-1.1011739801266796E-2</c:v>
                </c:pt>
                <c:pt idx="6">
                  <c:v>-5.7688190812417162E-3</c:v>
                </c:pt>
                <c:pt idx="7">
                  <c:v>-5.1271676585096237E-3</c:v>
                </c:pt>
                <c:pt idx="8">
                  <c:v>-6.103228179266118E-3</c:v>
                </c:pt>
                <c:pt idx="9">
                  <c:v>-4.0121344200052533E-3</c:v>
                </c:pt>
                <c:pt idx="10">
                  <c:v>-8.0067461874209211E-3</c:v>
                </c:pt>
                <c:pt idx="11">
                  <c:v>-2.8560328304649829E-4</c:v>
                </c:pt>
                <c:pt idx="12">
                  <c:v>-4.7912660532989371E-3</c:v>
                </c:pt>
                <c:pt idx="13">
                  <c:v>-1.3286650511457054E-3</c:v>
                </c:pt>
                <c:pt idx="14">
                  <c:v>1.0080742311586732E-3</c:v>
                </c:pt>
                <c:pt idx="15">
                  <c:v>5.231281816092892E-3</c:v>
                </c:pt>
                <c:pt idx="16">
                  <c:v>4.8869684587895534E-3</c:v>
                </c:pt>
                <c:pt idx="17">
                  <c:v>3.8021136098955743E-3</c:v>
                </c:pt>
                <c:pt idx="18">
                  <c:v>3.3226968238340149E-3</c:v>
                </c:pt>
                <c:pt idx="19">
                  <c:v>3.3605777246776825E-3</c:v>
                </c:pt>
                <c:pt idx="20">
                  <c:v>-1.0903488008799478E-2</c:v>
                </c:pt>
                <c:pt idx="21">
                  <c:v>-3.1490574271657579E-3</c:v>
                </c:pt>
                <c:pt idx="22">
                  <c:v>8.3789225817656465E-3</c:v>
                </c:pt>
                <c:pt idx="23">
                  <c:v>-7.2159075009632367E-3</c:v>
                </c:pt>
                <c:pt idx="24">
                  <c:v>-4.8100122785492694E-3</c:v>
                </c:pt>
                <c:pt idx="25">
                  <c:v>-7.3763888115063736E-4</c:v>
                </c:pt>
                <c:pt idx="26">
                  <c:v>-2.5333308784221131E-3</c:v>
                </c:pt>
                <c:pt idx="27">
                  <c:v>-1.0598737330127506E-3</c:v>
                </c:pt>
                <c:pt idx="28">
                  <c:v>1.7900924539266949E-3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C-47DF-A058-0C03C531B11E}"/>
            </c:ext>
          </c:extLst>
        </c:ser>
        <c:ser>
          <c:idx val="1"/>
          <c:order val="1"/>
          <c:tx>
            <c:v>Resíduos 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2'!$O$51:$O$63</c:f>
              <c:numCache>
                <c:formatCode>0.0000000</c:formatCode>
                <c:ptCount val="13"/>
                <c:pt idx="0">
                  <c:v>3.3256574054213526</c:v>
                </c:pt>
                <c:pt idx="1">
                  <c:v>3.3232520602244371</c:v>
                </c:pt>
                <c:pt idx="2">
                  <c:v>3.317232066629149</c:v>
                </c:pt>
                <c:pt idx="3">
                  <c:v>3.3090964228437882</c:v>
                </c:pt>
                <c:pt idx="4">
                  <c:v>3.3049212144467575</c:v>
                </c:pt>
                <c:pt idx="5">
                  <c:v>3.2986704340705653</c:v>
                </c:pt>
                <c:pt idx="6">
                  <c:v>3.2936942044509752</c:v>
                </c:pt>
                <c:pt idx="7">
                  <c:v>3.2862411964788207</c:v>
                </c:pt>
                <c:pt idx="8">
                  <c:v>3.2775090923163788</c:v>
                </c:pt>
                <c:pt idx="9">
                  <c:v>3.2733298277575429</c:v>
                </c:pt>
                <c:pt idx="10">
                  <c:v>3.2635855769020927</c:v>
                </c:pt>
                <c:pt idx="11">
                  <c:v>3.2582615497850846</c:v>
                </c:pt>
                <c:pt idx="12">
                  <c:v>3.255799581035725</c:v>
                </c:pt>
              </c:numCache>
            </c:numRef>
          </c:xVal>
          <c:yVal>
            <c:numRef>
              <c:f>'Parte 2'!$AB$51:$AB$63</c:f>
              <c:numCache>
                <c:formatCode>0.00E+00</c:formatCode>
                <c:ptCount val="13"/>
                <c:pt idx="0">
                  <c:v>1.1308844685556485E-2</c:v>
                </c:pt>
                <c:pt idx="1">
                  <c:v>-4.8189154158002623E-3</c:v>
                </c:pt>
                <c:pt idx="2">
                  <c:v>5.568707380142035E-3</c:v>
                </c:pt>
                <c:pt idx="3">
                  <c:v>1.348170188233544E-2</c:v>
                </c:pt>
                <c:pt idx="4">
                  <c:v>1.0838204102235238E-2</c:v>
                </c:pt>
                <c:pt idx="5">
                  <c:v>7.1453289735554648E-3</c:v>
                </c:pt>
                <c:pt idx="6">
                  <c:v>1.3252059822779216E-2</c:v>
                </c:pt>
                <c:pt idx="7">
                  <c:v>6.5234370848994416E-3</c:v>
                </c:pt>
                <c:pt idx="8">
                  <c:v>1.305489091924672E-2</c:v>
                </c:pt>
                <c:pt idx="9">
                  <c:v>1.2174013235831449E-2</c:v>
                </c:pt>
                <c:pt idx="10">
                  <c:v>1.1274908880216206E-2</c:v>
                </c:pt>
                <c:pt idx="11">
                  <c:v>4.4053951612448294E-3</c:v>
                </c:pt>
                <c:pt idx="12">
                  <c:v>1.1223676222118506E-3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85-4001-891B-897845143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465599"/>
        <c:axId val="1151367759"/>
      </c:scatterChart>
      <c:valAx>
        <c:axId val="115146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67759"/>
        <c:crossesAt val="-90"/>
        <c:crossBetween val="midCat"/>
      </c:valAx>
      <c:valAx>
        <c:axId val="11513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6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02255654878601"/>
          <c:y val="0.66423676603822412"/>
          <c:w val="0.24547280031246846"/>
          <c:h val="0.1448204070586383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Resíduos de V</a:t>
            </a:r>
            <a:r>
              <a:rPr lang="pt-PT" sz="1800" b="0" i="0" baseline="-25000">
                <a:effectLst/>
              </a:rPr>
              <a:t>S</a:t>
            </a:r>
            <a:r>
              <a:rPr lang="pt-PT" sz="1800" b="0" i="0" baseline="0">
                <a:effectLst/>
              </a:rPr>
              <a:t>(P) - Regressão Linear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78592958040934"/>
          <c:y val="0.1535271161889406"/>
          <c:w val="0.75851549776653415"/>
          <c:h val="0.67867467696806549"/>
        </c:manualLayout>
      </c:layout>
      <c:scatterChart>
        <c:scatterStyle val="lineMarker"/>
        <c:varyColors val="0"/>
        <c:ser>
          <c:idx val="0"/>
          <c:order val="0"/>
          <c:tx>
            <c:v>Res. Vs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2'!$M$22:$M$50</c:f>
              <c:numCache>
                <c:formatCode>0.00</c:formatCode>
                <c:ptCount val="29"/>
                <c:pt idx="0">
                  <c:v>11.36</c:v>
                </c:pt>
                <c:pt idx="1">
                  <c:v>12.380800000000001</c:v>
                </c:pt>
                <c:pt idx="2">
                  <c:v>13.082199999999998</c:v>
                </c:pt>
                <c:pt idx="3">
                  <c:v>13.695599999999997</c:v>
                </c:pt>
                <c:pt idx="4">
                  <c:v>14.213699999999999</c:v>
                </c:pt>
                <c:pt idx="5">
                  <c:v>14.560700000000001</c:v>
                </c:pt>
                <c:pt idx="6">
                  <c:v>15.947699999999999</c:v>
                </c:pt>
                <c:pt idx="7">
                  <c:v>17.163899999999998</c:v>
                </c:pt>
                <c:pt idx="8">
                  <c:v>18.369999999999997</c:v>
                </c:pt>
                <c:pt idx="9">
                  <c:v>19.396999999999998</c:v>
                </c:pt>
                <c:pt idx="10">
                  <c:v>20.810400000000001</c:v>
                </c:pt>
                <c:pt idx="11">
                  <c:v>11.779199999999999</c:v>
                </c:pt>
                <c:pt idx="12">
                  <c:v>12.1075</c:v>
                </c:pt>
                <c:pt idx="13">
                  <c:v>12.5832</c:v>
                </c:pt>
                <c:pt idx="14">
                  <c:v>13.335000000000001</c:v>
                </c:pt>
                <c:pt idx="15">
                  <c:v>13.847199999999999</c:v>
                </c:pt>
                <c:pt idx="16">
                  <c:v>14.398999999999999</c:v>
                </c:pt>
                <c:pt idx="17">
                  <c:v>14.740500000000001</c:v>
                </c:pt>
                <c:pt idx="18">
                  <c:v>15.1976</c:v>
                </c:pt>
                <c:pt idx="19">
                  <c:v>15.836400000000003</c:v>
                </c:pt>
                <c:pt idx="20">
                  <c:v>16.5669</c:v>
                </c:pt>
                <c:pt idx="21">
                  <c:v>17.049800000000001</c:v>
                </c:pt>
                <c:pt idx="22">
                  <c:v>18.2531</c:v>
                </c:pt>
                <c:pt idx="23">
                  <c:v>18.731999999999999</c:v>
                </c:pt>
                <c:pt idx="24">
                  <c:v>19.046299999999999</c:v>
                </c:pt>
                <c:pt idx="25">
                  <c:v>19.579499999999999</c:v>
                </c:pt>
                <c:pt idx="26">
                  <c:v>19.934799999999999</c:v>
                </c:pt>
                <c:pt idx="27">
                  <c:v>20.258300000000002</c:v>
                </c:pt>
                <c:pt idx="28">
                  <c:v>20.912499999999998</c:v>
                </c:pt>
              </c:numCache>
            </c:numRef>
          </c:xVal>
          <c:yVal>
            <c:numRef>
              <c:f>'Parte 2'!$Z$22:$Z$50</c:f>
              <c:numCache>
                <c:formatCode>0.0000000</c:formatCode>
                <c:ptCount val="29"/>
                <c:pt idx="0">
                  <c:v>-4.1324559049839109E-5</c:v>
                </c:pt>
                <c:pt idx="1">
                  <c:v>-4.178202294707542E-5</c:v>
                </c:pt>
                <c:pt idx="2">
                  <c:v>-2.0042883444543105E-4</c:v>
                </c:pt>
                <c:pt idx="3">
                  <c:v>-2.8343276112505894E-4</c:v>
                </c:pt>
                <c:pt idx="4">
                  <c:v>-3.0159274549531722E-4</c:v>
                </c:pt>
                <c:pt idx="5">
                  <c:v>-5.4286848132798979E-5</c:v>
                </c:pt>
                <c:pt idx="6">
                  <c:v>-2.9487771355238279E-5</c:v>
                </c:pt>
                <c:pt idx="7">
                  <c:v>-1.0395459043148828E-5</c:v>
                </c:pt>
                <c:pt idx="8">
                  <c:v>-1.0349072472345608E-4</c:v>
                </c:pt>
                <c:pt idx="9">
                  <c:v>-4.5162100511027953E-6</c:v>
                </c:pt>
                <c:pt idx="10">
                  <c:v>-3.7909998719163826E-5</c:v>
                </c:pt>
                <c:pt idx="11">
                  <c:v>-5.5568846731776471E-5</c:v>
                </c:pt>
                <c:pt idx="12">
                  <c:v>-2.6501336345277973E-5</c:v>
                </c:pt>
                <c:pt idx="13">
                  <c:v>-1.6260658030149179E-5</c:v>
                </c:pt>
                <c:pt idx="14">
                  <c:v>-1.8912030833775906E-5</c:v>
                </c:pt>
                <c:pt idx="15">
                  <c:v>1.8323360028132084E-5</c:v>
                </c:pt>
                <c:pt idx="16">
                  <c:v>1.7769452721612747E-5</c:v>
                </c:pt>
                <c:pt idx="17">
                  <c:v>7.5240530385301506E-5</c:v>
                </c:pt>
                <c:pt idx="18">
                  <c:v>-6.5814727008338056E-5</c:v>
                </c:pt>
                <c:pt idx="19">
                  <c:v>4.5639681938974136E-6</c:v>
                </c:pt>
                <c:pt idx="20">
                  <c:v>-1.0382952453428379E-4</c:v>
                </c:pt>
                <c:pt idx="21">
                  <c:v>-1.097323549770525E-4</c:v>
                </c:pt>
                <c:pt idx="22">
                  <c:v>6.5783743859600466E-5</c:v>
                </c:pt>
                <c:pt idx="23">
                  <c:v>-8.2817137273222957E-5</c:v>
                </c:pt>
                <c:pt idx="24">
                  <c:v>-4.6692804301926363E-5</c:v>
                </c:pt>
                <c:pt idx="25">
                  <c:v>-1.1754264731721545E-4</c:v>
                </c:pt>
                <c:pt idx="26">
                  <c:v>-1.3801329477282701E-4</c:v>
                </c:pt>
                <c:pt idx="27">
                  <c:v>-1.2518344521439927E-4</c:v>
                </c:pt>
                <c:pt idx="28">
                  <c:v>-1.026672548554361E-4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7-4956-AB2A-F47092FA6C5C}"/>
            </c:ext>
          </c:extLst>
        </c:ser>
        <c:ser>
          <c:idx val="1"/>
          <c:order val="1"/>
          <c:tx>
            <c:v>Resíduos 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2'!$M$51:$M$63</c:f>
              <c:numCache>
                <c:formatCode>0.00</c:formatCode>
                <c:ptCount val="13"/>
                <c:pt idx="0">
                  <c:v>20.636399999999998</c:v>
                </c:pt>
                <c:pt idx="1">
                  <c:v>19.8018</c:v>
                </c:pt>
                <c:pt idx="2">
                  <c:v>19.029399999999999</c:v>
                </c:pt>
                <c:pt idx="3">
                  <c:v>17.961199999999998</c:v>
                </c:pt>
                <c:pt idx="4">
                  <c:v>17.334799999999998</c:v>
                </c:pt>
                <c:pt idx="5">
                  <c:v>16.224</c:v>
                </c:pt>
                <c:pt idx="6">
                  <c:v>15.610400000000002</c:v>
                </c:pt>
                <c:pt idx="7">
                  <c:v>14.725</c:v>
                </c:pt>
                <c:pt idx="8">
                  <c:v>13.831999999999999</c:v>
                </c:pt>
                <c:pt idx="9">
                  <c:v>13.32</c:v>
                </c:pt>
                <c:pt idx="10">
                  <c:v>12.293199999999999</c:v>
                </c:pt>
                <c:pt idx="11">
                  <c:v>11.625900000000001</c:v>
                </c:pt>
                <c:pt idx="12">
                  <c:v>11.388399999999999</c:v>
                </c:pt>
              </c:numCache>
            </c:numRef>
          </c:xVal>
          <c:yVal>
            <c:numRef>
              <c:f>'Parte 2'!$Z$51:$Z$63</c:f>
              <c:numCache>
                <c:formatCode>0.0000000</c:formatCode>
                <c:ptCount val="13"/>
                <c:pt idx="0">
                  <c:v>2.2522479626332047E-4</c:v>
                </c:pt>
                <c:pt idx="1">
                  <c:v>6.4526519782748606E-5</c:v>
                </c:pt>
                <c:pt idx="2">
                  <c:v>1.6903293153257802E-4</c:v>
                </c:pt>
                <c:pt idx="3">
                  <c:v>2.0776849475263003E-4</c:v>
                </c:pt>
                <c:pt idx="4">
                  <c:v>1.4525375668957181E-4</c:v>
                </c:pt>
                <c:pt idx="5">
                  <c:v>1.915050800605049E-4</c:v>
                </c:pt>
                <c:pt idx="6">
                  <c:v>2.6862410420563053E-4</c:v>
                </c:pt>
                <c:pt idx="7">
                  <c:v>1.0316058396132779E-4</c:v>
                </c:pt>
                <c:pt idx="8">
                  <c:v>1.2507076740591282E-4</c:v>
                </c:pt>
                <c:pt idx="9">
                  <c:v>1.3372027907850633E-4</c:v>
                </c:pt>
                <c:pt idx="10">
                  <c:v>1.1863066694065786E-4</c:v>
                </c:pt>
                <c:pt idx="11">
                  <c:v>1.106533605717561E-4</c:v>
                </c:pt>
                <c:pt idx="12">
                  <c:v>7.3331600849572617E-5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9-4F3B-8087-66A041837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25935"/>
        <c:axId val="1243127567"/>
      </c:scatterChart>
      <c:valAx>
        <c:axId val="1243125935"/>
        <c:scaling>
          <c:orientation val="minMax"/>
          <c:min val="1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P(W)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7567"/>
        <c:crossesAt val="-90"/>
        <c:crossBetween val="midCat"/>
      </c:valAx>
      <c:valAx>
        <c:axId val="12431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93537816217785"/>
          <c:y val="0.67457558883218072"/>
          <c:w val="0.24633856349429356"/>
          <c:h val="0.1533738796941740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0</xdr:row>
      <xdr:rowOff>175260</xdr:rowOff>
    </xdr:from>
    <xdr:to>
      <xdr:col>21</xdr:col>
      <xdr:colOff>447702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E6D123C-7130-5243-B720-F6901521D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122045</xdr:colOff>
      <xdr:row>1</xdr:row>
      <xdr:rowOff>29690</xdr:rowOff>
    </xdr:from>
    <xdr:to>
      <xdr:col>27</xdr:col>
      <xdr:colOff>772860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477578-F28C-184E-BFC1-6AD5C48B0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50072</xdr:colOff>
      <xdr:row>13</xdr:row>
      <xdr:rowOff>199215</xdr:rowOff>
    </xdr:from>
    <xdr:to>
      <xdr:col>27</xdr:col>
      <xdr:colOff>766607</xdr:colOff>
      <xdr:row>26</xdr:row>
      <xdr:rowOff>130735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FE508F-BF24-9F4A-9EE2-A9F9C4EB6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104081</xdr:colOff>
      <xdr:row>28</xdr:row>
      <xdr:rowOff>24545</xdr:rowOff>
    </xdr:from>
    <xdr:to>
      <xdr:col>27</xdr:col>
      <xdr:colOff>787506</xdr:colOff>
      <xdr:row>40</xdr:row>
      <xdr:rowOff>189164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AC8B22F-AE69-074C-A210-33E9C135C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45008</xdr:colOff>
      <xdr:row>41</xdr:row>
      <xdr:rowOff>86569</xdr:rowOff>
    </xdr:from>
    <xdr:to>
      <xdr:col>28</xdr:col>
      <xdr:colOff>20062</xdr:colOff>
      <xdr:row>54</xdr:row>
      <xdr:rowOff>56029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37F3502-04C5-7C49-96C6-7530E5A10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0</xdr:row>
      <xdr:rowOff>175260</xdr:rowOff>
    </xdr:from>
    <xdr:to>
      <xdr:col>21</xdr:col>
      <xdr:colOff>447702</xdr:colOff>
      <xdr:row>15</xdr:row>
      <xdr:rowOff>0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A0026653-AA87-4ABC-8DAC-D3B5398E4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122045</xdr:colOff>
      <xdr:row>1</xdr:row>
      <xdr:rowOff>29690</xdr:rowOff>
    </xdr:from>
    <xdr:to>
      <xdr:col>27</xdr:col>
      <xdr:colOff>772860</xdr:colOff>
      <xdr:row>15</xdr:row>
      <xdr:rowOff>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29EB6CB-2D65-4806-BEB0-19D00564C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50072</xdr:colOff>
      <xdr:row>14</xdr:row>
      <xdr:rowOff>199215</xdr:rowOff>
    </xdr:from>
    <xdr:to>
      <xdr:col>27</xdr:col>
      <xdr:colOff>766607</xdr:colOff>
      <xdr:row>28</xdr:row>
      <xdr:rowOff>130735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A426578-5B7C-43AD-9D28-4074EE2BE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104081</xdr:colOff>
      <xdr:row>31</xdr:row>
      <xdr:rowOff>24545</xdr:rowOff>
    </xdr:from>
    <xdr:to>
      <xdr:col>27</xdr:col>
      <xdr:colOff>787506</xdr:colOff>
      <xdr:row>44</xdr:row>
      <xdr:rowOff>189164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D1EB526-542F-45A5-821C-9BBD96642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45008</xdr:colOff>
      <xdr:row>45</xdr:row>
      <xdr:rowOff>86569</xdr:rowOff>
    </xdr:from>
    <xdr:to>
      <xdr:col>28</xdr:col>
      <xdr:colOff>20062</xdr:colOff>
      <xdr:row>58</xdr:row>
      <xdr:rowOff>56029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FCC944F-4E00-43D5-B7E6-77983D3E8D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1342</xdr:colOff>
      <xdr:row>68</xdr:row>
      <xdr:rowOff>1497</xdr:rowOff>
    </xdr:from>
    <xdr:to>
      <xdr:col>6</xdr:col>
      <xdr:colOff>457200</xdr:colOff>
      <xdr:row>83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DF73E8-5FE4-8A46-845A-F317AC11A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810669</xdr:colOff>
      <xdr:row>99</xdr:row>
      <xdr:rowOff>681</xdr:rowOff>
    </xdr:from>
    <xdr:to>
      <xdr:col>6</xdr:col>
      <xdr:colOff>476003</xdr:colOff>
      <xdr:row>115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6371406-EA5B-A042-9AAD-BE96E0F8E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819283</xdr:colOff>
      <xdr:row>116</xdr:row>
      <xdr:rowOff>186251</xdr:rowOff>
    </xdr:from>
    <xdr:to>
      <xdr:col>6</xdr:col>
      <xdr:colOff>511629</xdr:colOff>
      <xdr:row>132</xdr:row>
      <xdr:rowOff>10886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2645E8-E8FE-E74F-BDEE-03422F33E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110</xdr:colOff>
      <xdr:row>84</xdr:row>
      <xdr:rowOff>10887</xdr:rowOff>
    </xdr:from>
    <xdr:to>
      <xdr:col>6</xdr:col>
      <xdr:colOff>460614</xdr:colOff>
      <xdr:row>98</xdr:row>
      <xdr:rowOff>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B5E0E1D-162F-9D4A-87B4-73E3ECE2D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424543</xdr:colOff>
      <xdr:row>68</xdr:row>
      <xdr:rowOff>2367</xdr:rowOff>
    </xdr:from>
    <xdr:to>
      <xdr:col>16</xdr:col>
      <xdr:colOff>795874</xdr:colOff>
      <xdr:row>83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B72BEDC2-54C8-49D8-94EE-41451C731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454411</xdr:colOff>
      <xdr:row>98</xdr:row>
      <xdr:rowOff>194647</xdr:rowOff>
    </xdr:from>
    <xdr:to>
      <xdr:col>16</xdr:col>
      <xdr:colOff>925285</xdr:colOff>
      <xdr:row>116</xdr:row>
      <xdr:rowOff>10886</xdr:rowOff>
    </xdr:to>
    <xdr:graphicFrame macro="">
      <xdr:nvGraphicFramePr>
        <xdr:cNvPr id="10" name="Gráfico 3">
          <a:extLst>
            <a:ext uri="{FF2B5EF4-FFF2-40B4-BE49-F238E27FC236}">
              <a16:creationId xmlns:a16="http://schemas.microsoft.com/office/drawing/2014/main" id="{BF36BA21-BA88-4E8E-9401-9E7C70368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489447</xdr:colOff>
      <xdr:row>116</xdr:row>
      <xdr:rowOff>192188</xdr:rowOff>
    </xdr:from>
    <xdr:to>
      <xdr:col>16</xdr:col>
      <xdr:colOff>968829</xdr:colOff>
      <xdr:row>131</xdr:row>
      <xdr:rowOff>180109</xdr:rowOff>
    </xdr:to>
    <xdr:graphicFrame macro="">
      <xdr:nvGraphicFramePr>
        <xdr:cNvPr id="11" name="Gráfico 4">
          <a:extLst>
            <a:ext uri="{FF2B5EF4-FFF2-40B4-BE49-F238E27FC236}">
              <a16:creationId xmlns:a16="http://schemas.microsoft.com/office/drawing/2014/main" id="{59F09C8C-30F1-461F-9D4E-322C745B5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435539</xdr:colOff>
      <xdr:row>83</xdr:row>
      <xdr:rowOff>190994</xdr:rowOff>
    </xdr:from>
    <xdr:to>
      <xdr:col>16</xdr:col>
      <xdr:colOff>896043</xdr:colOff>
      <xdr:row>98</xdr:row>
      <xdr:rowOff>13855</xdr:rowOff>
    </xdr:to>
    <xdr:graphicFrame macro="">
      <xdr:nvGraphicFramePr>
        <xdr:cNvPr id="12" name="Gráfico 5">
          <a:extLst>
            <a:ext uri="{FF2B5EF4-FFF2-40B4-BE49-F238E27FC236}">
              <a16:creationId xmlns:a16="http://schemas.microsoft.com/office/drawing/2014/main" id="{F70C5E00-C6DA-41D7-ADEC-75EF7BE1A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e 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0E9-8704-9340-ADAF-61A97903F87A}">
  <dimension ref="A1:V43"/>
  <sheetViews>
    <sheetView zoomScale="67" workbookViewId="0">
      <selection activeCell="C13" sqref="C13"/>
    </sheetView>
  </sheetViews>
  <sheetFormatPr defaultColWidth="10.796875" defaultRowHeight="15.6"/>
  <cols>
    <col min="1" max="1" width="4.19921875" customWidth="1"/>
    <col min="2" max="2" width="21.5" customWidth="1"/>
    <col min="5" max="5" width="15.69921875" bestFit="1" customWidth="1"/>
    <col min="6" max="6" width="15.69921875" customWidth="1"/>
    <col min="7" max="7" width="17" customWidth="1"/>
    <col min="8" max="10" width="16.5" customWidth="1"/>
    <col min="13" max="13" width="13.19921875" bestFit="1" customWidth="1"/>
    <col min="14" max="14" width="14.09765625" bestFit="1" customWidth="1"/>
  </cols>
  <sheetData>
    <row r="1" spans="1:22">
      <c r="B1" s="1"/>
      <c r="C1" s="1"/>
      <c r="D1" s="1"/>
      <c r="E1" s="1"/>
      <c r="F1" s="1"/>
      <c r="G1" s="1"/>
      <c r="H1" s="1"/>
      <c r="I1" s="1"/>
      <c r="J1" s="1" t="s">
        <v>57</v>
      </c>
      <c r="K1" s="1"/>
      <c r="L1" s="1"/>
      <c r="M1" s="1"/>
      <c r="N1" s="1"/>
      <c r="O1" s="1"/>
      <c r="P1" s="1"/>
    </row>
    <row r="2" spans="1:22">
      <c r="B2" s="1"/>
      <c r="C2" s="1"/>
      <c r="D2" s="1"/>
      <c r="E2" s="1"/>
      <c r="F2" s="1"/>
      <c r="G2" s="1"/>
      <c r="H2" s="1"/>
      <c r="I2" s="1"/>
      <c r="J2" s="1">
        <v>1205</v>
      </c>
      <c r="K2" s="1"/>
      <c r="L2" s="1"/>
      <c r="M2" s="1"/>
      <c r="N2" s="1"/>
      <c r="O2" s="1"/>
      <c r="P2" s="1"/>
    </row>
    <row r="3" spans="1:22">
      <c r="B3" s="32" t="s">
        <v>49</v>
      </c>
      <c r="C3" s="2"/>
      <c r="D3" s="1"/>
      <c r="E3" s="33" t="s">
        <v>31</v>
      </c>
      <c r="F3" s="31">
        <f>M10/$M$10</f>
        <v>1</v>
      </c>
      <c r="H3" s="1"/>
      <c r="I3" s="38" t="s">
        <v>55</v>
      </c>
      <c r="J3" s="1">
        <v>920</v>
      </c>
      <c r="K3" s="1" t="s">
        <v>56</v>
      </c>
      <c r="L3" s="1"/>
      <c r="M3" s="1"/>
      <c r="N3" s="1"/>
      <c r="O3" s="1"/>
      <c r="P3" s="1"/>
    </row>
    <row r="4" spans="1:22">
      <c r="B4" s="32" t="s">
        <v>13</v>
      </c>
      <c r="C4" s="15">
        <f>1*10</f>
        <v>10</v>
      </c>
      <c r="D4" s="1"/>
      <c r="E4" s="33" t="s">
        <v>32</v>
      </c>
      <c r="F4" s="18">
        <f>M19/$M$10</f>
        <v>2.4510674545988063</v>
      </c>
      <c r="H4" s="1"/>
      <c r="I4" s="1"/>
      <c r="J4" s="1">
        <v>809</v>
      </c>
      <c r="K4" s="16"/>
      <c r="L4" s="1"/>
      <c r="M4" s="1"/>
      <c r="N4" s="1"/>
      <c r="O4" s="1"/>
      <c r="P4" s="1"/>
    </row>
    <row r="5" spans="1:22">
      <c r="A5" s="1"/>
      <c r="B5" s="32" t="s">
        <v>30</v>
      </c>
      <c r="C5" s="2">
        <f>0.01*10^-3</f>
        <v>1.0000000000000001E-5</v>
      </c>
      <c r="D5" s="1"/>
      <c r="E5" s="33" t="s">
        <v>33</v>
      </c>
      <c r="F5" s="18">
        <f>M28/$M$10</f>
        <v>1.0175043034303604</v>
      </c>
      <c r="H5" s="1"/>
      <c r="I5" s="1"/>
      <c r="J5" s="1">
        <v>628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D6" s="1"/>
      <c r="E6" s="33" t="s">
        <v>34</v>
      </c>
      <c r="F6" s="18">
        <f>M37/$M$10</f>
        <v>0.34682032760032294</v>
      </c>
      <c r="H6" s="1"/>
      <c r="I6" s="1"/>
      <c r="J6" s="1">
        <v>831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P9" s="1"/>
      <c r="Q9" s="1"/>
      <c r="R9" s="1"/>
      <c r="S9" s="1"/>
      <c r="T9" s="1"/>
      <c r="U9" s="1"/>
      <c r="V9" s="1"/>
    </row>
    <row r="10" spans="1:22" ht="18">
      <c r="A10" s="1"/>
      <c r="B10" s="34" t="s">
        <v>0</v>
      </c>
      <c r="C10" s="34" t="s">
        <v>47</v>
      </c>
      <c r="D10" s="34" t="s">
        <v>1</v>
      </c>
      <c r="E10" s="35" t="s">
        <v>50</v>
      </c>
      <c r="F10" s="32" t="s">
        <v>20</v>
      </c>
      <c r="G10" s="32" t="s">
        <v>28</v>
      </c>
      <c r="H10" s="32" t="s">
        <v>29</v>
      </c>
      <c r="I10" s="32" t="s">
        <v>23</v>
      </c>
      <c r="J10" s="32" t="s">
        <v>8</v>
      </c>
      <c r="K10" s="1"/>
      <c r="L10" s="32" t="s">
        <v>2</v>
      </c>
      <c r="M10" s="3" cm="1">
        <f t="array" ref="M10:N14">LINEST(H11:H15,_xlfn.ANCHORARRAY(F11),1,1)</f>
        <v>-1.0757579664251933E-13</v>
      </c>
      <c r="N10" s="14">
        <v>5.4135601101986649E-3</v>
      </c>
      <c r="O10" s="32" t="s">
        <v>5</v>
      </c>
      <c r="P10" s="1"/>
      <c r="Q10" s="1"/>
      <c r="R10" s="1"/>
      <c r="S10" s="1"/>
      <c r="T10" s="1"/>
      <c r="U10" s="1"/>
      <c r="V10" s="1"/>
    </row>
    <row r="11" spans="1:22">
      <c r="A11" s="1"/>
      <c r="B11" s="2">
        <v>5</v>
      </c>
      <c r="C11" s="6">
        <v>19.600000000000001</v>
      </c>
      <c r="D11" s="13">
        <f>C11*10^3</f>
        <v>19600</v>
      </c>
      <c r="E11" s="20" cm="1">
        <f t="array" ref="E11:E13">-6.981*10^(-21)*(D11:D13)^5+7.106*10^(-16)*(D11:D13)^4-3.031*10^(-11)*(D11:D13)^3+7.094*10^(-7)*(D11:D13)^2-1.047*10^(-2)*(D11:D13)+1.4*10^2</f>
        <v>63.76757069548546</v>
      </c>
      <c r="F11" s="5" cm="1">
        <f t="array" ref="F11:F15">(E11:E15+273.15)^4</f>
        <v>12885303204.527393</v>
      </c>
      <c r="G11" s="2"/>
      <c r="H11" s="3">
        <f>G11*10^-3</f>
        <v>0</v>
      </c>
      <c r="I11" s="3" cm="1">
        <f t="array" ref="I11:I15">$M$10*_xlfn.ANCHORARRAY(F11)+$N$10</f>
        <v>4.0274133529912236E-3</v>
      </c>
      <c r="J11" s="15">
        <f>I11-H11</f>
        <v>4.0274133529912236E-3</v>
      </c>
      <c r="K11" s="1"/>
      <c r="L11" s="32" t="s">
        <v>3</v>
      </c>
      <c r="M11" s="15">
        <v>2.164617177186372E-13</v>
      </c>
      <c r="N11" s="15">
        <v>6.693537012859096E-3</v>
      </c>
      <c r="O11" s="32" t="s">
        <v>6</v>
      </c>
      <c r="P11" s="1"/>
      <c r="Q11" s="1"/>
      <c r="R11" s="1"/>
      <c r="S11" s="1"/>
      <c r="T11" s="1"/>
      <c r="U11" s="1"/>
      <c r="V11" s="1"/>
    </row>
    <row r="12" spans="1:22">
      <c r="A12" s="1"/>
      <c r="B12" s="2">
        <v>6</v>
      </c>
      <c r="C12" s="6"/>
      <c r="D12" s="13">
        <f t="shared" ref="D12:D15" si="0">C12*10^3</f>
        <v>0</v>
      </c>
      <c r="E12" s="6">
        <v>140</v>
      </c>
      <c r="F12" s="5">
        <v>29136073791.591</v>
      </c>
      <c r="G12" s="2"/>
      <c r="H12" s="3">
        <f t="shared" ref="H12:H15" si="1">G12*10^-3</f>
        <v>0</v>
      </c>
      <c r="I12" s="3">
        <v>2.2792237610330347E-3</v>
      </c>
      <c r="J12" s="15">
        <f>I12-H12</f>
        <v>2.2792237610330347E-3</v>
      </c>
      <c r="K12" s="1"/>
      <c r="L12" s="32" t="s">
        <v>4</v>
      </c>
      <c r="M12" s="8">
        <v>7.6065361791162966E-2</v>
      </c>
      <c r="N12" s="15">
        <v>5.8323403190076294E-3</v>
      </c>
      <c r="O12" s="32" t="s">
        <v>7</v>
      </c>
      <c r="P12" s="1"/>
      <c r="Q12" s="1"/>
      <c r="R12" s="1"/>
      <c r="S12" s="1"/>
      <c r="T12" s="1"/>
      <c r="U12" s="1"/>
      <c r="V12" s="1"/>
    </row>
    <row r="13" spans="1:22">
      <c r="A13" s="1"/>
      <c r="B13" s="2">
        <v>7</v>
      </c>
      <c r="C13" s="19"/>
      <c r="D13" s="13">
        <f t="shared" si="0"/>
        <v>0</v>
      </c>
      <c r="E13" s="6">
        <v>140</v>
      </c>
      <c r="F13" s="5">
        <v>29136073791.591</v>
      </c>
      <c r="G13" s="1"/>
      <c r="H13" s="3">
        <f t="shared" si="1"/>
        <v>0</v>
      </c>
      <c r="I13" s="3">
        <v>2.2792237610330347E-3</v>
      </c>
      <c r="J13" s="15">
        <f>I13-H13</f>
        <v>2.2792237610330347E-3</v>
      </c>
      <c r="K13" s="1"/>
      <c r="L13" s="1"/>
      <c r="M13" s="4">
        <v>0.24698293140722119</v>
      </c>
      <c r="N13" s="4">
        <v>3</v>
      </c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2">
        <v>8</v>
      </c>
      <c r="C14" s="6"/>
      <c r="D14" s="13">
        <f t="shared" si="0"/>
        <v>0</v>
      </c>
      <c r="E14" s="6" cm="1">
        <f t="array" ref="E14:E15">-3.341*10^(-18)*(D14:D15)^5+1.183*10^(-13)*(D14:D15)^4-1.659*10^(-9)*(D14:D15)^3+1.192*10^(-5)*(D14:D15)^2-4.978*10^(-2)*(D14:D15)+1.983*10^2</f>
        <v>198.3</v>
      </c>
      <c r="F14" s="5">
        <v>49401775789.335495</v>
      </c>
      <c r="G14" s="2"/>
      <c r="H14" s="3">
        <f t="shared" si="1"/>
        <v>0</v>
      </c>
      <c r="I14" s="3">
        <v>9.9124724105775254E-5</v>
      </c>
      <c r="J14" s="15">
        <f>I14-H14</f>
        <v>9.9124724105775254E-5</v>
      </c>
      <c r="K14" s="1"/>
      <c r="L14" s="1"/>
      <c r="M14" s="4">
        <v>8.4014192098339499E-6</v>
      </c>
      <c r="N14" s="4">
        <v>1.0204858079016605E-4</v>
      </c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" t="s">
        <v>46</v>
      </c>
      <c r="C15" s="6">
        <v>3.92</v>
      </c>
      <c r="D15" s="13">
        <f t="shared" si="0"/>
        <v>3920</v>
      </c>
      <c r="E15" s="6">
        <v>111.23914209268862</v>
      </c>
      <c r="F15" s="5">
        <v>21831543736.237297</v>
      </c>
      <c r="G15" s="2">
        <v>11.75</v>
      </c>
      <c r="H15" s="3">
        <f t="shared" si="1"/>
        <v>1.175E-2</v>
      </c>
      <c r="I15" s="3">
        <v>3.0650144008369348E-3</v>
      </c>
      <c r="J15" s="15">
        <f>I15-H15</f>
        <v>-8.6849855991630656E-3</v>
      </c>
      <c r="K15" s="1"/>
      <c r="L15" s="16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9"/>
      <c r="F16" s="16"/>
      <c r="G16" s="1"/>
      <c r="H16" s="16"/>
      <c r="I16" s="16"/>
      <c r="J16" s="2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9"/>
      <c r="F17" s="16"/>
      <c r="G17" s="1"/>
      <c r="H17" s="16"/>
      <c r="I17" s="16"/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9"/>
      <c r="F18" s="16"/>
      <c r="G18" s="1"/>
      <c r="H18" s="16"/>
      <c r="I18" s="16"/>
      <c r="J18" s="2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>
      <c r="A19" s="1"/>
      <c r="B19" s="34" t="s">
        <v>0</v>
      </c>
      <c r="C19" s="34" t="s">
        <v>47</v>
      </c>
      <c r="D19" s="34" t="s">
        <v>1</v>
      </c>
      <c r="E19" s="35" t="s">
        <v>50</v>
      </c>
      <c r="F19" s="36" t="s">
        <v>20</v>
      </c>
      <c r="G19" s="32" t="s">
        <v>26</v>
      </c>
      <c r="H19" s="36" t="s">
        <v>27</v>
      </c>
      <c r="I19" s="36" t="s">
        <v>23</v>
      </c>
      <c r="J19" s="37" t="s">
        <v>8</v>
      </c>
      <c r="K19" s="1"/>
      <c r="L19" s="32" t="s">
        <v>2</v>
      </c>
      <c r="M19" s="3" cm="1">
        <f t="array" ref="M19:N23">LINEST(H20:H24,_xlfn.ANCHORARRAY(F20),1,1)</f>
        <v>-2.6367553405301867E-13</v>
      </c>
      <c r="N19" s="14">
        <v>1.0662168451815734E-2</v>
      </c>
      <c r="O19" s="32" t="s">
        <v>5</v>
      </c>
      <c r="P19" s="1"/>
      <c r="Q19" s="1"/>
      <c r="R19" s="1"/>
      <c r="S19" s="1"/>
      <c r="T19" s="1"/>
      <c r="U19" s="1"/>
      <c r="V19" s="1"/>
    </row>
    <row r="20" spans="1:22">
      <c r="A20" s="1"/>
      <c r="B20" s="2">
        <v>5</v>
      </c>
      <c r="C20" s="6"/>
      <c r="D20" s="13">
        <f>C20*10^3</f>
        <v>0</v>
      </c>
      <c r="E20" s="20" cm="1">
        <f t="array" ref="E20:E22">-6.981*10^(-21)*(D20:D22)^5+7.106*10^(-16)*(D20:D22)^4-3.031*10^(-11)*(D20:D22)^3+7.094*10^(-7)*(D20:D22)^2-1.047*10^(-2)*(D20:D22)+1.4*10^2</f>
        <v>140</v>
      </c>
      <c r="F20" s="5" cm="1">
        <f t="array" ref="F20:F24">(E20:E24+273.15)^4</f>
        <v>29136073791.591</v>
      </c>
      <c r="G20" s="2"/>
      <c r="H20" s="3">
        <f>G20*10^-3</f>
        <v>0</v>
      </c>
      <c r="I20" s="3" cm="1">
        <f t="array" ref="I20:I24">$M$19*_xlfn.ANCHORARRAY(F20)+$N$19</f>
        <v>2.9796986346098163E-3</v>
      </c>
      <c r="J20" s="15">
        <f>I20-H20</f>
        <v>2.9796986346098163E-3</v>
      </c>
      <c r="K20" s="1"/>
      <c r="L20" s="32" t="s">
        <v>3</v>
      </c>
      <c r="M20" s="15">
        <v>2.4183140379006093E-13</v>
      </c>
      <c r="N20" s="15">
        <v>7.9948628609096059E-3</v>
      </c>
      <c r="O20" s="32" t="s">
        <v>6</v>
      </c>
      <c r="P20" s="1"/>
      <c r="Q20" s="1"/>
      <c r="R20" s="1"/>
      <c r="S20" s="1"/>
      <c r="T20" s="1"/>
      <c r="U20" s="1"/>
      <c r="V20" s="1"/>
    </row>
    <row r="21" spans="1:22">
      <c r="A21" s="1"/>
      <c r="B21" s="2">
        <v>6</v>
      </c>
      <c r="C21" s="6"/>
      <c r="D21" s="13">
        <f t="shared" ref="D21:D24" si="2">C21*10^3</f>
        <v>0</v>
      </c>
      <c r="E21" s="6">
        <v>140</v>
      </c>
      <c r="F21" s="3">
        <v>29136073791.591</v>
      </c>
      <c r="G21" s="2"/>
      <c r="H21" s="3">
        <f t="shared" ref="H21:H23" si="3">G21*10^-3</f>
        <v>0</v>
      </c>
      <c r="I21" s="3">
        <v>2.9796986346098163E-3</v>
      </c>
      <c r="J21" s="15">
        <f>I21-H21</f>
        <v>2.9796986346098163E-3</v>
      </c>
      <c r="K21" s="1"/>
      <c r="L21" s="32" t="s">
        <v>4</v>
      </c>
      <c r="M21" s="8">
        <v>0.28380699489972011</v>
      </c>
      <c r="N21" s="15">
        <v>5.0152194744362581E-3</v>
      </c>
      <c r="O21" s="32" t="s">
        <v>7</v>
      </c>
      <c r="P21" s="1"/>
      <c r="Q21" s="1"/>
      <c r="R21" s="1"/>
      <c r="S21" s="1"/>
      <c r="T21" s="1"/>
      <c r="U21" s="1"/>
      <c r="V21" s="1"/>
    </row>
    <row r="22" spans="1:22">
      <c r="A22" s="1"/>
      <c r="B22" s="2">
        <v>7</v>
      </c>
      <c r="C22" s="6"/>
      <c r="D22" s="13">
        <f t="shared" si="2"/>
        <v>0</v>
      </c>
      <c r="E22" s="6">
        <v>140</v>
      </c>
      <c r="F22" s="3">
        <v>29136073791.591</v>
      </c>
      <c r="G22" s="2"/>
      <c r="H22" s="3">
        <f t="shared" si="3"/>
        <v>0</v>
      </c>
      <c r="I22" s="3">
        <v>2.9796986346098163E-3</v>
      </c>
      <c r="J22" s="15">
        <f>I22-H22</f>
        <v>2.9796986346098163E-3</v>
      </c>
      <c r="K22" s="1"/>
      <c r="L22" s="1"/>
      <c r="M22" s="4">
        <v>1.1888149962871337</v>
      </c>
      <c r="N22" s="4">
        <v>3</v>
      </c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2">
        <v>8</v>
      </c>
      <c r="C23" s="6"/>
      <c r="D23" s="13">
        <f t="shared" si="2"/>
        <v>0</v>
      </c>
      <c r="E23" s="6" cm="1">
        <f t="array" ref="E23:E24">-3.341*10^(-18)*(D23:D24)^5+1.183*10^(-13)*(D23:D24)^4-1.659*10^(-9)*(D23:D24)^3+1.192*10^(-5)*(D23:D24)^2-4.978*10^(-2)*(D23:D24)+1.983*10^2</f>
        <v>198.3</v>
      </c>
      <c r="F23" s="3">
        <v>49401775789.335495</v>
      </c>
      <c r="G23" s="2"/>
      <c r="H23" s="3">
        <f t="shared" si="3"/>
        <v>0</v>
      </c>
      <c r="I23" s="3">
        <v>-2.3638711626047908E-3</v>
      </c>
      <c r="J23" s="15">
        <f>I23-H23</f>
        <v>-2.3638711626047908E-3</v>
      </c>
      <c r="K23" s="1"/>
      <c r="L23" s="1"/>
      <c r="M23" s="4">
        <v>2.9901581669705929E-5</v>
      </c>
      <c r="N23" s="4">
        <v>7.5457279130294094E-5</v>
      </c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" t="s">
        <v>46</v>
      </c>
      <c r="C24" s="6">
        <v>3.91</v>
      </c>
      <c r="D24" s="13">
        <f t="shared" si="2"/>
        <v>3910</v>
      </c>
      <c r="E24" s="6">
        <v>111.32173738737112</v>
      </c>
      <c r="F24" s="3">
        <v>21850313923.634293</v>
      </c>
      <c r="G24" s="2">
        <v>11.476000000000001</v>
      </c>
      <c r="H24" s="3">
        <f t="shared" ref="H24" si="4">G24*10^-3</f>
        <v>1.1476000000000002E-2</v>
      </c>
      <c r="I24" s="3">
        <v>4.9007752587753514E-3</v>
      </c>
      <c r="J24" s="15">
        <f>I24-H24</f>
        <v>-6.5752247412246504E-3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9"/>
      <c r="F25" s="16"/>
      <c r="G25" s="1"/>
      <c r="H25" s="16"/>
      <c r="I25" s="16"/>
      <c r="J25" s="2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9"/>
      <c r="F26" s="16"/>
      <c r="G26" s="1"/>
      <c r="H26" s="16"/>
      <c r="I26" s="16"/>
      <c r="J26" s="2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9"/>
      <c r="F27" s="16"/>
      <c r="G27" s="1"/>
      <c r="H27" s="16"/>
      <c r="I27" s="16"/>
      <c r="J27" s="2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>
      <c r="A28" s="1"/>
      <c r="B28" s="34" t="s">
        <v>0</v>
      </c>
      <c r="C28" s="34" t="s">
        <v>47</v>
      </c>
      <c r="D28" s="34" t="s">
        <v>1</v>
      </c>
      <c r="E28" s="35" t="s">
        <v>50</v>
      </c>
      <c r="F28" s="36" t="s">
        <v>20</v>
      </c>
      <c r="G28" s="32" t="s">
        <v>24</v>
      </c>
      <c r="H28" s="36" t="s">
        <v>25</v>
      </c>
      <c r="I28" s="36" t="s">
        <v>23</v>
      </c>
      <c r="J28" s="37" t="s">
        <v>8</v>
      </c>
      <c r="K28" s="1"/>
      <c r="L28" s="32" t="s">
        <v>2</v>
      </c>
      <c r="M28" s="14" cm="1">
        <f t="array" ref="M28:N32">LINEST(H29:H33,_xlfn.ANCHORARRAY(F29),1,1)</f>
        <v>-1.0945883602871273E-13</v>
      </c>
      <c r="N28" s="14">
        <v>4.945648855731035E-3</v>
      </c>
      <c r="O28" s="32" t="s">
        <v>5</v>
      </c>
      <c r="P28" s="1"/>
      <c r="Q28" s="1"/>
      <c r="R28" s="1"/>
      <c r="S28" s="1"/>
      <c r="T28" s="1"/>
      <c r="U28" s="1"/>
      <c r="V28" s="1"/>
    </row>
    <row r="29" spans="1:22">
      <c r="A29" s="1"/>
      <c r="B29" s="2">
        <v>5</v>
      </c>
      <c r="C29" s="6"/>
      <c r="D29" s="13">
        <f>C29*10^3</f>
        <v>0</v>
      </c>
      <c r="E29" s="20" cm="1">
        <f t="array" ref="E29:E30">-6.981*10^(-21)*(D29:D30)^5+7.106*10^(-16)*(D29:D30)^4-3.031*10^(-11)*(D29:D30)^3+7.094*10^(-7)*(D29:D30)^2-1.047*10^(-2)*(D29:D30)+1.4*10^2</f>
        <v>140</v>
      </c>
      <c r="F29" s="5" cm="1">
        <f t="array" ref="F29:F33">(E29:E33+273.15)^4</f>
        <v>29136073791.591</v>
      </c>
      <c r="G29" s="2"/>
      <c r="H29" s="3">
        <f>G29*10^-3</f>
        <v>0</v>
      </c>
      <c r="I29" s="3" cm="1">
        <f t="array" ref="I29:I33">$M$28*_xlfn.ANCHORARRAY(F29)+$N$28</f>
        <v>1.7564481320568011E-3</v>
      </c>
      <c r="J29" s="15">
        <f>I29-H29</f>
        <v>1.7564481320568011E-3</v>
      </c>
      <c r="K29" s="1"/>
      <c r="L29" s="32" t="s">
        <v>3</v>
      </c>
      <c r="M29" s="15">
        <v>8.2472743065409563E-14</v>
      </c>
      <c r="N29" s="15">
        <v>3.0987835045886004E-3</v>
      </c>
      <c r="O29" s="32" t="s">
        <v>6</v>
      </c>
      <c r="P29" s="1"/>
      <c r="Q29" s="1"/>
      <c r="R29" s="1"/>
      <c r="S29" s="1"/>
      <c r="T29" s="1"/>
      <c r="U29" s="1"/>
      <c r="V29" s="1"/>
    </row>
    <row r="30" spans="1:22">
      <c r="A30" s="1"/>
      <c r="B30" s="2">
        <v>6</v>
      </c>
      <c r="C30" s="6"/>
      <c r="D30" s="13">
        <f t="shared" ref="D30:D32" si="5">C30*10^3</f>
        <v>0</v>
      </c>
      <c r="E30" s="6">
        <v>140</v>
      </c>
      <c r="F30" s="3">
        <v>29136073791.591</v>
      </c>
      <c r="G30" s="2"/>
      <c r="H30" s="3">
        <f t="shared" ref="H30:H32" si="6">G30*10^-3</f>
        <v>0</v>
      </c>
      <c r="I30" s="3">
        <v>1.7564481320568011E-3</v>
      </c>
      <c r="J30" s="15">
        <f>I30-H30</f>
        <v>1.7564481320568011E-3</v>
      </c>
      <c r="K30" s="1"/>
      <c r="L30" s="32" t="s">
        <v>4</v>
      </c>
      <c r="M30" s="6">
        <v>0.36994543890610554</v>
      </c>
      <c r="N30" s="15">
        <v>2.1056346166166097E-3</v>
      </c>
      <c r="O30" s="32" t="s">
        <v>7</v>
      </c>
      <c r="P30" s="1"/>
      <c r="Q30" s="1"/>
      <c r="R30" s="1"/>
      <c r="S30" s="1"/>
      <c r="T30" s="1"/>
      <c r="U30" s="1"/>
      <c r="V30" s="1"/>
    </row>
    <row r="31" spans="1:22">
      <c r="A31" s="1"/>
      <c r="B31" s="2">
        <v>7</v>
      </c>
      <c r="C31" s="6"/>
      <c r="D31" s="13">
        <f t="shared" si="5"/>
        <v>0</v>
      </c>
      <c r="E31" s="6" cm="1">
        <f t="array" ref="E31:E33">-3.341*10^(-18)*(D31:D33)^5+1.183*10^(-13)*(D31:D33)^4-1.659*10^(-9)*(D31:D33)^3+1.192*10^(-5)*(D31:D33)^2-4.978*10^(-2)*(D31:D33)+1.983*10^2</f>
        <v>198.3</v>
      </c>
      <c r="F31" s="3">
        <v>49401775789.335495</v>
      </c>
      <c r="G31" s="2"/>
      <c r="H31" s="3">
        <f t="shared" si="6"/>
        <v>0</v>
      </c>
      <c r="I31" s="3">
        <v>-4.6181201992106981E-4</v>
      </c>
      <c r="J31" s="15">
        <f>I31-H31</f>
        <v>-4.6181201992106981E-4</v>
      </c>
      <c r="K31" s="1"/>
      <c r="L31" s="1"/>
      <c r="M31" s="4">
        <v>1.7614923932800832</v>
      </c>
      <c r="N31" s="4">
        <v>3</v>
      </c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">
        <v>8</v>
      </c>
      <c r="C32" s="6"/>
      <c r="D32" s="13">
        <f t="shared" si="5"/>
        <v>0</v>
      </c>
      <c r="E32" s="6">
        <v>198.3</v>
      </c>
      <c r="F32" s="3">
        <v>49401775789.335495</v>
      </c>
      <c r="G32" s="2"/>
      <c r="H32" s="3">
        <f t="shared" si="6"/>
        <v>0</v>
      </c>
      <c r="I32" s="3">
        <v>-4.6181201992106981E-4</v>
      </c>
      <c r="J32" s="15">
        <f>I32-H32</f>
        <v>-4.6181201992106981E-4</v>
      </c>
      <c r="K32" s="1"/>
      <c r="L32" s="1"/>
      <c r="M32" s="4">
        <v>7.8099237839174637E-6</v>
      </c>
      <c r="N32" s="4">
        <v>1.3301091416082532E-5</v>
      </c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" t="s">
        <v>46</v>
      </c>
      <c r="C33" s="6">
        <v>3.88</v>
      </c>
      <c r="D33" s="13">
        <f>C33*10^3</f>
        <v>3880</v>
      </c>
      <c r="E33" s="24">
        <v>111.57110813530758</v>
      </c>
      <c r="F33" s="16">
        <v>21907058096.008751</v>
      </c>
      <c r="G33" s="2">
        <v>5.1369999999999996</v>
      </c>
      <c r="H33" s="3">
        <f>G33*10^-3</f>
        <v>5.1370000000000001E-3</v>
      </c>
      <c r="I33" s="3">
        <v>2.5477277757285292E-3</v>
      </c>
      <c r="J33" s="15">
        <f>I33-H33</f>
        <v>-2.5892722242714709E-3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E34" s="24"/>
      <c r="F34" s="16"/>
      <c r="H34" s="21"/>
      <c r="I34" s="22"/>
      <c r="J34" s="2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9"/>
      <c r="F35" s="16"/>
      <c r="G35" s="1"/>
      <c r="H35" s="16"/>
      <c r="I35" s="16"/>
      <c r="J35" s="2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9"/>
      <c r="F36" s="16"/>
      <c r="G36" s="1"/>
      <c r="H36" s="16"/>
      <c r="I36" s="16"/>
      <c r="J36" s="2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8">
      <c r="A37" s="1"/>
      <c r="B37" s="34" t="s">
        <v>0</v>
      </c>
      <c r="C37" s="34" t="s">
        <v>47</v>
      </c>
      <c r="D37" s="34" t="s">
        <v>1</v>
      </c>
      <c r="E37" s="35" t="s">
        <v>50</v>
      </c>
      <c r="F37" s="36" t="s">
        <v>20</v>
      </c>
      <c r="G37" s="32" t="s">
        <v>21</v>
      </c>
      <c r="H37" s="36" t="s">
        <v>22</v>
      </c>
      <c r="I37" s="36" t="s">
        <v>23</v>
      </c>
      <c r="J37" s="37" t="s">
        <v>8</v>
      </c>
      <c r="K37" s="1"/>
      <c r="L37" s="32" t="s">
        <v>2</v>
      </c>
      <c r="M37" s="15" cm="1">
        <f t="array" ref="M37:N41">LINEST(H38:H42,_xlfn.ANCHORARRAY(F38),1,1)</f>
        <v>-3.7309473033424271E-14</v>
      </c>
      <c r="N37" s="12">
        <v>1.6867227373647024E-3</v>
      </c>
      <c r="O37" s="32" t="s">
        <v>5</v>
      </c>
      <c r="P37" s="1"/>
      <c r="Q37" s="1"/>
      <c r="R37" s="1"/>
      <c r="S37" s="1"/>
      <c r="T37" s="1"/>
      <c r="U37" s="1"/>
      <c r="V37" s="1"/>
    </row>
    <row r="38" spans="1:22">
      <c r="A38" s="1"/>
      <c r="B38" s="2">
        <v>5</v>
      </c>
      <c r="C38" s="6"/>
      <c r="D38" s="13">
        <f>C38*10^3</f>
        <v>0</v>
      </c>
      <c r="E38" s="20" cm="1">
        <f t="array" ref="E38:E39">-6.981*10^(-21)*(D38:D39)^5+7.106*10^(-16)*(D38:D39)^4-3.031*10^(-11)*(D38:D39)^3+7.094*10^(-7)*(D38:D39)^2-1.047*10^(-2)*(D38:D39)+1.4*10^2</f>
        <v>140</v>
      </c>
      <c r="F38" s="5" cm="1">
        <f t="array" ref="F38:F42">(E38:E42+273.15)^4</f>
        <v>29136073791.591</v>
      </c>
      <c r="G38" s="2"/>
      <c r="H38" s="3">
        <f>G38*10^-3</f>
        <v>0</v>
      </c>
      <c r="I38" s="3" cm="1">
        <f t="array" ref="I38:I42">$M$37*_xlfn.ANCHORARRAY(F38)+$N$37</f>
        <v>5.9967117793747831E-4</v>
      </c>
      <c r="J38" s="15">
        <f>I38-H38</f>
        <v>5.9967117793747831E-4</v>
      </c>
      <c r="K38" s="1"/>
      <c r="L38" s="32" t="s">
        <v>3</v>
      </c>
      <c r="M38" s="15">
        <v>2.8235882678654327E-14</v>
      </c>
      <c r="N38" s="12">
        <v>1.0611717718167222E-3</v>
      </c>
      <c r="O38" s="32" t="s">
        <v>6</v>
      </c>
      <c r="P38" s="1"/>
      <c r="Q38" s="1"/>
      <c r="R38" s="1"/>
      <c r="S38" s="1"/>
      <c r="T38" s="1"/>
      <c r="U38" s="1"/>
      <c r="V38" s="1"/>
    </row>
    <row r="39" spans="1:22">
      <c r="A39" s="1"/>
      <c r="B39" s="2">
        <v>6</v>
      </c>
      <c r="C39" s="6"/>
      <c r="D39" s="13">
        <f t="shared" ref="D39:D40" si="7">C39*10^3</f>
        <v>0</v>
      </c>
      <c r="E39" s="6">
        <v>140</v>
      </c>
      <c r="F39" s="3">
        <v>29136073791.591</v>
      </c>
      <c r="G39" s="2"/>
      <c r="H39" s="3">
        <f t="shared" ref="H39:H40" si="8">G39*10^-3</f>
        <v>0</v>
      </c>
      <c r="I39" s="3">
        <v>5.9967117793747831E-4</v>
      </c>
      <c r="J39" s="15">
        <f>I39-H39</f>
        <v>5.9967117793747831E-4</v>
      </c>
      <c r="K39" s="1"/>
      <c r="L39" s="32" t="s">
        <v>4</v>
      </c>
      <c r="M39" s="6">
        <v>0.36788406490773451</v>
      </c>
      <c r="N39" s="15">
        <v>7.1972179024619367E-4</v>
      </c>
      <c r="O39" s="32" t="s">
        <v>7</v>
      </c>
      <c r="P39" s="1"/>
      <c r="Q39" s="1"/>
      <c r="R39" s="1"/>
      <c r="S39" s="1"/>
      <c r="T39" s="1"/>
      <c r="U39" s="1"/>
      <c r="V39" s="1"/>
    </row>
    <row r="40" spans="1:22">
      <c r="A40" s="1"/>
      <c r="B40" s="2">
        <v>7</v>
      </c>
      <c r="C40" s="6"/>
      <c r="D40" s="13">
        <f t="shared" si="7"/>
        <v>0</v>
      </c>
      <c r="E40" s="6" cm="1">
        <f t="array" ref="E40:E42">-3.341*10^(-18)*(D40:D42)^5+1.183*10^(-13)*(D40:D42)^4-1.659*10^(-9)*(D40:D42)^3+1.192*10^(-5)*(D40:D42)^2-4.978*10^(-2)*(D40:D42)+1.983*10^2</f>
        <v>198.3</v>
      </c>
      <c r="F40" s="3">
        <v>49401775789.335495</v>
      </c>
      <c r="G40" s="2"/>
      <c r="H40" s="3">
        <f t="shared" si="8"/>
        <v>0</v>
      </c>
      <c r="I40" s="3">
        <v>-1.5643148425078233E-4</v>
      </c>
      <c r="J40" s="15">
        <f>I40-H40</f>
        <v>-1.5643148425078233E-4</v>
      </c>
      <c r="K40" s="1"/>
      <c r="L40" s="1"/>
      <c r="M40" s="4">
        <v>1.7459648356469788</v>
      </c>
      <c r="N40" s="4">
        <v>3</v>
      </c>
      <c r="O40" s="1"/>
      <c r="P40" s="1"/>
      <c r="Q40" s="1"/>
      <c r="R40" s="1"/>
      <c r="S40" s="1"/>
      <c r="T40" s="1"/>
      <c r="U40" s="1"/>
      <c r="V40" s="1"/>
    </row>
    <row r="41" spans="1:22">
      <c r="B41" s="2">
        <v>8</v>
      </c>
      <c r="C41" s="6"/>
      <c r="D41" s="13">
        <f>C41*10^3</f>
        <v>0</v>
      </c>
      <c r="E41" s="6">
        <v>198.3</v>
      </c>
      <c r="F41" s="3">
        <v>49401775789.335495</v>
      </c>
      <c r="G41" s="2"/>
      <c r="H41" s="3">
        <f>G41*10^-3</f>
        <v>0</v>
      </c>
      <c r="I41" s="3">
        <v>-1.5643148425078233E-4</v>
      </c>
      <c r="J41" s="15">
        <f>I41-H41</f>
        <v>-1.5643148425078233E-4</v>
      </c>
      <c r="K41" s="1"/>
      <c r="L41" s="1"/>
      <c r="M41" s="4">
        <v>9.0440883393444181E-7</v>
      </c>
      <c r="N41" s="4">
        <v>1.5539983660655581E-6</v>
      </c>
      <c r="O41" s="1"/>
      <c r="P41" s="1"/>
    </row>
    <row r="42" spans="1:22">
      <c r="B42" s="2" t="s">
        <v>46</v>
      </c>
      <c r="C42" s="6">
        <v>3.84</v>
      </c>
      <c r="D42" s="13">
        <f>C42*10^3</f>
        <v>3840</v>
      </c>
      <c r="E42" s="6">
        <v>111.90737313722209</v>
      </c>
      <c r="F42" s="3">
        <v>21983749917.971371</v>
      </c>
      <c r="G42" s="2">
        <v>1.7529999999999999</v>
      </c>
      <c r="H42" s="3">
        <f>G42*10^-3</f>
        <v>1.753E-3</v>
      </c>
      <c r="I42" s="23">
        <v>8.6652061262660653E-4</v>
      </c>
      <c r="J42" s="15">
        <f>I42-H42</f>
        <v>-8.8647938737339347E-4</v>
      </c>
    </row>
    <row r="43" spans="1:22">
      <c r="I43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D92-7C61-4801-9E9B-BAC0ECEFC2B7}">
  <dimension ref="A1:V54"/>
  <sheetViews>
    <sheetView topLeftCell="F1" zoomScale="85" zoomScaleNormal="85" workbookViewId="0">
      <selection activeCell="L4" sqref="L4"/>
    </sheetView>
  </sheetViews>
  <sheetFormatPr defaultColWidth="11" defaultRowHeight="15.6"/>
  <cols>
    <col min="1" max="1" width="4.19921875" customWidth="1"/>
    <col min="2" max="2" width="21.5" customWidth="1"/>
    <col min="5" max="5" width="15.69921875" bestFit="1" customWidth="1"/>
    <col min="6" max="6" width="15.69921875" customWidth="1"/>
    <col min="7" max="7" width="17" customWidth="1"/>
    <col min="8" max="10" width="16.5" customWidth="1"/>
    <col min="13" max="13" width="13.19921875" bestFit="1" customWidth="1"/>
    <col min="14" max="14" width="14" bestFit="1" customWidth="1"/>
  </cols>
  <sheetData>
    <row r="1" spans="1:2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>
      <c r="B3" s="32" t="s">
        <v>49</v>
      </c>
      <c r="C3" s="2">
        <v>0.01</v>
      </c>
      <c r="D3" s="1"/>
      <c r="E3" s="33" t="s">
        <v>31</v>
      </c>
      <c r="F3" s="31">
        <f>M13/$M$13</f>
        <v>1</v>
      </c>
      <c r="H3" s="1"/>
      <c r="I3" s="1"/>
      <c r="J3" s="1"/>
      <c r="P3" s="1"/>
    </row>
    <row r="4" spans="1:22">
      <c r="B4" s="32" t="s">
        <v>13</v>
      </c>
      <c r="C4" s="15">
        <f>1*10</f>
        <v>10</v>
      </c>
      <c r="D4" s="1"/>
      <c r="E4" s="33" t="s">
        <v>32</v>
      </c>
      <c r="F4" s="18">
        <f>M23/$M$13</f>
        <v>0.9805360053647395</v>
      </c>
      <c r="G4">
        <f>SQRT((1/M$13*M24)^2+(M23/(M$13^2)*M$14)^2)</f>
        <v>7.4002358854479727E-2</v>
      </c>
      <c r="H4" s="1"/>
      <c r="I4" s="1"/>
      <c r="J4" s="1"/>
      <c r="L4" s="61"/>
      <c r="P4" s="1"/>
    </row>
    <row r="5" spans="1:22">
      <c r="A5" s="1"/>
      <c r="B5" s="32" t="s">
        <v>30</v>
      </c>
      <c r="C5" s="2">
        <f>0.01*10^-3</f>
        <v>1.0000000000000001E-5</v>
      </c>
      <c r="D5" s="1"/>
      <c r="E5" s="33" t="s">
        <v>33</v>
      </c>
      <c r="F5" s="18">
        <f>M34/$M$13</f>
        <v>0.4079477436420017</v>
      </c>
      <c r="G5">
        <f>SQRT((1/M$13*M35)^2+(M34/(M$13^2)*M$14)^2)</f>
        <v>2.677487022004121E-2</v>
      </c>
      <c r="H5" s="1"/>
      <c r="I5" s="1"/>
      <c r="J5" s="1"/>
      <c r="P5" s="1"/>
      <c r="Q5" s="1"/>
      <c r="R5" s="1"/>
      <c r="S5" s="1"/>
      <c r="T5" s="1"/>
      <c r="U5" s="1"/>
      <c r="V5" s="1"/>
    </row>
    <row r="6" spans="1:22">
      <c r="A6" s="1"/>
      <c r="D6" s="1"/>
      <c r="E6" s="33" t="s">
        <v>34</v>
      </c>
      <c r="F6" s="18">
        <f>M42/$M$13</f>
        <v>0.12657915437617404</v>
      </c>
      <c r="G6">
        <f>SQRT((1/M$13*M43)^2+(M42/(M$13^2)*M$14)^2)</f>
        <v>1.076814456643118E-2</v>
      </c>
      <c r="H6" s="1"/>
      <c r="I6" s="1"/>
      <c r="J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G7" s="1"/>
      <c r="H7" s="1"/>
      <c r="I7" s="1"/>
      <c r="J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P8" s="1"/>
      <c r="Q8" s="1"/>
      <c r="R8" s="1"/>
      <c r="S8" s="1"/>
      <c r="T8" s="1"/>
      <c r="U8" s="1"/>
      <c r="V8" s="1"/>
    </row>
    <row r="9" spans="1:22" ht="18" customHeight="1">
      <c r="A9" s="1"/>
      <c r="B9" s="1"/>
      <c r="C9" s="1"/>
      <c r="D9" s="1"/>
      <c r="E9" s="19"/>
      <c r="F9" s="1"/>
      <c r="G9" s="1" t="s">
        <v>72</v>
      </c>
      <c r="H9" s="1"/>
      <c r="I9" s="1"/>
      <c r="J9" s="1"/>
      <c r="P9" s="1"/>
      <c r="Q9" s="1"/>
      <c r="R9" s="1"/>
      <c r="S9" s="1"/>
      <c r="T9" s="1"/>
      <c r="U9" s="1"/>
      <c r="V9" s="1"/>
    </row>
    <row r="10" spans="1:22" ht="18">
      <c r="A10" s="1"/>
      <c r="B10" s="34" t="s">
        <v>0</v>
      </c>
      <c r="C10" s="34" t="s">
        <v>47</v>
      </c>
      <c r="D10" s="34" t="s">
        <v>1</v>
      </c>
      <c r="E10" s="35" t="s">
        <v>50</v>
      </c>
      <c r="F10" s="32" t="s">
        <v>20</v>
      </c>
      <c r="G10" s="32" t="s">
        <v>28</v>
      </c>
      <c r="H10" s="32" t="s">
        <v>29</v>
      </c>
      <c r="I10" s="32" t="s">
        <v>23</v>
      </c>
      <c r="J10" s="32" t="s">
        <v>8</v>
      </c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</row>
    <row r="11" spans="1:22">
      <c r="A11" s="1"/>
      <c r="B11" s="1">
        <v>4</v>
      </c>
      <c r="C11" s="1">
        <v>19.899999999999999</v>
      </c>
      <c r="D11" s="13">
        <f t="shared" ref="D11" si="0">C11*10^3</f>
        <v>19900</v>
      </c>
      <c r="E11" s="6">
        <f>-6.981*10^(-21)*(D11)^5+7.106*10^(-16)*(D11)^4-3.031*10^(-11)*(D11)^3+7.094*10^(-7)*(D11)^2-1.047*10^(-2)*(D11)+1.4*10^2</f>
        <v>63.368338987319873</v>
      </c>
      <c r="F11" s="5">
        <f>(E11+273.15)^4</f>
        <v>12824337724.780067</v>
      </c>
      <c r="G11" s="1">
        <v>3.9049999999999998</v>
      </c>
      <c r="H11" s="3">
        <f>G11*10^-3</f>
        <v>3.9050000000000001E-3</v>
      </c>
      <c r="I11" s="3">
        <f>F11*M$13+N$13</f>
        <v>3.62448075244492E-3</v>
      </c>
      <c r="J11" s="15">
        <f t="shared" ref="J11:J16" si="1">I11-H11</f>
        <v>-2.8051924755508008E-4</v>
      </c>
      <c r="K11" s="16"/>
      <c r="L11" s="1"/>
      <c r="M11" s="1"/>
      <c r="N11" s="1"/>
      <c r="O11" s="1"/>
      <c r="Q11" s="1"/>
      <c r="R11" s="1"/>
      <c r="S11" s="1"/>
      <c r="T11" s="1"/>
      <c r="U11" s="1"/>
      <c r="V11" s="1"/>
    </row>
    <row r="12" spans="1:22" ht="15" customHeight="1">
      <c r="A12" s="1"/>
      <c r="B12" s="2">
        <v>5</v>
      </c>
      <c r="C12" s="6">
        <v>18.399999999999999</v>
      </c>
      <c r="D12" s="13">
        <f>C12*10^3</f>
        <v>18400</v>
      </c>
      <c r="E12" s="6">
        <f t="shared" ref="E12:E16" si="2">-6.981*10^(-21)*(D12)^5+7.106*10^(-16)*(D12)^4-3.031*10^(-11)*(D12)^3+7.094*10^(-7)*(D12)^2-1.047*10^(-2)*(D12)+1.4*10^2</f>
        <v>65.437857777090585</v>
      </c>
      <c r="F12" s="5">
        <f t="shared" ref="F12:F15" si="3">(E12+273.15)^4</f>
        <v>13142727961.904379</v>
      </c>
      <c r="G12" s="2">
        <v>3.69</v>
      </c>
      <c r="H12" s="3">
        <f>G12*10^-3</f>
        <v>3.6900000000000001E-3</v>
      </c>
      <c r="I12" s="3">
        <f t="shared" ref="I12:I16" si="4">F12*M$13+N$13</f>
        <v>3.9167254232347626E-3</v>
      </c>
      <c r="J12" s="15">
        <f t="shared" si="1"/>
        <v>2.2672542323476244E-4</v>
      </c>
      <c r="K12" s="1"/>
      <c r="L12" s="60" t="s">
        <v>74</v>
      </c>
      <c r="M12" s="60"/>
      <c r="N12" s="60"/>
      <c r="O12" s="60"/>
      <c r="Q12" s="1"/>
      <c r="R12" s="1"/>
      <c r="S12" s="1"/>
      <c r="T12" s="1"/>
      <c r="U12" s="1"/>
      <c r="V12" s="1"/>
    </row>
    <row r="13" spans="1:22">
      <c r="A13" s="1"/>
      <c r="B13" s="2">
        <v>6</v>
      </c>
      <c r="C13" s="6">
        <v>13.2</v>
      </c>
      <c r="D13" s="13">
        <f t="shared" ref="D13:D16" si="5">C13*10^3</f>
        <v>13200</v>
      </c>
      <c r="E13" s="6">
        <f t="shared" si="2"/>
        <v>74.465730974382083</v>
      </c>
      <c r="F13" s="5">
        <f t="shared" si="3"/>
        <v>14601507201.905622</v>
      </c>
      <c r="G13" s="2">
        <v>5.12</v>
      </c>
      <c r="H13" s="3">
        <f t="shared" ref="H13:H16" si="6">G13*10^-3</f>
        <v>5.1200000000000004E-3</v>
      </c>
      <c r="I13" s="3">
        <f t="shared" si="4"/>
        <v>5.2557126440733459E-3</v>
      </c>
      <c r="J13" s="15">
        <f t="shared" si="1"/>
        <v>1.3571264407334551E-4</v>
      </c>
      <c r="K13" s="1"/>
      <c r="L13" s="32" t="s">
        <v>2</v>
      </c>
      <c r="M13" s="13" cm="1">
        <f t="array" ref="M13:N17">LINEST(H11:H16,F11:F16,1,1)</f>
        <v>9.178820099177183E-13</v>
      </c>
      <c r="N13" s="13">
        <v>-8.1467481342398264E-3</v>
      </c>
      <c r="O13" s="32" t="s">
        <v>5</v>
      </c>
      <c r="Q13" s="1"/>
      <c r="R13" s="1"/>
      <c r="S13" s="1"/>
      <c r="T13" s="1"/>
      <c r="U13" s="1"/>
      <c r="V13" s="1"/>
    </row>
    <row r="14" spans="1:22">
      <c r="A14" s="1"/>
      <c r="B14" s="2">
        <v>7</v>
      </c>
      <c r="C14" s="19">
        <v>10.9</v>
      </c>
      <c r="D14" s="13">
        <f t="shared" si="5"/>
        <v>10900</v>
      </c>
      <c r="E14" s="6">
        <f t="shared" si="2"/>
        <v>79.865070547744324</v>
      </c>
      <c r="F14" s="5">
        <f t="shared" si="3"/>
        <v>15530054682.161085</v>
      </c>
      <c r="G14" s="1">
        <v>6.25</v>
      </c>
      <c r="H14" s="3">
        <f t="shared" si="6"/>
        <v>6.2500000000000003E-3</v>
      </c>
      <c r="I14" s="3">
        <f t="shared" si="4"/>
        <v>6.1080096715542629E-3</v>
      </c>
      <c r="J14" s="15">
        <f t="shared" si="1"/>
        <v>-1.4199032844573745E-4</v>
      </c>
      <c r="K14" s="1"/>
      <c r="L14" s="32" t="s">
        <v>3</v>
      </c>
      <c r="M14" s="13">
        <v>4.7044972138331135E-14</v>
      </c>
      <c r="N14" s="13">
        <v>7.2473343862494558E-4</v>
      </c>
      <c r="O14" s="32" t="s">
        <v>6</v>
      </c>
      <c r="Q14" s="1"/>
      <c r="R14" s="1"/>
      <c r="S14" s="1"/>
      <c r="T14" s="1"/>
      <c r="U14" s="1"/>
      <c r="V14" s="1"/>
    </row>
    <row r="15" spans="1:22">
      <c r="A15" s="1"/>
      <c r="B15" s="2">
        <v>8</v>
      </c>
      <c r="C15" s="6">
        <v>8.1999999999999993</v>
      </c>
      <c r="D15" s="13">
        <f t="shared" si="5"/>
        <v>8200</v>
      </c>
      <c r="E15" s="6">
        <f t="shared" si="2"/>
        <v>88.088055662022086</v>
      </c>
      <c r="F15" s="5">
        <f t="shared" si="3"/>
        <v>17028405526.00729</v>
      </c>
      <c r="G15" s="2">
        <v>7.3</v>
      </c>
      <c r="H15" s="3">
        <f t="shared" si="6"/>
        <v>7.3000000000000001E-3</v>
      </c>
      <c r="I15" s="3">
        <f t="shared" si="4"/>
        <v>7.4833189556657263E-3</v>
      </c>
      <c r="J15" s="15">
        <f t="shared" si="1"/>
        <v>1.8331895566572626E-4</v>
      </c>
      <c r="K15" s="1"/>
      <c r="L15" s="32" t="s">
        <v>4</v>
      </c>
      <c r="M15" s="13">
        <v>0.98960144418779639</v>
      </c>
      <c r="N15" s="13">
        <v>2.3316861582077153E-4</v>
      </c>
      <c r="O15" s="32" t="s">
        <v>7</v>
      </c>
      <c r="Q15" s="1"/>
      <c r="R15" s="1"/>
      <c r="S15" s="1"/>
      <c r="T15" s="1"/>
      <c r="U15" s="1"/>
      <c r="V15" s="1"/>
    </row>
    <row r="16" spans="1:22">
      <c r="A16" s="1"/>
      <c r="B16" s="2" t="s">
        <v>46</v>
      </c>
      <c r="C16" s="6">
        <v>6.3</v>
      </c>
      <c r="D16" s="13">
        <f t="shared" si="5"/>
        <v>6300</v>
      </c>
      <c r="E16" s="6">
        <f t="shared" si="2"/>
        <v>95.666284843593175</v>
      </c>
      <c r="F16" s="5">
        <f>(E16+273.15)^4</f>
        <v>18502923582.50845</v>
      </c>
      <c r="G16" s="2">
        <v>8.9600000000000009</v>
      </c>
      <c r="H16" s="3">
        <f t="shared" si="6"/>
        <v>8.9600000000000009E-3</v>
      </c>
      <c r="I16" s="3">
        <f t="shared" si="4"/>
        <v>8.8367525530269782E-3</v>
      </c>
      <c r="J16" s="15">
        <f t="shared" si="1"/>
        <v>-1.2324744697302277E-4</v>
      </c>
      <c r="K16" s="1"/>
      <c r="L16" s="1"/>
      <c r="M16" s="4">
        <v>380.6688013450559</v>
      </c>
      <c r="N16" s="4">
        <v>4</v>
      </c>
      <c r="O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3"/>
      <c r="E17" s="6"/>
      <c r="F17" s="5"/>
      <c r="G17" s="1"/>
      <c r="H17" s="3"/>
      <c r="I17" s="3"/>
      <c r="J17" s="15"/>
      <c r="M17">
        <v>2.0696050419718239E-5</v>
      </c>
      <c r="N17">
        <v>2.1747041361509819E-7</v>
      </c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9"/>
      <c r="F18" s="16"/>
      <c r="G18" s="1"/>
      <c r="H18" s="16"/>
      <c r="I18" s="16"/>
      <c r="J18" s="26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9"/>
      <c r="F19" s="16"/>
      <c r="G19" s="1"/>
      <c r="H19" s="16"/>
      <c r="I19" s="16"/>
      <c r="J19" s="26"/>
      <c r="K19" s="1"/>
      <c r="L19" s="1"/>
      <c r="M19" s="4"/>
      <c r="N19" s="4"/>
      <c r="O19" s="1"/>
      <c r="P19" s="1"/>
      <c r="Q19" s="1"/>
      <c r="R19" s="1"/>
      <c r="S19" s="1"/>
      <c r="T19" s="1"/>
      <c r="U19" s="1"/>
      <c r="V19" s="1"/>
    </row>
    <row r="20" spans="1:22" ht="18">
      <c r="A20" s="1"/>
      <c r="B20" s="34" t="s">
        <v>0</v>
      </c>
      <c r="C20" s="34" t="s">
        <v>47</v>
      </c>
      <c r="D20" s="34" t="s">
        <v>1</v>
      </c>
      <c r="E20" s="35" t="s">
        <v>50</v>
      </c>
      <c r="F20" s="36" t="s">
        <v>20</v>
      </c>
      <c r="G20" s="32" t="s">
        <v>26</v>
      </c>
      <c r="H20" s="36" t="s">
        <v>27</v>
      </c>
      <c r="I20" s="36" t="s">
        <v>23</v>
      </c>
      <c r="J20" s="37" t="s">
        <v>8</v>
      </c>
      <c r="Q20" s="1"/>
      <c r="R20" s="1"/>
      <c r="S20" s="1"/>
      <c r="T20" s="1"/>
      <c r="U20" s="1"/>
      <c r="V20" s="1"/>
    </row>
    <row r="21" spans="1:22">
      <c r="A21" s="1"/>
      <c r="B21" s="52">
        <v>4</v>
      </c>
      <c r="C21" s="1">
        <v>19.899999999999999</v>
      </c>
      <c r="D21" s="13">
        <f t="shared" ref="D21" si="7">C21*10^3</f>
        <v>19900</v>
      </c>
      <c r="E21" s="6">
        <f>-6.981*10^(-21)*(D21)^5+7.106*10^(-16)*(D21)^4-3.031*10^(-11)*(D21)^3+7.094*10^(-7)*(D21)^2-1.047*10^(-2)*(D21)+1.4*10^2</f>
        <v>63.368338987319873</v>
      </c>
      <c r="F21" s="3">
        <f>(E21+273.15)^4</f>
        <v>12824337724.780067</v>
      </c>
      <c r="G21" s="1">
        <v>3.907</v>
      </c>
      <c r="H21" s="3">
        <f t="shared" ref="H21" si="8">G21*10^-3</f>
        <v>3.9069999999999999E-3</v>
      </c>
      <c r="I21" s="3">
        <f>M$23*F21+N$23</f>
        <v>3.6005491870866966E-3</v>
      </c>
      <c r="J21" s="15">
        <f t="shared" ref="J21:J26" si="9">I21-H21</f>
        <v>-3.0645081291330329E-4</v>
      </c>
      <c r="Q21" s="1"/>
      <c r="R21" s="1"/>
      <c r="S21" s="1"/>
      <c r="T21" s="1"/>
      <c r="U21" s="1"/>
      <c r="V21" s="1"/>
    </row>
    <row r="22" spans="1:22">
      <c r="A22" s="1"/>
      <c r="B22" s="2">
        <v>5</v>
      </c>
      <c r="C22" s="6">
        <v>18</v>
      </c>
      <c r="D22" s="13">
        <f>C22*10^3</f>
        <v>18000</v>
      </c>
      <c r="E22" s="6">
        <f t="shared" ref="E22:E26" si="10">-6.981*10^(-21)*(D22)^5+7.106*10^(-16)*(D22)^4-3.031*10^(-11)*(D22)^3+7.094*10^(-7)*(D22)^2-1.047*10^(-2)*(D22)+1.4*10^2</f>
        <v>66.022551392000025</v>
      </c>
      <c r="F22" s="3">
        <f t="shared" ref="F22:F26" si="11">(E22+273.15)^4</f>
        <v>13233745957.575876</v>
      </c>
      <c r="G22" s="2">
        <v>3.7</v>
      </c>
      <c r="H22" s="3">
        <f>G22*10^-3</f>
        <v>3.7000000000000002E-3</v>
      </c>
      <c r="I22" s="3">
        <f t="shared" ref="I22:I26" si="12">M$23*F22+N$23</f>
        <v>3.9690232942763276E-3</v>
      </c>
      <c r="J22" s="15">
        <f t="shared" si="9"/>
        <v>2.6902329427632744E-4</v>
      </c>
      <c r="L22" s="59" t="s">
        <v>73</v>
      </c>
      <c r="M22" s="59"/>
      <c r="N22" s="59"/>
      <c r="O22" s="59"/>
      <c r="P22" s="1"/>
      <c r="Q22" s="1"/>
      <c r="R22" s="1"/>
      <c r="S22" s="1"/>
      <c r="T22" s="1"/>
      <c r="U22" s="1"/>
      <c r="V22" s="1"/>
    </row>
    <row r="23" spans="1:22">
      <c r="A23" s="1"/>
      <c r="B23" s="2">
        <v>6</v>
      </c>
      <c r="C23" s="6">
        <v>13.1</v>
      </c>
      <c r="D23" s="13">
        <f t="shared" ref="D23:D26" si="13">C23*10^3</f>
        <v>13100</v>
      </c>
      <c r="E23" s="6">
        <f t="shared" si="10"/>
        <v>74.677426003723696</v>
      </c>
      <c r="F23" s="3">
        <f t="shared" si="11"/>
        <v>14637108482.47266</v>
      </c>
      <c r="G23" s="2">
        <v>5.13</v>
      </c>
      <c r="H23" s="3">
        <f t="shared" ref="H23:H26" si="14">G23*10^-3</f>
        <v>5.13E-3</v>
      </c>
      <c r="I23" s="3">
        <f t="shared" si="12"/>
        <v>5.2320725248535555E-3</v>
      </c>
      <c r="J23" s="15">
        <f t="shared" si="9"/>
        <v>1.0207252485355551E-4</v>
      </c>
      <c r="L23" s="32" t="s">
        <v>2</v>
      </c>
      <c r="M23" s="3" cm="1">
        <f t="array" ref="M23:N27">LINEST(H21:H26,F21:F26,1,1)</f>
        <v>9.0001635940087772E-13</v>
      </c>
      <c r="N23" s="3">
        <v>-7.9415645636971947E-3</v>
      </c>
      <c r="O23" s="32" t="s">
        <v>5</v>
      </c>
      <c r="P23" s="1"/>
      <c r="Q23" s="1"/>
      <c r="R23" s="1"/>
      <c r="S23" s="1"/>
      <c r="T23" s="1"/>
      <c r="U23" s="1"/>
      <c r="V23" s="1"/>
    </row>
    <row r="24" spans="1:22">
      <c r="A24" s="1"/>
      <c r="B24" s="2">
        <v>7</v>
      </c>
      <c r="C24" s="6">
        <v>10.8</v>
      </c>
      <c r="D24" s="13">
        <f t="shared" si="13"/>
        <v>10800</v>
      </c>
      <c r="E24" s="6">
        <f t="shared" si="10"/>
        <v>80.128441899345916</v>
      </c>
      <c r="F24" s="3">
        <f t="shared" si="11"/>
        <v>15576452146.710482</v>
      </c>
      <c r="G24" s="2">
        <v>6.2</v>
      </c>
      <c r="H24" s="3">
        <f t="shared" si="14"/>
        <v>6.2000000000000006E-3</v>
      </c>
      <c r="I24" s="3">
        <f t="shared" si="12"/>
        <v>6.0774971897671597E-3</v>
      </c>
      <c r="J24" s="15">
        <f t="shared" si="9"/>
        <v>-1.2250281023284092E-4</v>
      </c>
      <c r="L24" s="32" t="s">
        <v>3</v>
      </c>
      <c r="M24" s="3">
        <v>4.9859334730753886E-14</v>
      </c>
      <c r="N24" s="3">
        <v>7.7092831161583864E-4</v>
      </c>
      <c r="O24" s="32" t="s">
        <v>6</v>
      </c>
      <c r="P24" s="1"/>
      <c r="Q24" s="1"/>
      <c r="R24" s="1"/>
      <c r="S24" s="1"/>
      <c r="T24" s="1"/>
      <c r="U24" s="1"/>
      <c r="V24" s="1"/>
    </row>
    <row r="25" spans="1:22">
      <c r="A25" s="1"/>
      <c r="B25" s="2">
        <v>8</v>
      </c>
      <c r="C25" s="6">
        <v>8.1</v>
      </c>
      <c r="D25" s="13">
        <f t="shared" si="13"/>
        <v>8100</v>
      </c>
      <c r="E25" s="6">
        <f t="shared" si="10"/>
        <v>88.444244865226182</v>
      </c>
      <c r="F25" s="3">
        <f t="shared" si="11"/>
        <v>17095666556.14764</v>
      </c>
      <c r="G25" s="2">
        <v>7.25</v>
      </c>
      <c r="H25" s="3">
        <f t="shared" si="14"/>
        <v>7.2500000000000004E-3</v>
      </c>
      <c r="I25" s="3">
        <f t="shared" si="12"/>
        <v>7.4448150116981446E-3</v>
      </c>
      <c r="J25" s="15">
        <f t="shared" si="9"/>
        <v>1.9481501169814428E-4</v>
      </c>
      <c r="L25" s="32" t="s">
        <v>4</v>
      </c>
      <c r="M25" s="3">
        <v>0.98787300327768757</v>
      </c>
      <c r="N25" s="3">
        <v>2.4920951926160487E-4</v>
      </c>
      <c r="O25" s="32" t="s">
        <v>7</v>
      </c>
      <c r="P25" s="1"/>
      <c r="Q25" s="1"/>
      <c r="R25" s="1"/>
      <c r="S25" s="1"/>
      <c r="T25" s="1"/>
      <c r="U25" s="1"/>
      <c r="V25" s="1"/>
    </row>
    <row r="26" spans="1:22">
      <c r="A26" s="1"/>
      <c r="B26" s="2" t="s">
        <v>46</v>
      </c>
      <c r="C26" s="6">
        <v>6.2</v>
      </c>
      <c r="D26" s="13">
        <f t="shared" si="13"/>
        <v>6200</v>
      </c>
      <c r="E26" s="6">
        <f t="shared" si="10"/>
        <v>96.117665523158081</v>
      </c>
      <c r="F26" s="3">
        <f t="shared" si="11"/>
        <v>18593670194.123135</v>
      </c>
      <c r="G26" s="2">
        <v>8.93</v>
      </c>
      <c r="H26" s="3">
        <f t="shared" si="14"/>
        <v>8.9300000000000004E-3</v>
      </c>
      <c r="I26" s="3">
        <f t="shared" si="12"/>
        <v>8.7930427923181217E-3</v>
      </c>
      <c r="J26" s="15">
        <f t="shared" si="9"/>
        <v>-1.3695720768187869E-4</v>
      </c>
      <c r="K26" s="1"/>
      <c r="L26" s="1"/>
      <c r="M26" s="4">
        <v>325.84258935606113</v>
      </c>
      <c r="N26" s="4">
        <v>4</v>
      </c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3"/>
      <c r="E27" s="6"/>
      <c r="F27" s="3"/>
      <c r="G27" s="1"/>
      <c r="H27" s="3"/>
      <c r="I27" s="3"/>
      <c r="J27" s="15"/>
      <c r="K27" s="1"/>
      <c r="L27" s="1"/>
      <c r="M27" s="1">
        <v>2.0236579295370934E-5</v>
      </c>
      <c r="N27" s="1">
        <v>2.4842153796240086E-7</v>
      </c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9"/>
      <c r="F28" s="16"/>
      <c r="G28" s="1"/>
      <c r="H28" s="16"/>
      <c r="I28" s="16"/>
      <c r="J28" s="26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9"/>
      <c r="F29" s="16"/>
      <c r="G29" s="1"/>
      <c r="H29" s="16"/>
      <c r="I29" s="16"/>
      <c r="J29" s="26"/>
      <c r="Q29" s="1"/>
      <c r="R29" s="1"/>
      <c r="S29" s="1"/>
      <c r="T29" s="1"/>
      <c r="U29" s="1"/>
      <c r="V29" s="1"/>
    </row>
    <row r="30" spans="1:22" ht="18">
      <c r="A30" s="1"/>
      <c r="B30" s="34" t="s">
        <v>0</v>
      </c>
      <c r="C30" s="34" t="s">
        <v>47</v>
      </c>
      <c r="D30" s="34" t="s">
        <v>1</v>
      </c>
      <c r="E30" s="35" t="s">
        <v>50</v>
      </c>
      <c r="F30" s="36" t="s">
        <v>20</v>
      </c>
      <c r="G30" s="32" t="s">
        <v>24</v>
      </c>
      <c r="H30" s="36" t="s">
        <v>25</v>
      </c>
      <c r="I30" s="36" t="s">
        <v>23</v>
      </c>
      <c r="J30" s="37" t="s">
        <v>8</v>
      </c>
      <c r="Q30" s="1"/>
      <c r="R30" s="1"/>
      <c r="S30" s="1"/>
      <c r="T30" s="1"/>
      <c r="U30" s="1"/>
      <c r="V30" s="1"/>
    </row>
    <row r="31" spans="1:22">
      <c r="A31" s="1"/>
      <c r="B31" s="52">
        <v>4</v>
      </c>
      <c r="C31">
        <v>19.899999999999999</v>
      </c>
      <c r="D31" s="13">
        <f>C31*10^3</f>
        <v>19900</v>
      </c>
      <c r="E31" s="6">
        <f>-6.981*10^(-21)*(D31)^5+7.106*10^(-16)*(D31)^4-3.031*10^(-11)*(D31)^3+7.094*10^(-7)*(D31)^2-1.047*10^(-2)*(D31)+1.4*10^2</f>
        <v>63.368338987319873</v>
      </c>
      <c r="F31" s="3">
        <f>(E31+273.15)^4</f>
        <v>12824337724.780067</v>
      </c>
      <c r="G31" s="1">
        <v>1.1970000000000001</v>
      </c>
      <c r="H31" s="3">
        <f>G31*10^-3</f>
        <v>1.1970000000000001E-3</v>
      </c>
      <c r="I31" s="3">
        <f>M$34*F31+N$34</f>
        <v>1.1364209114568384E-3</v>
      </c>
      <c r="J31" s="15">
        <f t="shared" ref="J31:J36" si="15">I31-H31</f>
        <v>-6.0579088543161793E-5</v>
      </c>
      <c r="Q31" s="1"/>
      <c r="R31" s="1"/>
      <c r="S31" s="1"/>
      <c r="T31" s="1"/>
      <c r="U31" s="1"/>
      <c r="V31" s="1"/>
    </row>
    <row r="32" spans="1:22">
      <c r="A32" s="1"/>
      <c r="B32" s="2">
        <v>5</v>
      </c>
      <c r="C32" s="6">
        <v>17.899999999999999</v>
      </c>
      <c r="D32" s="13">
        <f>C32*10^3</f>
        <v>17900</v>
      </c>
      <c r="E32" s="6">
        <f t="shared" ref="E32:E36" si="16">-6.981*10^(-21)*(D32)^5+7.106*10^(-16)*(D32)^4-3.031*10^(-11)*(D32)^3+7.094*10^(-7)*(D32)^2-1.047*10^(-2)*(D32)+1.4*10^2</f>
        <v>66.171045558340836</v>
      </c>
      <c r="F32" s="3">
        <f t="shared" ref="F32:F36" si="17">(E32+273.15)^4</f>
        <v>13256936808.181841</v>
      </c>
      <c r="G32" s="2">
        <v>1.2649999999999999</v>
      </c>
      <c r="H32" s="3">
        <f>G32*10^-3</f>
        <v>1.2649999999999998E-3</v>
      </c>
      <c r="I32" s="3">
        <f t="shared" ref="I32:I36" si="18">M$34*F32+N$34</f>
        <v>1.2984067275617112E-3</v>
      </c>
      <c r="J32" s="15">
        <f t="shared" si="15"/>
        <v>3.3406727561711329E-5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">
        <v>6</v>
      </c>
      <c r="C33" s="6">
        <v>13</v>
      </c>
      <c r="D33" s="13">
        <f t="shared" ref="D33:D35" si="19">C33*10^3</f>
        <v>13000</v>
      </c>
      <c r="E33" s="6">
        <f t="shared" si="16"/>
        <v>74.890980167000009</v>
      </c>
      <c r="F33" s="3">
        <f t="shared" si="17"/>
        <v>14673088340.474276</v>
      </c>
      <c r="G33" s="8">
        <v>1.8</v>
      </c>
      <c r="H33" s="3">
        <f t="shared" ref="H33:H35" si="20">G33*10^-3</f>
        <v>1.8000000000000002E-3</v>
      </c>
      <c r="I33" s="3">
        <f t="shared" si="18"/>
        <v>1.8286816876533535E-3</v>
      </c>
      <c r="J33" s="15">
        <f t="shared" si="15"/>
        <v>2.8681687653353332E-5</v>
      </c>
      <c r="L33" s="59" t="s">
        <v>75</v>
      </c>
      <c r="M33" s="59"/>
      <c r="N33" s="59"/>
      <c r="O33" s="59"/>
      <c r="P33" s="1"/>
      <c r="Q33" s="1"/>
      <c r="R33" s="1"/>
      <c r="S33" s="1"/>
      <c r="T33" s="1"/>
      <c r="U33" s="1"/>
      <c r="V33" s="1"/>
    </row>
    <row r="34" spans="1:22">
      <c r="A34" s="1"/>
      <c r="B34" s="2">
        <v>7</v>
      </c>
      <c r="C34" s="6">
        <v>10.8</v>
      </c>
      <c r="D34" s="13">
        <f t="shared" si="19"/>
        <v>10800</v>
      </c>
      <c r="E34" s="6">
        <f t="shared" si="16"/>
        <v>80.128441899345916</v>
      </c>
      <c r="F34" s="3">
        <f t="shared" si="17"/>
        <v>15576452146.710482</v>
      </c>
      <c r="G34" s="2">
        <v>2.2000000000000002</v>
      </c>
      <c r="H34" s="3">
        <f t="shared" si="20"/>
        <v>2.2000000000000001E-3</v>
      </c>
      <c r="I34" s="3">
        <f t="shared" si="18"/>
        <v>2.1669443632052368E-3</v>
      </c>
      <c r="J34" s="15">
        <f t="shared" si="15"/>
        <v>-3.3055636794763338E-5</v>
      </c>
      <c r="L34" s="32" t="s">
        <v>2</v>
      </c>
      <c r="M34" s="13" cm="1">
        <f t="array" ref="M34:N38">LINEST(H31:H36,F31:F36,1,1)</f>
        <v>3.744478948755186E-13</v>
      </c>
      <c r="N34" s="13">
        <v>-3.6656253527597555E-3</v>
      </c>
      <c r="O34" s="32" t="s">
        <v>5</v>
      </c>
      <c r="P34" s="1"/>
      <c r="Q34" s="1"/>
      <c r="R34" s="1"/>
      <c r="S34" s="1"/>
      <c r="T34" s="1"/>
      <c r="U34" s="1"/>
      <c r="V34" s="1"/>
    </row>
    <row r="35" spans="1:22">
      <c r="A35" s="1"/>
      <c r="B35" s="2">
        <v>8</v>
      </c>
      <c r="C35" s="6">
        <v>8.1</v>
      </c>
      <c r="D35" s="13">
        <f t="shared" si="19"/>
        <v>8100</v>
      </c>
      <c r="E35" s="6">
        <f t="shared" si="16"/>
        <v>88.444244865226182</v>
      </c>
      <c r="F35" s="3">
        <f t="shared" si="17"/>
        <v>17095666556.14764</v>
      </c>
      <c r="G35" s="2">
        <v>2.63</v>
      </c>
      <c r="H35" s="3">
        <f t="shared" si="20"/>
        <v>2.63E-3</v>
      </c>
      <c r="I35" s="3">
        <f t="shared" si="18"/>
        <v>2.7358110006835356E-3</v>
      </c>
      <c r="J35" s="15">
        <f t="shared" si="15"/>
        <v>1.0581100068353562E-4</v>
      </c>
      <c r="L35" s="32" t="s">
        <v>3</v>
      </c>
      <c r="M35" s="13">
        <v>1.5351207260044056E-14</v>
      </c>
      <c r="N35" s="13">
        <v>2.3749941516081231E-4</v>
      </c>
      <c r="O35" s="32" t="s">
        <v>6</v>
      </c>
      <c r="P35" s="1"/>
      <c r="Q35" s="1"/>
      <c r="R35" s="1"/>
      <c r="S35" s="1"/>
      <c r="T35" s="1"/>
      <c r="U35" s="1"/>
      <c r="V35" s="1"/>
    </row>
    <row r="36" spans="1:22">
      <c r="A36" s="1"/>
      <c r="B36" s="2" t="s">
        <v>46</v>
      </c>
      <c r="C36" s="6">
        <v>6.2</v>
      </c>
      <c r="D36" s="13">
        <f>C36*10^3</f>
        <v>6200</v>
      </c>
      <c r="E36" s="6">
        <f t="shared" si="16"/>
        <v>96.117665523158081</v>
      </c>
      <c r="F36" s="3">
        <f t="shared" si="17"/>
        <v>18593670194.123135</v>
      </c>
      <c r="G36" s="2">
        <v>3.371</v>
      </c>
      <c r="H36" s="3">
        <f>G36*10^-3</f>
        <v>3.3709999999999999E-3</v>
      </c>
      <c r="I36" s="3">
        <f t="shared" si="18"/>
        <v>3.2967353094393273E-3</v>
      </c>
      <c r="J36" s="15">
        <f t="shared" si="15"/>
        <v>-7.4264690560672548E-5</v>
      </c>
      <c r="L36" s="32" t="s">
        <v>4</v>
      </c>
      <c r="M36" s="13">
        <v>0.99332190965880907</v>
      </c>
      <c r="N36" s="13">
        <v>7.6505493063207518E-5</v>
      </c>
      <c r="O36" s="32" t="s">
        <v>7</v>
      </c>
      <c r="P36" s="1"/>
      <c r="Q36" s="1"/>
      <c r="R36" s="1"/>
      <c r="S36" s="1"/>
      <c r="T36" s="1"/>
      <c r="U36" s="1"/>
      <c r="V36" s="1"/>
    </row>
    <row r="37" spans="1:22">
      <c r="A37" s="1"/>
      <c r="D37" s="13"/>
      <c r="E37" s="24"/>
      <c r="F37" s="16"/>
      <c r="H37" s="3"/>
      <c r="I37" s="3"/>
      <c r="J37" s="15"/>
      <c r="K37" s="1"/>
      <c r="L37" s="1"/>
      <c r="M37" s="4">
        <v>594.97362803371311</v>
      </c>
      <c r="N37" s="4">
        <v>4</v>
      </c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9"/>
      <c r="F38" s="16"/>
      <c r="G38" s="1"/>
      <c r="H38" s="16"/>
      <c r="I38" s="16"/>
      <c r="J38" s="26"/>
      <c r="K38" s="1"/>
      <c r="L38" s="1"/>
      <c r="M38" s="1">
        <v>3.4824344714579552E-6</v>
      </c>
      <c r="N38" s="1">
        <v>2.3412361875377976E-8</v>
      </c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9"/>
      <c r="F39" s="16"/>
      <c r="G39" s="1"/>
      <c r="H39" s="16"/>
      <c r="I39" s="16"/>
      <c r="J39" s="26"/>
      <c r="K39" s="1"/>
      <c r="P39" s="1"/>
      <c r="Q39" s="1"/>
      <c r="R39" s="1"/>
      <c r="S39" s="1"/>
      <c r="T39" s="1"/>
      <c r="U39" s="1"/>
      <c r="V39" s="1"/>
    </row>
    <row r="40" spans="1:22" ht="18">
      <c r="A40" s="1"/>
      <c r="B40" s="34" t="s">
        <v>0</v>
      </c>
      <c r="C40" s="34" t="s">
        <v>47</v>
      </c>
      <c r="D40" s="34" t="s">
        <v>1</v>
      </c>
      <c r="E40" s="35" t="s">
        <v>50</v>
      </c>
      <c r="F40" s="36" t="s">
        <v>20</v>
      </c>
      <c r="G40" s="32" t="s">
        <v>21</v>
      </c>
      <c r="H40" s="36" t="s">
        <v>22</v>
      </c>
      <c r="I40" s="36" t="s">
        <v>23</v>
      </c>
      <c r="J40" s="37" t="s">
        <v>8</v>
      </c>
      <c r="K40" s="1"/>
      <c r="P40" s="1"/>
      <c r="Q40" s="1"/>
      <c r="R40" s="1"/>
      <c r="S40" s="1"/>
      <c r="T40" s="1"/>
      <c r="U40" s="1"/>
      <c r="V40" s="1"/>
    </row>
    <row r="41" spans="1:22">
      <c r="A41" s="1"/>
      <c r="B41" s="52">
        <v>4</v>
      </c>
      <c r="C41">
        <v>19.899999999999999</v>
      </c>
      <c r="D41" s="13">
        <f>C41*10^3</f>
        <v>19900</v>
      </c>
      <c r="E41" s="6">
        <f>-6.981*10^(-21)*(D41)^5+7.106*10^(-16)*(D41)^4-3.031*10^(-11)*(D41)^3+7.094*10^(-7)*(D41)^2-1.047*10^(-2)*(D41)+1.4*10^2</f>
        <v>63.368338987319873</v>
      </c>
      <c r="F41" s="3">
        <f>(E41+273.15)^4</f>
        <v>12824337724.780067</v>
      </c>
      <c r="G41" s="54">
        <v>0.33</v>
      </c>
      <c r="H41" s="3">
        <f>G41*10^-3</f>
        <v>3.3E-4</v>
      </c>
      <c r="I41" s="23">
        <f>M$42*F41+N$42</f>
        <v>2.8254361559895257E-4</v>
      </c>
      <c r="J41" s="15">
        <f t="shared" ref="J41:J46" si="21">I41-H41</f>
        <v>-4.7456384401047425E-5</v>
      </c>
      <c r="K41" s="1"/>
      <c r="L41" s="59" t="s">
        <v>76</v>
      </c>
      <c r="M41" s="59"/>
      <c r="N41" s="59"/>
      <c r="O41" s="59"/>
      <c r="P41" s="1"/>
      <c r="Q41" s="1"/>
      <c r="R41" s="1"/>
      <c r="S41" s="1"/>
      <c r="T41" s="1"/>
      <c r="U41" s="1"/>
      <c r="V41" s="1"/>
    </row>
    <row r="42" spans="1:22">
      <c r="A42" s="1"/>
      <c r="B42" s="2">
        <v>5</v>
      </c>
      <c r="C42" s="6">
        <v>17.8</v>
      </c>
      <c r="D42" s="13">
        <f>C42*10^3</f>
        <v>17800</v>
      </c>
      <c r="E42" s="6">
        <f t="shared" ref="E42:E46" si="22">-6.981*10^(-21)*(D42)^5+7.106*10^(-16)*(D42)^4-3.031*10^(-11)*(D42)^3+7.094*10^(-7)*(D42)^2-1.047*10^(-2)*(D42)+1.4*10^2</f>
        <v>66.32048912304991</v>
      </c>
      <c r="F42" s="3">
        <f t="shared" ref="F42:F46" si="23">(E42+273.15)^4</f>
        <v>13280306688.930208</v>
      </c>
      <c r="G42" s="2">
        <v>0.32</v>
      </c>
      <c r="H42" s="3">
        <f>G42*10^-3</f>
        <v>3.2000000000000003E-4</v>
      </c>
      <c r="I42" s="23">
        <f t="shared" ref="I42:I46" si="24">M$42*F42+N$42</f>
        <v>3.3552024596357304E-4</v>
      </c>
      <c r="J42" s="15">
        <f t="shared" si="21"/>
        <v>1.5520245963573009E-5</v>
      </c>
      <c r="K42" s="1"/>
      <c r="L42" s="32" t="s">
        <v>2</v>
      </c>
      <c r="M42" s="13" cm="1">
        <f t="array" ref="M42:N46">LINEST(H41:H46,F41:F46,1,1)</f>
        <v>1.1618472863248777E-13</v>
      </c>
      <c r="N42" s="13">
        <v>-1.2074485828459953E-3</v>
      </c>
      <c r="O42" s="32" t="s">
        <v>5</v>
      </c>
      <c r="P42" s="1"/>
      <c r="Q42" s="1"/>
      <c r="R42" s="1"/>
      <c r="S42" s="1"/>
      <c r="T42" s="1"/>
      <c r="U42" s="1"/>
      <c r="V42" s="1"/>
    </row>
    <row r="43" spans="1:22">
      <c r="A43" s="1"/>
      <c r="B43" s="2">
        <v>6</v>
      </c>
      <c r="C43" s="6">
        <v>13</v>
      </c>
      <c r="D43" s="13">
        <f t="shared" ref="D43:D44" si="25">C43*10^3</f>
        <v>13000</v>
      </c>
      <c r="E43" s="6">
        <f t="shared" si="22"/>
        <v>74.890980167000009</v>
      </c>
      <c r="F43" s="3">
        <f t="shared" si="23"/>
        <v>14673088340.474276</v>
      </c>
      <c r="G43" s="2">
        <v>0.49</v>
      </c>
      <c r="H43" s="3">
        <f t="shared" ref="H43:H44" si="26">G43*10^-3</f>
        <v>4.8999999999999998E-4</v>
      </c>
      <c r="I43" s="23">
        <f t="shared" si="24"/>
        <v>4.9734020419252875E-4</v>
      </c>
      <c r="J43" s="15">
        <f t="shared" si="21"/>
        <v>7.340204192528765E-6</v>
      </c>
      <c r="K43" s="1"/>
      <c r="L43" s="32" t="s">
        <v>3</v>
      </c>
      <c r="M43" s="13">
        <v>7.8886132892075849E-15</v>
      </c>
      <c r="N43" s="13">
        <v>1.2244200746733866E-4</v>
      </c>
      <c r="O43" s="32" t="s">
        <v>6</v>
      </c>
      <c r="P43" s="1"/>
      <c r="Q43" s="1"/>
      <c r="R43" s="1"/>
      <c r="S43" s="1"/>
      <c r="T43" s="1"/>
      <c r="U43" s="1"/>
      <c r="V43" s="1"/>
    </row>
    <row r="44" spans="1:22">
      <c r="A44" s="1"/>
      <c r="B44" s="2">
        <v>7</v>
      </c>
      <c r="C44" s="6">
        <v>10.6</v>
      </c>
      <c r="D44" s="13">
        <f t="shared" si="25"/>
        <v>10600</v>
      </c>
      <c r="E44" s="6">
        <f t="shared" si="22"/>
        <v>80.663435042037449</v>
      </c>
      <c r="F44" s="3">
        <f t="shared" si="23"/>
        <v>15671020540.492722</v>
      </c>
      <c r="G44" s="2">
        <v>0.56000000000000005</v>
      </c>
      <c r="H44" s="3">
        <f t="shared" si="26"/>
        <v>5.6000000000000006E-4</v>
      </c>
      <c r="I44" s="23">
        <f t="shared" si="24"/>
        <v>6.1328468604529346E-4</v>
      </c>
      <c r="J44" s="15">
        <f t="shared" si="21"/>
        <v>5.3284686045293396E-5</v>
      </c>
      <c r="K44" s="1"/>
      <c r="L44" s="32" t="s">
        <v>4</v>
      </c>
      <c r="M44" s="13">
        <v>0.98189378224874135</v>
      </c>
      <c r="N44" s="13">
        <v>3.9941740299993198E-5</v>
      </c>
      <c r="O44" s="32" t="s">
        <v>7</v>
      </c>
      <c r="P44" s="1"/>
      <c r="Q44" s="1"/>
      <c r="R44" s="1"/>
      <c r="S44" s="1"/>
      <c r="T44" s="1"/>
      <c r="U44" s="1"/>
      <c r="V44" s="1"/>
    </row>
    <row r="45" spans="1:22">
      <c r="B45" s="2">
        <v>8</v>
      </c>
      <c r="C45" s="6">
        <v>8</v>
      </c>
      <c r="D45" s="13">
        <f>C45*10^3</f>
        <v>8000</v>
      </c>
      <c r="E45" s="6">
        <f t="shared" si="22"/>
        <v>88.804744192000001</v>
      </c>
      <c r="F45" s="3">
        <f t="shared" si="23"/>
        <v>17163944179.157831</v>
      </c>
      <c r="G45" s="2">
        <v>0.78400000000000003</v>
      </c>
      <c r="H45" s="3">
        <f>G45*10^-3</f>
        <v>7.8400000000000008E-4</v>
      </c>
      <c r="I45" s="23">
        <f t="shared" si="24"/>
        <v>7.8673961387262532E-4</v>
      </c>
      <c r="J45" s="15">
        <f t="shared" si="21"/>
        <v>2.7396138726252335E-6</v>
      </c>
      <c r="K45" s="1"/>
      <c r="L45" s="1"/>
      <c r="M45" s="4">
        <v>216.91858470673336</v>
      </c>
      <c r="N45" s="4">
        <v>4</v>
      </c>
      <c r="O45" s="1"/>
      <c r="P45" s="1"/>
    </row>
    <row r="46" spans="1:22">
      <c r="B46" s="2" t="s">
        <v>46</v>
      </c>
      <c r="C46" s="6">
        <v>6.1</v>
      </c>
      <c r="D46" s="13">
        <f>C46*10^3</f>
        <v>6100</v>
      </c>
      <c r="E46" s="6">
        <f t="shared" si="22"/>
        <v>96.574904083687187</v>
      </c>
      <c r="F46" s="3">
        <f t="shared" si="23"/>
        <v>18685934397.112835</v>
      </c>
      <c r="G46" s="2">
        <v>0.995</v>
      </c>
      <c r="H46" s="3">
        <f>G46*10^-3</f>
        <v>9.9500000000000001E-4</v>
      </c>
      <c r="I46" s="23">
        <f t="shared" si="24"/>
        <v>9.6357163432702828E-4</v>
      </c>
      <c r="J46" s="15">
        <f t="shared" si="21"/>
        <v>-3.1428365672971732E-5</v>
      </c>
      <c r="M46">
        <v>3.4605946286056496E-7</v>
      </c>
      <c r="N46">
        <v>6.3813704727684028E-9</v>
      </c>
    </row>
    <row r="47" spans="1:22">
      <c r="D47" s="13"/>
      <c r="E47" s="6"/>
      <c r="F47" s="3"/>
      <c r="G47" s="53"/>
      <c r="H47" s="3"/>
      <c r="I47" s="23"/>
      <c r="J47" s="15"/>
      <c r="L47" s="1"/>
    </row>
    <row r="48" spans="1:22">
      <c r="L48" s="1"/>
    </row>
    <row r="53" spans="11:17">
      <c r="O53" s="4"/>
      <c r="P53" s="1"/>
      <c r="Q53" s="1"/>
    </row>
    <row r="54" spans="11:17">
      <c r="K54" s="1"/>
      <c r="L54" s="4"/>
      <c r="M54" s="4"/>
      <c r="N54" s="1"/>
      <c r="O54" s="1"/>
      <c r="P54" s="1"/>
      <c r="Q54" s="1"/>
    </row>
  </sheetData>
  <mergeCells count="4">
    <mergeCell ref="L22:O22"/>
    <mergeCell ref="L12:O12"/>
    <mergeCell ref="L33:O33"/>
    <mergeCell ref="L41:O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C481-1677-5247-ACAB-A094F12BDCA0}">
  <dimension ref="A1:AG115"/>
  <sheetViews>
    <sheetView tabSelected="1" topLeftCell="B71" zoomScale="70" zoomScaleNormal="70" workbookViewId="0">
      <selection activeCell="N3" sqref="N3"/>
    </sheetView>
  </sheetViews>
  <sheetFormatPr defaultColWidth="10.796875" defaultRowHeight="15.6"/>
  <cols>
    <col min="1" max="1" width="14.69921875" customWidth="1"/>
    <col min="2" max="2" width="11" bestFit="1" customWidth="1"/>
    <col min="3" max="3" width="11" customWidth="1"/>
    <col min="4" max="4" width="11" bestFit="1" customWidth="1"/>
    <col min="5" max="5" width="11.19921875" bestFit="1" customWidth="1"/>
    <col min="6" max="6" width="13.296875" bestFit="1" customWidth="1"/>
    <col min="7" max="8" width="11" bestFit="1" customWidth="1"/>
    <col min="9" max="9" width="11.09765625" bestFit="1" customWidth="1"/>
    <col min="10" max="10" width="13.69921875" bestFit="1" customWidth="1"/>
    <col min="11" max="11" width="11.19921875" bestFit="1" customWidth="1"/>
    <col min="12" max="12" width="11.19921875" customWidth="1"/>
    <col min="13" max="13" width="13.296875" bestFit="1" customWidth="1"/>
    <col min="14" max="14" width="11.19921875" bestFit="1" customWidth="1"/>
    <col min="15" max="15" width="15.5" bestFit="1" customWidth="1"/>
    <col min="16" max="16" width="13" customWidth="1"/>
    <col min="17" max="17" width="15.5" bestFit="1" customWidth="1"/>
    <col min="18" max="18" width="13.796875" customWidth="1"/>
    <col min="19" max="19" width="14.19921875" bestFit="1" customWidth="1"/>
    <col min="20" max="20" width="13.19921875" bestFit="1" customWidth="1"/>
    <col min="21" max="21" width="13.296875" customWidth="1"/>
    <col min="22" max="22" width="13.69921875" customWidth="1"/>
    <col min="23" max="23" width="15.69921875" customWidth="1"/>
    <col min="24" max="24" width="11" bestFit="1" customWidth="1"/>
    <col min="25" max="25" width="11" customWidth="1"/>
    <col min="26" max="26" width="13.59765625" customWidth="1"/>
    <col min="27" max="27" width="12.5" customWidth="1"/>
    <col min="28" max="28" width="14.796875" customWidth="1"/>
    <col min="29" max="30" width="11" bestFit="1" customWidth="1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C2" s="33" t="s">
        <v>37</v>
      </c>
      <c r="D2" s="8">
        <f>AD74</f>
        <v>0.63620517513936237</v>
      </c>
      <c r="E2" s="1"/>
      <c r="F2" s="32" t="s">
        <v>51</v>
      </c>
      <c r="G2" s="2">
        <v>0.01</v>
      </c>
      <c r="H2" s="1"/>
      <c r="I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C3" s="33" t="s">
        <v>38</v>
      </c>
      <c r="D3" s="8">
        <f>AD75</f>
        <v>6.6828395463376907E-3</v>
      </c>
      <c r="E3" s="1"/>
      <c r="F3" s="32" t="s">
        <v>65</v>
      </c>
      <c r="G3" s="25">
        <f>0.001*10^-3</f>
        <v>9.9999999999999995E-7</v>
      </c>
      <c r="H3" s="1"/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C4" s="33" t="s">
        <v>39</v>
      </c>
      <c r="D4" s="17">
        <f>((D3/D2)*100)</f>
        <v>1.0504220662577601</v>
      </c>
      <c r="E4" s="1"/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T5" s="55" t="s">
        <v>68</v>
      </c>
      <c r="U5" s="55"/>
      <c r="V5" s="55"/>
      <c r="W5" s="55"/>
      <c r="Y5" s="55" t="s">
        <v>70</v>
      </c>
      <c r="Z5" s="55"/>
      <c r="AA5" s="55"/>
      <c r="AB5" s="55"/>
    </row>
    <row r="6" spans="1:32">
      <c r="A6" s="1"/>
      <c r="B6" s="32" t="s">
        <v>45</v>
      </c>
      <c r="C6" s="32" t="s">
        <v>52</v>
      </c>
      <c r="D6" s="32" t="s">
        <v>16</v>
      </c>
      <c r="E6" s="32" t="s">
        <v>9</v>
      </c>
      <c r="F6" s="32" t="s">
        <v>10</v>
      </c>
      <c r="G6" s="32" t="s">
        <v>1</v>
      </c>
      <c r="H6" s="32" t="s">
        <v>13</v>
      </c>
      <c r="I6" s="33" t="s">
        <v>36</v>
      </c>
      <c r="J6" s="33" t="s">
        <v>35</v>
      </c>
      <c r="K6" s="32" t="s">
        <v>54</v>
      </c>
      <c r="L6" s="32" t="s">
        <v>67</v>
      </c>
      <c r="M6" s="32" t="s">
        <v>14</v>
      </c>
      <c r="N6" s="32" t="s">
        <v>15</v>
      </c>
      <c r="O6" s="32" t="s">
        <v>11</v>
      </c>
      <c r="P6" s="32" t="s">
        <v>66</v>
      </c>
      <c r="Q6" s="32" t="s">
        <v>17</v>
      </c>
      <c r="R6" s="32" t="s">
        <v>18</v>
      </c>
      <c r="T6" s="32" t="s">
        <v>12</v>
      </c>
      <c r="U6" s="32" t="s">
        <v>53</v>
      </c>
      <c r="V6" s="32" t="s">
        <v>19</v>
      </c>
      <c r="W6" s="32" t="s">
        <v>48</v>
      </c>
      <c r="X6" s="1"/>
      <c r="Y6" s="32" t="s">
        <v>12</v>
      </c>
      <c r="Z6" s="32" t="s">
        <v>53</v>
      </c>
      <c r="AA6" s="32" t="s">
        <v>19</v>
      </c>
      <c r="AB6" s="32" t="s">
        <v>48</v>
      </c>
    </row>
    <row r="7" spans="1:32">
      <c r="A7" s="1"/>
      <c r="B7" s="8">
        <v>1.3140000000000001</v>
      </c>
      <c r="C7" s="8">
        <v>1E-3</v>
      </c>
      <c r="D7" s="8">
        <v>0.63500000000000001</v>
      </c>
      <c r="E7" s="8">
        <v>0.15</v>
      </c>
      <c r="F7" s="11">
        <f t="shared" ref="F7:F63" si="0">E7*10^-3</f>
        <v>1.4999999999999999E-4</v>
      </c>
      <c r="G7" s="8">
        <f t="shared" ref="G7" si="1">B7/D7</f>
        <v>2.0692913385826772</v>
      </c>
      <c r="H7" s="8">
        <f t="shared" ref="H7" si="2">SQRT((1/D7)^2*$G$2^2+(-B7/(D7^2))^2*$G$2^2)</f>
        <v>3.6192959917035666E-2</v>
      </c>
      <c r="I7" s="8">
        <f t="shared" ref="I7" si="3">G7/$D$2</f>
        <v>3.2525534520045261</v>
      </c>
      <c r="J7" s="8">
        <f t="shared" ref="J7" si="4">SQRT(((H7/$D$2)^2)+(((G7*$D$3)/($D$2^2))^2))</f>
        <v>6.6359788960420385E-2</v>
      </c>
      <c r="K7" s="17">
        <f t="shared" ref="K7" si="5">-1.6181*(I7^2)+202.98*I7+127.76</f>
        <v>770.84525157320172</v>
      </c>
      <c r="L7" s="6">
        <f>ABS(I7*(-16181)/(5000)+10149/50*J7)</f>
        <v>2.9437964818090823</v>
      </c>
      <c r="M7" s="6">
        <f t="shared" ref="M7" si="6">B7*D7</f>
        <v>0.83439000000000008</v>
      </c>
      <c r="N7" s="6">
        <f t="shared" ref="N7" si="7">SQRT(D7^2*$K$3^2+B7^2*$G$2^2)</f>
        <v>1.3140000000000002E-2</v>
      </c>
      <c r="O7" s="39">
        <f t="shared" ref="O7" si="8">LOG(K7)</f>
        <v>2.8869672014837899</v>
      </c>
      <c r="P7" s="39">
        <f>ABS(1/K7 * L7)</f>
        <v>3.8189201734085414E-3</v>
      </c>
      <c r="Q7" s="9">
        <f t="shared" ref="Q7" si="9">LOG(F7)</f>
        <v>-3.8239087409443187</v>
      </c>
      <c r="R7" s="3">
        <f t="shared" ref="R7" si="10">$G$3/(LN(10)*F7)</f>
        <v>2.8952965460216787E-3</v>
      </c>
      <c r="T7" s="39">
        <f>$I$70*M7+$J$70</f>
        <v>-3.5197543714724909E-4</v>
      </c>
      <c r="U7" s="39">
        <f>F7-T7</f>
        <v>5.0197543714724905E-4</v>
      </c>
      <c r="V7" s="8">
        <f>$I$103*O7+$J$103</f>
        <v>-3.8712240991068931</v>
      </c>
      <c r="W7" s="8">
        <f t="shared" ref="W7:W50" si="11">V7-Q7</f>
        <v>-4.7315358162574483E-2</v>
      </c>
      <c r="Y7" s="39" t="s">
        <v>69</v>
      </c>
      <c r="Z7" s="39" t="s">
        <v>69</v>
      </c>
      <c r="AA7" s="39" t="s">
        <v>69</v>
      </c>
      <c r="AB7" s="39" t="s">
        <v>69</v>
      </c>
    </row>
    <row r="8" spans="1:32">
      <c r="A8" s="1"/>
      <c r="B8" s="8">
        <v>1.5069999999999999</v>
      </c>
      <c r="C8" s="8">
        <v>1E-3</v>
      </c>
      <c r="D8" s="8">
        <v>0.67</v>
      </c>
      <c r="E8" s="8">
        <v>0.19</v>
      </c>
      <c r="F8" s="11">
        <f t="shared" si="0"/>
        <v>1.9000000000000001E-4</v>
      </c>
      <c r="G8" s="8">
        <f t="shared" ref="G8:G50" si="12">B8/D8</f>
        <v>2.2492537313432832</v>
      </c>
      <c r="H8" s="8">
        <f t="shared" ref="H8:H50" si="13">SQRT((1/D8)^2*$G$2^2+(-B8/(D8^2))^2*$G$2^2)</f>
        <v>3.6739291346145932E-2</v>
      </c>
      <c r="I8" s="8">
        <f t="shared" ref="I8:I50" si="14">G8/$D$2</f>
        <v>3.5354219349922427</v>
      </c>
      <c r="J8" s="8">
        <f t="shared" ref="J8:J50" si="15">SQRT(((H8/$D$2)^2)+(((G8*$D$3)/($D$2^2))^2))</f>
        <v>6.8658033273187327E-2</v>
      </c>
      <c r="K8" s="17">
        <f t="shared" ref="K8:K50" si="16">-1.6181*(I8^2)+202.98*I8+127.76</f>
        <v>825.15497548176904</v>
      </c>
      <c r="L8" s="6">
        <f t="shared" ref="L8:L50" si="17">ABS(I8*(-16181)/(5000)+10149/50*J8)</f>
        <v>2.4948751277696672</v>
      </c>
      <c r="M8" s="6">
        <f t="shared" ref="M8:M50" si="18">B8*D8</f>
        <v>1.00969</v>
      </c>
      <c r="N8" s="6">
        <f t="shared" ref="N8:N50" si="19">SQRT(D8^2*$K$3^2+B8^2*$G$2^2)</f>
        <v>1.507E-2</v>
      </c>
      <c r="O8" s="39">
        <f t="shared" ref="O8:O50" si="20">LOG(K8)</f>
        <v>2.9165355227023659</v>
      </c>
      <c r="P8" s="39">
        <f t="shared" ref="P8:P50" si="21">ABS(1/K8 * L8)</f>
        <v>3.0235230979647515E-3</v>
      </c>
      <c r="Q8" s="9">
        <f t="shared" ref="Q8:Q50" si="22">LOG(F8)</f>
        <v>-3.7212463990471711</v>
      </c>
      <c r="R8" s="3">
        <f t="shared" ref="R8:R50" si="23">$G$3/(LN(10)*F8)</f>
        <v>2.2857604310697463E-3</v>
      </c>
      <c r="T8" s="39">
        <f t="shared" ref="T8:T50" si="24">$I$70*M8+$J$70</f>
        <v>-2.5505440985102909E-4</v>
      </c>
      <c r="U8" s="39">
        <f t="shared" ref="U8:U63" si="25">F8-T8</f>
        <v>4.450544098510291E-4</v>
      </c>
      <c r="V8" s="8">
        <f t="shared" ref="V8:V50" si="26">$I$103*O8+$J$103</f>
        <v>-3.7429054016805434</v>
      </c>
      <c r="W8" s="8">
        <f t="shared" si="11"/>
        <v>-2.1659002633372282E-2</v>
      </c>
      <c r="Y8" s="39" t="s">
        <v>69</v>
      </c>
      <c r="Z8" s="39" t="s">
        <v>69</v>
      </c>
      <c r="AA8" s="39" t="s">
        <v>69</v>
      </c>
      <c r="AB8" s="39" t="s">
        <v>69</v>
      </c>
    </row>
    <row r="9" spans="1:32">
      <c r="A9" s="1"/>
      <c r="B9" s="8">
        <v>1.8009999999999999</v>
      </c>
      <c r="C9" s="8">
        <v>1E-3</v>
      </c>
      <c r="D9" s="8">
        <v>0.72</v>
      </c>
      <c r="E9" s="8">
        <v>0.16</v>
      </c>
      <c r="F9" s="11">
        <f t="shared" si="0"/>
        <v>1.6000000000000001E-4</v>
      </c>
      <c r="G9" s="8">
        <f t="shared" si="12"/>
        <v>2.5013888888888891</v>
      </c>
      <c r="H9" s="8">
        <f t="shared" si="13"/>
        <v>3.7414888943211745E-2</v>
      </c>
      <c r="I9" s="8">
        <f t="shared" si="14"/>
        <v>3.9317330110383861</v>
      </c>
      <c r="J9" s="8">
        <f t="shared" si="15"/>
        <v>7.186255262036953E-2</v>
      </c>
      <c r="K9" s="17">
        <f t="shared" si="16"/>
        <v>900.80972813552057</v>
      </c>
      <c r="L9" s="6">
        <f t="shared" si="17"/>
        <v>1.862786560560183</v>
      </c>
      <c r="M9" s="6">
        <f t="shared" si="18"/>
        <v>1.2967199999999999</v>
      </c>
      <c r="N9" s="6">
        <f t="shared" si="19"/>
        <v>1.8010000000000002E-2</v>
      </c>
      <c r="O9" s="39">
        <f t="shared" si="20"/>
        <v>2.9546330676191301</v>
      </c>
      <c r="P9" s="39">
        <f t="shared" si="21"/>
        <v>2.0679023575996946E-3</v>
      </c>
      <c r="Q9" s="9">
        <f t="shared" si="22"/>
        <v>-3.795880017344075</v>
      </c>
      <c r="R9" s="3">
        <f t="shared" si="23"/>
        <v>2.7143405118953234E-3</v>
      </c>
      <c r="T9" s="39">
        <f t="shared" si="24"/>
        <v>-9.6359358711074479E-5</v>
      </c>
      <c r="U9" s="39">
        <f t="shared" si="25"/>
        <v>2.5635935871107446E-4</v>
      </c>
      <c r="V9" s="8">
        <f t="shared" si="26"/>
        <v>-3.5775721281841175</v>
      </c>
      <c r="W9" s="8">
        <f t="shared" si="11"/>
        <v>0.21830788915995747</v>
      </c>
      <c r="Y9" s="39" t="s">
        <v>69</v>
      </c>
      <c r="Z9" s="39" t="s">
        <v>69</v>
      </c>
      <c r="AA9" s="39" t="s">
        <v>69</v>
      </c>
      <c r="AB9" s="39" t="s">
        <v>69</v>
      </c>
    </row>
    <row r="10" spans="1:32">
      <c r="A10" s="1"/>
      <c r="B10" s="8">
        <v>2.048</v>
      </c>
      <c r="C10" s="8">
        <v>1E-3</v>
      </c>
      <c r="D10" s="8">
        <v>0.755</v>
      </c>
      <c r="E10" s="8">
        <v>0.253</v>
      </c>
      <c r="F10" s="11">
        <f t="shared" si="0"/>
        <v>2.5300000000000002E-4</v>
      </c>
      <c r="G10" s="8">
        <f t="shared" si="12"/>
        <v>2.7125827814569536</v>
      </c>
      <c r="H10" s="8">
        <f t="shared" si="13"/>
        <v>3.8291904642980296E-2</v>
      </c>
      <c r="I10" s="8">
        <f t="shared" si="14"/>
        <v>4.2636917891508119</v>
      </c>
      <c r="J10" s="8">
        <f t="shared" si="15"/>
        <v>7.5022975195966735E-2</v>
      </c>
      <c r="K10" s="17">
        <f t="shared" si="16"/>
        <v>963.78860996035746</v>
      </c>
      <c r="L10" s="6">
        <f t="shared" si="17"/>
        <v>1.4300041372274706</v>
      </c>
      <c r="M10" s="6">
        <f t="shared" si="18"/>
        <v>1.5462400000000001</v>
      </c>
      <c r="N10" s="6">
        <f t="shared" si="19"/>
        <v>2.0480000000000002E-2</v>
      </c>
      <c r="O10" s="39">
        <f t="shared" si="20"/>
        <v>2.9839817895097061</v>
      </c>
      <c r="P10" s="39">
        <f t="shared" si="21"/>
        <v>1.4837321404807735E-3</v>
      </c>
      <c r="Q10" s="9">
        <f t="shared" si="22"/>
        <v>-3.596879478824182</v>
      </c>
      <c r="R10" s="3">
        <f t="shared" si="23"/>
        <v>1.7165789798547501E-3</v>
      </c>
      <c r="T10" s="39">
        <f t="shared" si="24"/>
        <v>4.1596914711360448E-5</v>
      </c>
      <c r="U10" s="39">
        <f t="shared" si="25"/>
        <v>2.1140308528863958E-4</v>
      </c>
      <c r="V10" s="8">
        <f t="shared" si="26"/>
        <v>-3.4502064337881517</v>
      </c>
      <c r="W10" s="8">
        <f t="shared" si="11"/>
        <v>0.14667304503603029</v>
      </c>
      <c r="Y10" s="39" t="s">
        <v>69</v>
      </c>
      <c r="Z10" s="39" t="s">
        <v>69</v>
      </c>
      <c r="AA10" s="39" t="s">
        <v>69</v>
      </c>
      <c r="AB10" s="39" t="s">
        <v>69</v>
      </c>
    </row>
    <row r="11" spans="1:32">
      <c r="A11" s="1"/>
      <c r="B11" s="8">
        <v>2.5219999999999998</v>
      </c>
      <c r="C11" s="8">
        <v>1E-3</v>
      </c>
      <c r="D11" s="8">
        <v>0.83</v>
      </c>
      <c r="E11" s="8">
        <v>0.43</v>
      </c>
      <c r="F11" s="11">
        <f t="shared" si="0"/>
        <v>4.2999999999999999E-4</v>
      </c>
      <c r="G11" s="8">
        <f t="shared" si="12"/>
        <v>3.0385542168674697</v>
      </c>
      <c r="H11" s="8">
        <f t="shared" si="13"/>
        <v>3.8540682354847845E-2</v>
      </c>
      <c r="I11" s="8">
        <f t="shared" si="14"/>
        <v>4.7760602013365681</v>
      </c>
      <c r="J11" s="8">
        <f t="shared" si="15"/>
        <v>7.8655733928896132E-2</v>
      </c>
      <c r="K11" s="17">
        <f t="shared" si="16"/>
        <v>1060.294623398484</v>
      </c>
      <c r="L11" s="6">
        <f t="shared" si="17"/>
        <v>0.50925484932193399</v>
      </c>
      <c r="M11" s="6">
        <f t="shared" si="18"/>
        <v>2.0932599999999999</v>
      </c>
      <c r="N11" s="6">
        <f t="shared" si="19"/>
        <v>2.5219999999999996E-2</v>
      </c>
      <c r="O11" s="39">
        <f t="shared" si="20"/>
        <v>3.0254265591679785</v>
      </c>
      <c r="P11" s="39">
        <f t="shared" si="21"/>
        <v>4.8029560660192456E-4</v>
      </c>
      <c r="Q11" s="9">
        <f t="shared" si="22"/>
        <v>-3.3665315444204134</v>
      </c>
      <c r="R11" s="3">
        <f t="shared" si="23"/>
        <v>1.0099871672168647E-3</v>
      </c>
      <c r="T11" s="39">
        <f t="shared" si="24"/>
        <v>3.4403696235299356E-4</v>
      </c>
      <c r="U11" s="39">
        <f t="shared" si="25"/>
        <v>8.5963037647006433E-5</v>
      </c>
      <c r="V11" s="8">
        <f t="shared" si="26"/>
        <v>-3.2703470897837477</v>
      </c>
      <c r="W11" s="8">
        <f t="shared" si="11"/>
        <v>9.6184454636665695E-2</v>
      </c>
      <c r="Y11" s="39" t="s">
        <v>69</v>
      </c>
      <c r="Z11" s="39" t="s">
        <v>69</v>
      </c>
      <c r="AA11" s="39" t="s">
        <v>69</v>
      </c>
      <c r="AB11" s="39" t="s">
        <v>69</v>
      </c>
    </row>
    <row r="12" spans="1:32">
      <c r="A12" s="1"/>
      <c r="B12" s="8">
        <v>3.1040000000000001</v>
      </c>
      <c r="C12" s="8">
        <v>1E-3</v>
      </c>
      <c r="D12" s="8">
        <v>0.9</v>
      </c>
      <c r="E12" s="8">
        <v>0.84799999999999998</v>
      </c>
      <c r="F12" s="11">
        <f t="shared" si="0"/>
        <v>8.4800000000000001E-4</v>
      </c>
      <c r="G12" s="8">
        <f t="shared" si="12"/>
        <v>3.4488888888888889</v>
      </c>
      <c r="H12" s="8">
        <f t="shared" si="13"/>
        <v>3.9899309328935484E-2</v>
      </c>
      <c r="I12" s="8">
        <f t="shared" si="14"/>
        <v>5.4210324336538145</v>
      </c>
      <c r="J12" s="8">
        <f t="shared" si="15"/>
        <v>8.4709502290808508E-2</v>
      </c>
      <c r="K12" s="17">
        <f t="shared" si="16"/>
        <v>1180.5690997213828</v>
      </c>
      <c r="L12" s="6">
        <f t="shared" si="17"/>
        <v>0.34921038680216299</v>
      </c>
      <c r="M12" s="6">
        <f t="shared" si="18"/>
        <v>2.7936000000000001</v>
      </c>
      <c r="N12" s="6">
        <f t="shared" si="19"/>
        <v>3.1040000000000002E-2</v>
      </c>
      <c r="O12" s="39">
        <f t="shared" si="20"/>
        <v>3.0720914117869915</v>
      </c>
      <c r="P12" s="39">
        <f t="shared" si="21"/>
        <v>2.9579834580167945E-4</v>
      </c>
      <c r="Q12" s="9">
        <f t="shared" si="22"/>
        <v>-3.0716041477432863</v>
      </c>
      <c r="R12" s="3">
        <f t="shared" si="23"/>
        <v>5.1213971922553275E-4</v>
      </c>
      <c r="T12" s="39">
        <f t="shared" si="24"/>
        <v>7.3124558903088738E-4</v>
      </c>
      <c r="U12" s="39">
        <f t="shared" si="25"/>
        <v>1.1675441096911264E-4</v>
      </c>
      <c r="V12" s="8">
        <f t="shared" si="26"/>
        <v>-3.067833965707484</v>
      </c>
      <c r="W12" s="8">
        <f t="shared" si="11"/>
        <v>3.7701820358022609E-3</v>
      </c>
      <c r="Y12" s="39" t="s">
        <v>69</v>
      </c>
      <c r="Z12" s="39" t="s">
        <v>69</v>
      </c>
      <c r="AA12" s="39" t="s">
        <v>69</v>
      </c>
      <c r="AB12" s="39" t="s">
        <v>69</v>
      </c>
    </row>
    <row r="13" spans="1:32">
      <c r="A13" s="1"/>
      <c r="B13" s="8">
        <v>3.55</v>
      </c>
      <c r="C13" s="8">
        <v>1E-3</v>
      </c>
      <c r="D13" s="8">
        <v>0.96</v>
      </c>
      <c r="E13" s="8">
        <v>0.96399999999999997</v>
      </c>
      <c r="F13" s="11">
        <f t="shared" si="0"/>
        <v>9.6400000000000001E-4</v>
      </c>
      <c r="G13" s="8">
        <f t="shared" si="12"/>
        <v>3.6979166666666665</v>
      </c>
      <c r="H13" s="8">
        <f t="shared" si="13"/>
        <v>3.9903567126832788E-2</v>
      </c>
      <c r="I13" s="8">
        <f t="shared" si="14"/>
        <v>5.8124592681230993</v>
      </c>
      <c r="J13" s="8">
        <f t="shared" si="15"/>
        <v>8.7531184436913614E-2</v>
      </c>
      <c r="K13" s="17">
        <f t="shared" si="16"/>
        <v>1252.9059870962235</v>
      </c>
      <c r="L13" s="6">
        <f t="shared" si="17"/>
        <v>1.0432008664952477</v>
      </c>
      <c r="M13" s="6">
        <f t="shared" si="18"/>
        <v>3.4079999999999999</v>
      </c>
      <c r="N13" s="6">
        <f t="shared" si="19"/>
        <v>3.5499999999999997E-2</v>
      </c>
      <c r="O13" s="39">
        <f t="shared" si="20"/>
        <v>3.0979184845479169</v>
      </c>
      <c r="P13" s="39">
        <f t="shared" si="21"/>
        <v>8.3262501515616878E-4</v>
      </c>
      <c r="Q13" s="9">
        <f t="shared" si="22"/>
        <v>-3.0159229660971691</v>
      </c>
      <c r="R13" s="3">
        <f t="shared" si="23"/>
        <v>4.5051294803241882E-4</v>
      </c>
      <c r="T13" s="39">
        <f t="shared" si="24"/>
        <v>1.0709391382082839E-3</v>
      </c>
      <c r="U13" s="39">
        <f t="shared" si="25"/>
        <v>-1.0693913820828392E-4</v>
      </c>
      <c r="V13" s="8">
        <f t="shared" si="26"/>
        <v>-2.9557512975533164</v>
      </c>
      <c r="W13" s="8">
        <f t="shared" si="11"/>
        <v>6.0171668543852697E-2</v>
      </c>
      <c r="Y13" s="39" t="s">
        <v>69</v>
      </c>
      <c r="Z13" s="39" t="s">
        <v>69</v>
      </c>
      <c r="AA13" s="39" t="s">
        <v>69</v>
      </c>
      <c r="AB13" s="39" t="s">
        <v>69</v>
      </c>
    </row>
    <row r="14" spans="1:32">
      <c r="A14" s="1"/>
      <c r="B14" s="8">
        <v>4.12</v>
      </c>
      <c r="C14" s="8">
        <v>0.01</v>
      </c>
      <c r="D14" s="8">
        <v>1.04</v>
      </c>
      <c r="E14" s="8">
        <v>1.21</v>
      </c>
      <c r="F14" s="11">
        <f t="shared" si="0"/>
        <v>1.2099999999999999E-3</v>
      </c>
      <c r="G14" s="8">
        <f t="shared" si="12"/>
        <v>3.9615384615384617</v>
      </c>
      <c r="H14" s="8">
        <f t="shared" si="13"/>
        <v>3.9286568281325783E-2</v>
      </c>
      <c r="I14" s="8">
        <f t="shared" si="14"/>
        <v>6.2268252701193081</v>
      </c>
      <c r="J14" s="8">
        <f t="shared" si="15"/>
        <v>8.9952412127258435E-2</v>
      </c>
      <c r="K14" s="17">
        <f t="shared" si="16"/>
        <v>1328.9418309291657</v>
      </c>
      <c r="L14" s="6">
        <f t="shared" si="17"/>
        <v>1.8927113255691879</v>
      </c>
      <c r="M14" s="6">
        <f t="shared" si="18"/>
        <v>4.2848000000000006</v>
      </c>
      <c r="N14" s="6">
        <f t="shared" si="19"/>
        <v>4.1200000000000001E-2</v>
      </c>
      <c r="O14" s="39">
        <f t="shared" si="20"/>
        <v>3.1235059718687253</v>
      </c>
      <c r="P14" s="39">
        <f t="shared" si="21"/>
        <v>1.4242243576950597E-3</v>
      </c>
      <c r="Q14" s="9">
        <f t="shared" si="22"/>
        <v>-2.9172146296835502</v>
      </c>
      <c r="R14" s="3">
        <f t="shared" si="23"/>
        <v>3.5892105942417505E-4</v>
      </c>
      <c r="T14" s="39">
        <f t="shared" si="24"/>
        <v>1.5557101406801937E-3</v>
      </c>
      <c r="U14" s="39">
        <f t="shared" si="25"/>
        <v>-3.4571014068019378E-4</v>
      </c>
      <c r="V14" s="8">
        <f t="shared" si="26"/>
        <v>-2.8447083668726041</v>
      </c>
      <c r="W14" s="8">
        <f t="shared" si="11"/>
        <v>7.2506262810946076E-2</v>
      </c>
      <c r="Y14" s="39" t="s">
        <v>69</v>
      </c>
      <c r="Z14" s="39" t="s">
        <v>69</v>
      </c>
      <c r="AA14" s="39" t="s">
        <v>69</v>
      </c>
      <c r="AB14" s="39" t="s">
        <v>69</v>
      </c>
    </row>
    <row r="15" spans="1:32">
      <c r="A15" s="1"/>
      <c r="B15" s="8">
        <v>4.63</v>
      </c>
      <c r="C15" s="8">
        <v>0.01</v>
      </c>
      <c r="D15" s="8">
        <v>1.0900000000000001</v>
      </c>
      <c r="E15" s="8">
        <v>1.706</v>
      </c>
      <c r="F15" s="11">
        <f t="shared" si="0"/>
        <v>1.7060000000000001E-3</v>
      </c>
      <c r="G15" s="8">
        <f t="shared" si="12"/>
        <v>4.2477064220183482</v>
      </c>
      <c r="H15" s="8">
        <f t="shared" si="13"/>
        <v>4.0035135069523706E-2</v>
      </c>
      <c r="I15" s="8">
        <f t="shared" si="14"/>
        <v>6.6766297854899994</v>
      </c>
      <c r="J15" s="8">
        <f t="shared" si="15"/>
        <v>9.4226030915001521E-2</v>
      </c>
      <c r="K15" s="17">
        <f t="shared" si="16"/>
        <v>1410.8516467169784</v>
      </c>
      <c r="L15" s="6">
        <f t="shared" si="17"/>
        <v>2.4809095566757264</v>
      </c>
      <c r="M15" s="6">
        <f t="shared" si="18"/>
        <v>5.0467000000000004</v>
      </c>
      <c r="N15" s="6">
        <f t="shared" si="19"/>
        <v>4.6299999999999994E-2</v>
      </c>
      <c r="O15" s="39">
        <f t="shared" si="20"/>
        <v>3.1494813494031955</v>
      </c>
      <c r="P15" s="39">
        <f t="shared" si="21"/>
        <v>1.7584482127860502E-3</v>
      </c>
      <c r="Q15" s="9">
        <f t="shared" si="22"/>
        <v>-2.7680209731684959</v>
      </c>
      <c r="R15" s="3">
        <f t="shared" si="23"/>
        <v>2.5456886395266808E-4</v>
      </c>
      <c r="T15" s="39">
        <f t="shared" si="24"/>
        <v>1.976954468672151E-3</v>
      </c>
      <c r="U15" s="39">
        <f t="shared" si="25"/>
        <v>-2.709544686721509E-4</v>
      </c>
      <c r="V15" s="8">
        <f t="shared" si="26"/>
        <v>-2.7319820952070071</v>
      </c>
      <c r="W15" s="8">
        <f t="shared" si="11"/>
        <v>3.6038877961488858E-2</v>
      </c>
      <c r="Y15" s="39" t="s">
        <v>69</v>
      </c>
      <c r="Z15" s="39" t="s">
        <v>69</v>
      </c>
      <c r="AA15" s="39" t="s">
        <v>69</v>
      </c>
      <c r="AB15" s="39" t="s">
        <v>69</v>
      </c>
    </row>
    <row r="16" spans="1:32">
      <c r="A16" s="1"/>
      <c r="B16" s="8">
        <v>5.05</v>
      </c>
      <c r="C16" s="8">
        <v>0.01</v>
      </c>
      <c r="D16" s="8">
        <v>1.135</v>
      </c>
      <c r="E16" s="8">
        <v>2.1219999999999999</v>
      </c>
      <c r="F16" s="11">
        <f t="shared" si="0"/>
        <v>2.1219999999999998E-3</v>
      </c>
      <c r="G16" s="8">
        <f t="shared" si="12"/>
        <v>4.4493392070484576</v>
      </c>
      <c r="H16" s="8">
        <f t="shared" si="13"/>
        <v>4.0179128284428559E-2</v>
      </c>
      <c r="I16" s="8">
        <f t="shared" si="14"/>
        <v>6.9935602238284504</v>
      </c>
      <c r="J16" s="8">
        <f t="shared" si="15"/>
        <v>9.6876846758545271E-2</v>
      </c>
      <c r="K16" s="17">
        <f t="shared" si="16"/>
        <v>1468.1717699544558</v>
      </c>
      <c r="L16" s="6">
        <f t="shared" si="17"/>
        <v>2.9684972413041173</v>
      </c>
      <c r="M16" s="6">
        <f t="shared" si="18"/>
        <v>5.7317499999999999</v>
      </c>
      <c r="N16" s="6">
        <f t="shared" si="19"/>
        <v>5.0500000000000003E-2</v>
      </c>
      <c r="O16" s="39">
        <f t="shared" si="20"/>
        <v>3.1667768691899538</v>
      </c>
      <c r="P16" s="39">
        <f t="shared" si="21"/>
        <v>2.021900503778385E-3</v>
      </c>
      <c r="Q16" s="9">
        <f t="shared" si="22"/>
        <v>-2.6732546204346783</v>
      </c>
      <c r="R16" s="3">
        <f t="shared" si="23"/>
        <v>2.0466280956797916E-4</v>
      </c>
      <c r="T16" s="39">
        <f t="shared" si="24"/>
        <v>2.3557094586851316E-3</v>
      </c>
      <c r="U16" s="39">
        <f t="shared" si="25"/>
        <v>-2.3370945868513189E-4</v>
      </c>
      <c r="V16" s="8">
        <f t="shared" si="26"/>
        <v>-2.6569241115648978</v>
      </c>
      <c r="W16" s="8">
        <f t="shared" si="11"/>
        <v>1.6330508869780491E-2</v>
      </c>
      <c r="Y16" s="39" t="s">
        <v>69</v>
      </c>
      <c r="Z16" s="39" t="s">
        <v>69</v>
      </c>
      <c r="AA16" s="39" t="s">
        <v>69</v>
      </c>
      <c r="AB16" s="39" t="s">
        <v>69</v>
      </c>
      <c r="AD16" s="30"/>
      <c r="AF16" s="1"/>
    </row>
    <row r="17" spans="1:32">
      <c r="A17" s="1"/>
      <c r="B17" s="8">
        <v>5.56</v>
      </c>
      <c r="C17" s="8">
        <v>0.01</v>
      </c>
      <c r="D17" s="8">
        <v>1.19</v>
      </c>
      <c r="E17" s="8">
        <v>2.61</v>
      </c>
      <c r="F17" s="11">
        <f t="shared" si="0"/>
        <v>2.6099999999999999E-3</v>
      </c>
      <c r="G17" s="8">
        <f t="shared" si="12"/>
        <v>4.6722689075630255</v>
      </c>
      <c r="H17" s="8">
        <f t="shared" si="13"/>
        <v>4.01519752096854E-2</v>
      </c>
      <c r="I17" s="8">
        <f t="shared" si="14"/>
        <v>7.3439655792481613</v>
      </c>
      <c r="J17" s="8">
        <f t="shared" si="15"/>
        <v>9.9669804075500731E-2</v>
      </c>
      <c r="K17" s="17">
        <f t="shared" si="16"/>
        <v>1531.1678022583326</v>
      </c>
      <c r="L17" s="6">
        <f t="shared" si="17"/>
        <v>3.5355645763177641</v>
      </c>
      <c r="M17" s="6">
        <f t="shared" si="18"/>
        <v>6.6163999999999996</v>
      </c>
      <c r="N17" s="6">
        <f t="shared" si="19"/>
        <v>5.5599999999999997E-2</v>
      </c>
      <c r="O17" s="39">
        <f t="shared" si="20"/>
        <v>3.1850227880865321</v>
      </c>
      <c r="P17" s="39">
        <f t="shared" si="21"/>
        <v>2.3090640823971932E-3</v>
      </c>
      <c r="Q17" s="9">
        <f t="shared" si="22"/>
        <v>-2.5833594926617192</v>
      </c>
      <c r="R17" s="3">
        <f t="shared" si="23"/>
        <v>1.663963532196367E-4</v>
      </c>
      <c r="T17" s="39">
        <f t="shared" si="24"/>
        <v>2.8448206212498836E-3</v>
      </c>
      <c r="U17" s="39">
        <f t="shared" si="25"/>
        <v>-2.3482062124988374E-4</v>
      </c>
      <c r="V17" s="8">
        <f t="shared" si="26"/>
        <v>-2.577741647033065</v>
      </c>
      <c r="W17" s="8">
        <f t="shared" si="11"/>
        <v>5.6178456286541945E-3</v>
      </c>
      <c r="Y17" s="39" t="s">
        <v>69</v>
      </c>
      <c r="Z17" s="39" t="s">
        <v>69</v>
      </c>
      <c r="AA17" s="39" t="s">
        <v>69</v>
      </c>
      <c r="AB17" s="39" t="s">
        <v>69</v>
      </c>
      <c r="AF17" s="1"/>
    </row>
    <row r="18" spans="1:32">
      <c r="A18" s="1"/>
      <c r="B18" s="8">
        <v>6.09</v>
      </c>
      <c r="C18" s="8">
        <v>0.01</v>
      </c>
      <c r="D18" s="8">
        <v>1.24</v>
      </c>
      <c r="E18" s="8">
        <v>3.1070000000000002</v>
      </c>
      <c r="F18" s="11">
        <f t="shared" si="0"/>
        <v>3.1070000000000004E-3</v>
      </c>
      <c r="G18" s="8">
        <f t="shared" si="12"/>
        <v>4.911290322580645</v>
      </c>
      <c r="H18" s="8">
        <f t="shared" si="13"/>
        <v>4.041986058358444E-2</v>
      </c>
      <c r="I18" s="8">
        <f t="shared" si="14"/>
        <v>7.7196642128929778</v>
      </c>
      <c r="J18" s="8">
        <f t="shared" si="15"/>
        <v>0.1030138079538999</v>
      </c>
      <c r="K18" s="17">
        <f t="shared" si="16"/>
        <v>1598.2696598356708</v>
      </c>
      <c r="L18" s="6">
        <f t="shared" si="17"/>
        <v>4.0726345872816516</v>
      </c>
      <c r="M18" s="6">
        <f t="shared" si="18"/>
        <v>7.5515999999999996</v>
      </c>
      <c r="N18" s="6">
        <f t="shared" si="19"/>
        <v>6.0899999999999996E-2</v>
      </c>
      <c r="O18" s="39">
        <f t="shared" si="20"/>
        <v>3.2036500552649096</v>
      </c>
      <c r="P18" s="39">
        <f t="shared" si="21"/>
        <v>2.5481523485219554E-3</v>
      </c>
      <c r="Q18" s="9">
        <f t="shared" si="22"/>
        <v>-2.5076587467450255</v>
      </c>
      <c r="R18" s="3">
        <f t="shared" si="23"/>
        <v>1.3977936334188984E-4</v>
      </c>
      <c r="T18" s="39">
        <f t="shared" si="24"/>
        <v>3.3618802032659989E-3</v>
      </c>
      <c r="U18" s="39">
        <f t="shared" si="25"/>
        <v>-2.5488020326599851E-4</v>
      </c>
      <c r="V18" s="8">
        <f t="shared" si="26"/>
        <v>-2.4969042317712091</v>
      </c>
      <c r="W18" s="8">
        <f t="shared" si="11"/>
        <v>1.0754514973816409E-2</v>
      </c>
      <c r="Y18" s="39" t="s">
        <v>69</v>
      </c>
      <c r="Z18" s="39" t="s">
        <v>69</v>
      </c>
      <c r="AA18" s="39" t="s">
        <v>69</v>
      </c>
      <c r="AB18" s="39" t="s">
        <v>69</v>
      </c>
    </row>
    <row r="19" spans="1:32">
      <c r="A19" s="1"/>
      <c r="B19" s="8">
        <v>6.6449999999999996</v>
      </c>
      <c r="C19" s="8">
        <v>0.01</v>
      </c>
      <c r="D19" s="8">
        <v>1.3</v>
      </c>
      <c r="E19" s="8">
        <v>3.706</v>
      </c>
      <c r="F19" s="11">
        <f t="shared" si="0"/>
        <v>3.7060000000000001E-3</v>
      </c>
      <c r="G19" s="8">
        <f t="shared" si="12"/>
        <v>5.1115384615384611</v>
      </c>
      <c r="H19" s="8">
        <f t="shared" si="13"/>
        <v>4.0064906986310531E-2</v>
      </c>
      <c r="I19" s="8">
        <f t="shared" si="14"/>
        <v>8.0344182368820967</v>
      </c>
      <c r="J19" s="8">
        <f t="shared" si="15"/>
        <v>0.10530144862084719</v>
      </c>
      <c r="K19" s="17">
        <f t="shared" si="16"/>
        <v>1654.1348225111649</v>
      </c>
      <c r="L19" s="6">
        <f t="shared" si="17"/>
        <v>4.6268962571382808</v>
      </c>
      <c r="M19" s="6">
        <f t="shared" si="18"/>
        <v>8.6385000000000005</v>
      </c>
      <c r="N19" s="6">
        <f t="shared" si="19"/>
        <v>6.6449999999999995E-2</v>
      </c>
      <c r="O19" s="39">
        <f t="shared" si="20"/>
        <v>3.2185709044223096</v>
      </c>
      <c r="P19" s="39">
        <f t="shared" si="21"/>
        <v>2.7971699731912576E-3</v>
      </c>
      <c r="Q19" s="9">
        <f t="shared" si="22"/>
        <v>-2.4310945850171213</v>
      </c>
      <c r="R19" s="3">
        <f t="shared" si="23"/>
        <v>1.1718685426423415E-4</v>
      </c>
      <c r="T19" s="39">
        <f t="shared" si="24"/>
        <v>3.9628126879680051E-3</v>
      </c>
      <c r="U19" s="39">
        <f t="shared" si="25"/>
        <v>-2.5681268796800497E-4</v>
      </c>
      <c r="V19" s="8">
        <f t="shared" si="26"/>
        <v>-2.4321516908941234</v>
      </c>
      <c r="W19" s="8">
        <f t="shared" si="11"/>
        <v>-1.0571058770021402E-3</v>
      </c>
      <c r="Y19" s="39" t="s">
        <v>69</v>
      </c>
      <c r="Z19" s="39" t="s">
        <v>69</v>
      </c>
      <c r="AA19" s="39" t="s">
        <v>69</v>
      </c>
      <c r="AB19" s="39" t="s">
        <v>69</v>
      </c>
    </row>
    <row r="20" spans="1:32">
      <c r="A20" s="1"/>
      <c r="B20" s="8">
        <v>7.0350000000000001</v>
      </c>
      <c r="C20" s="8">
        <v>0.01</v>
      </c>
      <c r="D20" s="8">
        <v>1.335</v>
      </c>
      <c r="E20" s="8">
        <v>4.2530000000000001</v>
      </c>
      <c r="F20" s="11">
        <f t="shared" si="0"/>
        <v>4.2529999999999998E-3</v>
      </c>
      <c r="G20" s="8">
        <f t="shared" si="12"/>
        <v>5.2696629213483153</v>
      </c>
      <c r="H20" s="8">
        <f t="shared" si="13"/>
        <v>4.0177576699766231E-2</v>
      </c>
      <c r="I20" s="8">
        <f t="shared" si="14"/>
        <v>8.2829614207303202</v>
      </c>
      <c r="J20" s="8">
        <f t="shared" si="15"/>
        <v>0.10750915401680187</v>
      </c>
      <c r="K20" s="17">
        <f t="shared" si="16"/>
        <v>1698.0217945010081</v>
      </c>
      <c r="L20" s="6">
        <f t="shared" si="17"/>
        <v>4.9831116674370151</v>
      </c>
      <c r="M20" s="6">
        <f t="shared" si="18"/>
        <v>9.3917249999999992</v>
      </c>
      <c r="N20" s="6">
        <f t="shared" si="19"/>
        <v>7.0349999999999996E-2</v>
      </c>
      <c r="O20" s="39">
        <f t="shared" si="20"/>
        <v>3.2299432602134575</v>
      </c>
      <c r="P20" s="39">
        <f t="shared" si="21"/>
        <v>2.9346570718789774E-3</v>
      </c>
      <c r="Q20" s="9">
        <f t="shared" si="22"/>
        <v>-2.3713046172859769</v>
      </c>
      <c r="R20" s="3">
        <f t="shared" si="23"/>
        <v>1.0211485584369899E-4</v>
      </c>
      <c r="T20" s="39">
        <f t="shared" si="24"/>
        <v>4.3792607243923936E-3</v>
      </c>
      <c r="U20" s="39">
        <f t="shared" si="25"/>
        <v>-1.2626072439239373E-4</v>
      </c>
      <c r="V20" s="8">
        <f t="shared" si="26"/>
        <v>-2.3827986731491624</v>
      </c>
      <c r="W20" s="8">
        <f t="shared" si="11"/>
        <v>-1.1494055863185526E-2</v>
      </c>
      <c r="Y20" s="39" t="s">
        <v>69</v>
      </c>
      <c r="Z20" s="39" t="s">
        <v>69</v>
      </c>
      <c r="AA20" s="39" t="s">
        <v>69</v>
      </c>
      <c r="AB20" s="39" t="s">
        <v>69</v>
      </c>
    </row>
    <row r="21" spans="1:32">
      <c r="A21" s="1"/>
      <c r="B21" s="8">
        <v>7.51</v>
      </c>
      <c r="C21" s="8">
        <v>0.01</v>
      </c>
      <c r="D21" s="8">
        <v>1.375</v>
      </c>
      <c r="E21" s="8">
        <v>4.7949999999999999</v>
      </c>
      <c r="F21" s="11">
        <f t="shared" si="0"/>
        <v>4.7949999999999998E-3</v>
      </c>
      <c r="G21" s="8">
        <f t="shared" si="12"/>
        <v>5.4618181818181819</v>
      </c>
      <c r="H21" s="8">
        <f t="shared" si="13"/>
        <v>4.0382605109594773E-2</v>
      </c>
      <c r="I21" s="8">
        <f t="shared" si="14"/>
        <v>8.5849948966884106</v>
      </c>
      <c r="J21" s="8">
        <f t="shared" si="15"/>
        <v>0.11027767976291528</v>
      </c>
      <c r="K21" s="17">
        <f t="shared" si="16"/>
        <v>1751.0848356414392</v>
      </c>
      <c r="L21" s="6">
        <f t="shared" si="17"/>
        <v>5.3985970463864952</v>
      </c>
      <c r="M21" s="6">
        <f t="shared" si="18"/>
        <v>10.32625</v>
      </c>
      <c r="N21" s="6">
        <f t="shared" si="19"/>
        <v>7.51E-2</v>
      </c>
      <c r="O21" s="39">
        <f t="shared" si="20"/>
        <v>3.2433071870648513</v>
      </c>
      <c r="P21" s="39">
        <f t="shared" si="21"/>
        <v>3.0830014266036046E-3</v>
      </c>
      <c r="Q21" s="9">
        <f t="shared" si="22"/>
        <v>-2.3192113884933176</v>
      </c>
      <c r="R21" s="3">
        <f t="shared" si="23"/>
        <v>9.057236327492216E-5</v>
      </c>
      <c r="T21" s="39">
        <f t="shared" si="24"/>
        <v>4.8959471079291885E-3</v>
      </c>
      <c r="U21" s="39">
        <f t="shared" si="25"/>
        <v>-1.0094710792918869E-4</v>
      </c>
      <c r="V21" s="8">
        <f t="shared" si="26"/>
        <v>-2.3248027634931709</v>
      </c>
      <c r="W21" s="8">
        <f t="shared" si="11"/>
        <v>-5.5913749998532936E-3</v>
      </c>
      <c r="Y21" s="39" t="s">
        <v>69</v>
      </c>
      <c r="Z21" s="39" t="s">
        <v>69</v>
      </c>
      <c r="AA21" s="39" t="s">
        <v>69</v>
      </c>
      <c r="AB21" s="39" t="s">
        <v>69</v>
      </c>
    </row>
    <row r="22" spans="1:32">
      <c r="A22" s="1"/>
      <c r="B22" s="8">
        <v>8</v>
      </c>
      <c r="C22" s="8">
        <v>0.01</v>
      </c>
      <c r="D22" s="8">
        <v>1.42</v>
      </c>
      <c r="E22" s="8">
        <v>5.3979999999999997</v>
      </c>
      <c r="F22" s="11">
        <f t="shared" si="0"/>
        <v>5.398E-3</v>
      </c>
      <c r="G22" s="8">
        <f t="shared" si="12"/>
        <v>5.6338028169014089</v>
      </c>
      <c r="H22" s="8">
        <f t="shared" si="13"/>
        <v>4.0294820929219009E-2</v>
      </c>
      <c r="I22" s="8">
        <f t="shared" si="14"/>
        <v>8.855323780834242</v>
      </c>
      <c r="J22" s="8">
        <f t="shared" si="15"/>
        <v>0.11253388050332915</v>
      </c>
      <c r="K22" s="17">
        <f t="shared" si="16"/>
        <v>1798.3274628696131</v>
      </c>
      <c r="L22" s="6">
        <f t="shared" si="17"/>
        <v>5.8154717549700266</v>
      </c>
      <c r="M22" s="6">
        <f t="shared" si="18"/>
        <v>11.36</v>
      </c>
      <c r="N22" s="6">
        <f t="shared" si="19"/>
        <v>0.08</v>
      </c>
      <c r="O22" s="39">
        <f t="shared" si="20"/>
        <v>3.254868776589817</v>
      </c>
      <c r="P22" s="39">
        <f t="shared" si="21"/>
        <v>3.2338224684008367E-3</v>
      </c>
      <c r="Q22" s="9">
        <f t="shared" si="22"/>
        <v>-2.267767119779502</v>
      </c>
      <c r="R22" s="3">
        <f t="shared" si="23"/>
        <v>8.0454702093970309E-5</v>
      </c>
      <c r="T22" s="39">
        <f t="shared" si="24"/>
        <v>5.4674936679261505E-3</v>
      </c>
      <c r="U22" s="39">
        <f t="shared" si="25"/>
        <v>-6.9493667926150485E-5</v>
      </c>
      <c r="V22" s="8">
        <f t="shared" si="26"/>
        <v>-2.2746285213691486</v>
      </c>
      <c r="W22" s="8">
        <f t="shared" si="11"/>
        <v>-6.861401589646654E-3</v>
      </c>
      <c r="Y22" s="39">
        <f t="shared" ref="Y22:Y50" si="27">$S$70*M22+$T$70</f>
        <v>5.4393245590498391E-3</v>
      </c>
      <c r="Z22" s="39">
        <f>F22-Y22</f>
        <v>-4.1324559049839109E-5</v>
      </c>
      <c r="AA22" s="8">
        <f t="shared" ref="AA22:AA50" si="28">$S$103*O22+$T$103</f>
        <v>-2.2623222016306315</v>
      </c>
      <c r="AB22" s="3">
        <f>Q22-AA22</f>
        <v>-5.4449181488704923E-3</v>
      </c>
    </row>
    <row r="23" spans="1:32">
      <c r="A23" s="1"/>
      <c r="B23" s="8">
        <v>8.48</v>
      </c>
      <c r="C23" s="8">
        <v>0.01</v>
      </c>
      <c r="D23" s="8">
        <v>1.46</v>
      </c>
      <c r="E23" s="8">
        <v>5.9850000000000003</v>
      </c>
      <c r="F23" s="11">
        <f t="shared" si="0"/>
        <v>5.9850000000000007E-3</v>
      </c>
      <c r="G23" s="8">
        <f t="shared" si="12"/>
        <v>5.8082191780821919</v>
      </c>
      <c r="H23" s="8">
        <f t="shared" si="13"/>
        <v>4.0367639900393916E-2</v>
      </c>
      <c r="I23" s="8">
        <f t="shared" si="14"/>
        <v>9.1294749006244515</v>
      </c>
      <c r="J23" s="8">
        <f t="shared" si="15"/>
        <v>0.11498876731659599</v>
      </c>
      <c r="K23" s="17">
        <f t="shared" si="16"/>
        <v>1845.9965298444438</v>
      </c>
      <c r="L23" s="6">
        <f t="shared" si="17"/>
        <v>6.2043866834781944</v>
      </c>
      <c r="M23" s="6">
        <f t="shared" si="18"/>
        <v>12.380800000000001</v>
      </c>
      <c r="N23" s="6">
        <f t="shared" si="19"/>
        <v>8.48E-2</v>
      </c>
      <c r="O23" s="39">
        <f t="shared" si="20"/>
        <v>3.2662308802918294</v>
      </c>
      <c r="P23" s="39">
        <f t="shared" si="21"/>
        <v>3.3609958540935167E-3</v>
      </c>
      <c r="Q23" s="9">
        <f t="shared" si="22"/>
        <v>-2.2229358452575703</v>
      </c>
      <c r="R23" s="3">
        <f t="shared" si="23"/>
        <v>7.2563823208563358E-5</v>
      </c>
      <c r="T23" s="39">
        <f t="shared" si="24"/>
        <v>6.0318803459865128E-3</v>
      </c>
      <c r="U23" s="39">
        <f t="shared" si="25"/>
        <v>-4.6880345986512022E-5</v>
      </c>
      <c r="V23" s="8">
        <f t="shared" si="26"/>
        <v>-2.2253199949808007</v>
      </c>
      <c r="W23" s="8">
        <f t="shared" si="11"/>
        <v>-2.3841497232304221E-3</v>
      </c>
      <c r="Y23" s="39">
        <f t="shared" si="27"/>
        <v>6.0267820229470762E-3</v>
      </c>
      <c r="Z23" s="39">
        <f t="shared" ref="Z23:Z62" si="29">F23-Y23</f>
        <v>-4.178202294707542E-5</v>
      </c>
      <c r="AA23" s="8">
        <f t="shared" si="28"/>
        <v>-2.2153698391213954</v>
      </c>
      <c r="AB23" s="3">
        <f t="shared" ref="AB23:AB63" si="30">Q23-AA23</f>
        <v>-7.5660061361748632E-3</v>
      </c>
    </row>
    <row r="24" spans="1:32">
      <c r="A24" s="1"/>
      <c r="B24" s="8">
        <v>8.7799999999999994</v>
      </c>
      <c r="C24" s="8">
        <v>0.01</v>
      </c>
      <c r="D24" s="8">
        <v>1.49</v>
      </c>
      <c r="E24" s="8">
        <v>6.23</v>
      </c>
      <c r="F24" s="11">
        <f t="shared" si="0"/>
        <v>6.2300000000000003E-3</v>
      </c>
      <c r="G24" s="8">
        <f t="shared" si="12"/>
        <v>5.8926174496644288</v>
      </c>
      <c r="H24" s="8">
        <f t="shared" si="13"/>
        <v>4.0113202056669704E-2</v>
      </c>
      <c r="I24" s="8">
        <f t="shared" si="14"/>
        <v>9.2621337894235705</v>
      </c>
      <c r="J24" s="8">
        <f t="shared" si="15"/>
        <v>0.11593545718153947</v>
      </c>
      <c r="K24" s="17">
        <f t="shared" si="16"/>
        <v>1868.9757739298748</v>
      </c>
      <c r="L24" s="6">
        <f t="shared" si="17"/>
        <v>6.4415382706236812</v>
      </c>
      <c r="M24" s="6">
        <f t="shared" si="18"/>
        <v>13.082199999999998</v>
      </c>
      <c r="N24" s="6">
        <f t="shared" si="19"/>
        <v>8.7800000000000003E-2</v>
      </c>
      <c r="O24" s="39">
        <f t="shared" si="20"/>
        <v>3.2716036719958663</v>
      </c>
      <c r="P24" s="39">
        <f t="shared" si="21"/>
        <v>3.4465606031260265E-3</v>
      </c>
      <c r="Q24" s="9">
        <f t="shared" si="22"/>
        <v>-2.2055119533408303</v>
      </c>
      <c r="R24" s="3">
        <f t="shared" si="23"/>
        <v>6.9710189711597392E-5</v>
      </c>
      <c r="T24" s="39">
        <f t="shared" si="24"/>
        <v>6.4196750324985981E-3</v>
      </c>
      <c r="U24" s="39">
        <f t="shared" si="25"/>
        <v>-1.8967503249859782E-4</v>
      </c>
      <c r="V24" s="8">
        <f t="shared" si="26"/>
        <v>-2.2020034993330189</v>
      </c>
      <c r="W24" s="8">
        <f t="shared" si="11"/>
        <v>3.5084540078114124E-3</v>
      </c>
      <c r="Y24" s="39">
        <f t="shared" si="27"/>
        <v>6.4304288344454313E-3</v>
      </c>
      <c r="Z24" s="39">
        <f t="shared" si="29"/>
        <v>-2.0042883444543105E-4</v>
      </c>
      <c r="AA24" s="8">
        <f t="shared" si="28"/>
        <v>-2.1931675013861867</v>
      </c>
      <c r="AB24" s="3">
        <f t="shared" si="30"/>
        <v>-1.234445195464362E-2</v>
      </c>
    </row>
    <row r="25" spans="1:32">
      <c r="A25" s="1"/>
      <c r="B25" s="8">
        <v>9.0399999999999991</v>
      </c>
      <c r="C25" s="8">
        <v>0.01</v>
      </c>
      <c r="D25" s="8">
        <v>1.5149999999999999</v>
      </c>
      <c r="E25" s="8">
        <v>6.5</v>
      </c>
      <c r="F25" s="11">
        <f t="shared" si="0"/>
        <v>6.5000000000000006E-3</v>
      </c>
      <c r="G25" s="8">
        <f t="shared" si="12"/>
        <v>5.9669966996699664</v>
      </c>
      <c r="H25" s="8">
        <f t="shared" si="13"/>
        <v>3.9935384212679989E-2</v>
      </c>
      <c r="I25" s="8">
        <f t="shared" si="14"/>
        <v>9.3790445800175721</v>
      </c>
      <c r="J25" s="8">
        <f t="shared" si="15"/>
        <v>0.11681750883651715</v>
      </c>
      <c r="K25" s="17">
        <f t="shared" si="16"/>
        <v>1889.1799120397009</v>
      </c>
      <c r="L25" s="6">
        <f t="shared" si="17"/>
        <v>6.6408461262166192</v>
      </c>
      <c r="M25" s="6">
        <f t="shared" si="18"/>
        <v>13.695599999999997</v>
      </c>
      <c r="N25" s="6">
        <f t="shared" si="19"/>
        <v>9.0399999999999994E-2</v>
      </c>
      <c r="O25" s="39">
        <f t="shared" si="20"/>
        <v>3.2762733190046553</v>
      </c>
      <c r="P25" s="39">
        <f t="shared" si="21"/>
        <v>3.5152004760873523E-3</v>
      </c>
      <c r="Q25" s="9">
        <f t="shared" si="22"/>
        <v>-2.1870866433571443</v>
      </c>
      <c r="R25" s="3">
        <f t="shared" si="23"/>
        <v>6.6814535677423345E-5</v>
      </c>
      <c r="T25" s="39">
        <f t="shared" si="24"/>
        <v>6.7588156950399627E-3</v>
      </c>
      <c r="U25" s="39">
        <f t="shared" si="25"/>
        <v>-2.5881569503996213E-4</v>
      </c>
      <c r="V25" s="8">
        <f t="shared" si="26"/>
        <v>-2.1817384657797376</v>
      </c>
      <c r="W25" s="8">
        <f t="shared" si="11"/>
        <v>5.3481775774066875E-3</v>
      </c>
      <c r="Y25" s="39">
        <f t="shared" si="27"/>
        <v>6.7834327611250595E-3</v>
      </c>
      <c r="Z25" s="39">
        <f t="shared" si="29"/>
        <v>-2.8343276112505894E-4</v>
      </c>
      <c r="AA25" s="8">
        <f t="shared" si="28"/>
        <v>-2.1738708143555971</v>
      </c>
      <c r="AB25" s="3">
        <f t="shared" si="30"/>
        <v>-1.3215829001547164E-2</v>
      </c>
    </row>
    <row r="26" spans="1:32">
      <c r="A26" s="1"/>
      <c r="B26" s="8">
        <v>9.2899999999999991</v>
      </c>
      <c r="C26" s="8">
        <v>0.01</v>
      </c>
      <c r="D26" s="8">
        <v>1.53</v>
      </c>
      <c r="E26" s="8">
        <v>6.78</v>
      </c>
      <c r="F26" s="11">
        <f t="shared" si="0"/>
        <v>6.7800000000000004E-3</v>
      </c>
      <c r="G26" s="8">
        <f t="shared" si="12"/>
        <v>6.0718954248366011</v>
      </c>
      <c r="H26" s="8">
        <f t="shared" si="13"/>
        <v>4.0220203212707827E-2</v>
      </c>
      <c r="I26" s="8">
        <f t="shared" si="14"/>
        <v>9.543926491177217</v>
      </c>
      <c r="J26" s="8">
        <f t="shared" si="15"/>
        <v>0.11852002743334576</v>
      </c>
      <c r="K26" s="17">
        <f t="shared" si="16"/>
        <v>1917.5990803438317</v>
      </c>
      <c r="L26" s="6">
        <f t="shared" si="17"/>
        <v>6.828859742327186</v>
      </c>
      <c r="M26" s="6">
        <f t="shared" si="18"/>
        <v>14.213699999999999</v>
      </c>
      <c r="N26" s="6">
        <f t="shared" si="19"/>
        <v>9.2899999999999996E-2</v>
      </c>
      <c r="O26" s="39">
        <f t="shared" si="20"/>
        <v>3.2827578127435286</v>
      </c>
      <c r="P26" s="39">
        <f t="shared" si="21"/>
        <v>3.5611509268677522E-3</v>
      </c>
      <c r="Q26" s="9">
        <f t="shared" si="22"/>
        <v>-2.1687703061329366</v>
      </c>
      <c r="R26" s="3">
        <f t="shared" si="23"/>
        <v>6.4055233319063677E-5</v>
      </c>
      <c r="T26" s="39">
        <f t="shared" si="24"/>
        <v>7.0452662611675829E-3</v>
      </c>
      <c r="U26" s="39">
        <f t="shared" si="25"/>
        <v>-2.6526626116758246E-4</v>
      </c>
      <c r="V26" s="8">
        <f t="shared" si="26"/>
        <v>-2.1535974771895976</v>
      </c>
      <c r="W26" s="8">
        <f t="shared" si="11"/>
        <v>1.5172828943339045E-2</v>
      </c>
      <c r="Y26" s="39">
        <f t="shared" si="27"/>
        <v>7.0815927454953177E-3</v>
      </c>
      <c r="Z26" s="39">
        <f t="shared" si="29"/>
        <v>-3.0159274549531722E-4</v>
      </c>
      <c r="AA26" s="8">
        <f t="shared" si="28"/>
        <v>-2.1470745177628707</v>
      </c>
      <c r="AB26" s="3">
        <f t="shared" si="30"/>
        <v>-2.1695788370065916E-2</v>
      </c>
    </row>
    <row r="27" spans="1:32">
      <c r="A27" s="1"/>
      <c r="B27" s="8">
        <v>9.4550000000000001</v>
      </c>
      <c r="C27" s="8">
        <v>0.01</v>
      </c>
      <c r="D27" s="8">
        <v>1.54</v>
      </c>
      <c r="E27" s="8">
        <v>7.2270000000000003</v>
      </c>
      <c r="F27" s="11">
        <f t="shared" si="0"/>
        <v>7.2270000000000008E-3</v>
      </c>
      <c r="G27" s="8">
        <f t="shared" si="12"/>
        <v>6.1396103896103895</v>
      </c>
      <c r="H27" s="8">
        <f t="shared" si="13"/>
        <v>4.0392959175602323E-2</v>
      </c>
      <c r="I27" s="8">
        <f t="shared" si="14"/>
        <v>9.6503622251508592</v>
      </c>
      <c r="J27" s="8">
        <f t="shared" si="15"/>
        <v>0.11961112399303167</v>
      </c>
      <c r="K27" s="17">
        <f t="shared" si="16"/>
        <v>1935.8976949500445</v>
      </c>
      <c r="L27" s="6">
        <f t="shared" si="17"/>
        <v>6.9518362849276407</v>
      </c>
      <c r="M27" s="6">
        <f t="shared" si="18"/>
        <v>14.560700000000001</v>
      </c>
      <c r="N27" s="6">
        <f t="shared" si="19"/>
        <v>9.4550000000000009E-2</v>
      </c>
      <c r="O27" s="39">
        <f t="shared" si="20"/>
        <v>3.2868824027179118</v>
      </c>
      <c r="P27" s="39">
        <f t="shared" si="21"/>
        <v>3.59101428916523E-3</v>
      </c>
      <c r="Q27" s="9">
        <f t="shared" si="22"/>
        <v>-2.141041945281994</v>
      </c>
      <c r="R27" s="3">
        <f t="shared" si="23"/>
        <v>6.0093328061886225E-5</v>
      </c>
      <c r="T27" s="39">
        <f t="shared" si="24"/>
        <v>7.2371179238703122E-3</v>
      </c>
      <c r="U27" s="39">
        <f t="shared" si="25"/>
        <v>-1.0117923870311442E-5</v>
      </c>
      <c r="V27" s="8">
        <f t="shared" si="26"/>
        <v>-2.135697847074713</v>
      </c>
      <c r="W27" s="8">
        <f t="shared" si="11"/>
        <v>5.3440982072809895E-3</v>
      </c>
      <c r="Y27" s="39">
        <f t="shared" si="27"/>
        <v>7.2812868481327998E-3</v>
      </c>
      <c r="Z27" s="39">
        <f t="shared" si="29"/>
        <v>-5.4286848132798979E-5</v>
      </c>
      <c r="AA27" s="8">
        <f t="shared" si="28"/>
        <v>-2.1300302054807272</v>
      </c>
      <c r="AB27" s="3">
        <f t="shared" si="30"/>
        <v>-1.1011739801266796E-2</v>
      </c>
    </row>
    <row r="28" spans="1:32">
      <c r="A28" s="1"/>
      <c r="B28" s="8">
        <v>10.029999999999999</v>
      </c>
      <c r="C28" s="8">
        <v>0.01</v>
      </c>
      <c r="D28" s="8">
        <v>1.59</v>
      </c>
      <c r="E28" s="8">
        <v>8.0500000000000007</v>
      </c>
      <c r="F28" s="11">
        <f t="shared" si="0"/>
        <v>8.0500000000000016E-3</v>
      </c>
      <c r="G28" s="8">
        <f t="shared" si="12"/>
        <v>6.3081761006289305</v>
      </c>
      <c r="H28" s="8">
        <f t="shared" si="13"/>
        <v>4.016947490317143E-2</v>
      </c>
      <c r="I28" s="8">
        <f t="shared" si="14"/>
        <v>9.9153171761721506</v>
      </c>
      <c r="J28" s="8">
        <f t="shared" si="15"/>
        <v>0.12179629335092453</v>
      </c>
      <c r="K28" s="17">
        <f t="shared" si="16"/>
        <v>1981.2899822767276</v>
      </c>
      <c r="L28" s="6">
        <f t="shared" si="17"/>
        <v>7.3657378211576585</v>
      </c>
      <c r="M28" s="6">
        <f t="shared" si="18"/>
        <v>15.947699999999999</v>
      </c>
      <c r="N28" s="6">
        <f t="shared" si="19"/>
        <v>0.1003</v>
      </c>
      <c r="O28" s="39">
        <f t="shared" si="20"/>
        <v>3.2969480436789005</v>
      </c>
      <c r="P28" s="39">
        <f t="shared" si="21"/>
        <v>3.7176475362246508E-3</v>
      </c>
      <c r="Q28" s="9">
        <f t="shared" si="22"/>
        <v>-2.0942041196321313</v>
      </c>
      <c r="R28" s="3">
        <f t="shared" si="23"/>
        <v>5.3949625081149278E-5</v>
      </c>
      <c r="T28" s="39">
        <f t="shared" si="24"/>
        <v>8.0039716880451958E-3</v>
      </c>
      <c r="U28" s="39">
        <f t="shared" si="25"/>
        <v>4.6028311954805778E-5</v>
      </c>
      <c r="V28" s="8">
        <f t="shared" si="26"/>
        <v>-2.0920156262503546</v>
      </c>
      <c r="W28" s="8">
        <f t="shared" si="11"/>
        <v>2.1884933817766239E-3</v>
      </c>
      <c r="Y28" s="39">
        <f t="shared" si="27"/>
        <v>8.0794877713552399E-3</v>
      </c>
      <c r="Z28" s="39">
        <f t="shared" si="29"/>
        <v>-2.9487771355238279E-5</v>
      </c>
      <c r="AA28" s="8">
        <f t="shared" si="28"/>
        <v>-2.0884353005508896</v>
      </c>
      <c r="AB28" s="3">
        <f t="shared" si="30"/>
        <v>-5.7688190812417162E-3</v>
      </c>
    </row>
    <row r="29" spans="1:32">
      <c r="A29" s="1"/>
      <c r="B29" s="8">
        <v>10.53</v>
      </c>
      <c r="C29" s="8">
        <v>0.01</v>
      </c>
      <c r="D29" s="8">
        <v>1.63</v>
      </c>
      <c r="E29" s="8">
        <v>8.7690000000000001</v>
      </c>
      <c r="F29" s="11">
        <f t="shared" si="0"/>
        <v>8.7690000000000008E-3</v>
      </c>
      <c r="G29" s="8">
        <f t="shared" si="12"/>
        <v>6.4601226993865035</v>
      </c>
      <c r="H29" s="8">
        <f t="shared" si="13"/>
        <v>4.0104677520987432E-2</v>
      </c>
      <c r="I29" s="8">
        <f t="shared" si="14"/>
        <v>10.15414987463973</v>
      </c>
      <c r="J29" s="8">
        <f t="shared" si="15"/>
        <v>0.12389659481332854</v>
      </c>
      <c r="K29" s="17">
        <f t="shared" si="16"/>
        <v>2022.0122937215913</v>
      </c>
      <c r="L29" s="6">
        <f t="shared" si="17"/>
        <v>7.712329009099669</v>
      </c>
      <c r="M29" s="6">
        <f t="shared" si="18"/>
        <v>17.163899999999998</v>
      </c>
      <c r="N29" s="6">
        <f t="shared" si="19"/>
        <v>0.10529999999999999</v>
      </c>
      <c r="O29" s="39">
        <f t="shared" si="20"/>
        <v>3.3057837917491555</v>
      </c>
      <c r="P29" s="39">
        <f t="shared" si="21"/>
        <v>3.8141850240212098E-3</v>
      </c>
      <c r="Q29" s="9">
        <f t="shared" si="22"/>
        <v>-2.057049929922901</v>
      </c>
      <c r="R29" s="3">
        <f t="shared" si="23"/>
        <v>4.952611265859867E-5</v>
      </c>
      <c r="T29" s="39">
        <f t="shared" si="24"/>
        <v>8.6763924147859987E-3</v>
      </c>
      <c r="U29" s="39">
        <f t="shared" si="25"/>
        <v>9.2607585214002017E-5</v>
      </c>
      <c r="V29" s="8">
        <f t="shared" si="26"/>
        <v>-2.0536708154380925</v>
      </c>
      <c r="W29" s="8">
        <f t="shared" si="11"/>
        <v>3.379114484808543E-3</v>
      </c>
      <c r="Y29" s="39">
        <f t="shared" si="27"/>
        <v>8.7793954590431496E-3</v>
      </c>
      <c r="Z29" s="39">
        <f t="shared" si="29"/>
        <v>-1.0395459043148828E-5</v>
      </c>
      <c r="AA29" s="8">
        <f t="shared" si="28"/>
        <v>-2.0519227622643914</v>
      </c>
      <c r="AB29" s="3">
        <f t="shared" si="30"/>
        <v>-5.1271676585096237E-3</v>
      </c>
    </row>
    <row r="30" spans="1:32">
      <c r="A30" s="1"/>
      <c r="B30" s="8">
        <v>11</v>
      </c>
      <c r="C30" s="8">
        <v>0.01</v>
      </c>
      <c r="D30" s="8">
        <v>1.67</v>
      </c>
      <c r="E30" s="8">
        <v>9.3699999999999992</v>
      </c>
      <c r="F30" s="11">
        <f t="shared" si="0"/>
        <v>9.3699999999999999E-3</v>
      </c>
      <c r="G30" s="8">
        <f t="shared" si="12"/>
        <v>6.5868263473053892</v>
      </c>
      <c r="H30" s="8">
        <f t="shared" si="13"/>
        <v>3.98940299696664E-2</v>
      </c>
      <c r="I30" s="8">
        <f t="shared" si="14"/>
        <v>10.353305198849613</v>
      </c>
      <c r="J30" s="8">
        <f t="shared" si="15"/>
        <v>0.12553634610721237</v>
      </c>
      <c r="K30" s="17">
        <f t="shared" si="16"/>
        <v>2055.8282477910689</v>
      </c>
      <c r="L30" s="6">
        <f t="shared" si="17"/>
        <v>8.0239987516751512</v>
      </c>
      <c r="M30" s="6">
        <f t="shared" si="18"/>
        <v>18.369999999999997</v>
      </c>
      <c r="N30" s="6">
        <f t="shared" si="19"/>
        <v>0.11</v>
      </c>
      <c r="O30" s="39">
        <f t="shared" si="20"/>
        <v>3.3129868291207454</v>
      </c>
      <c r="P30" s="39">
        <f t="shared" si="21"/>
        <v>3.903049177525758E-3</v>
      </c>
      <c r="Q30" s="9">
        <f t="shared" si="22"/>
        <v>-2.0282604091122218</v>
      </c>
      <c r="R30" s="3">
        <f t="shared" si="23"/>
        <v>4.6349464450720579E-5</v>
      </c>
      <c r="T30" s="39">
        <f t="shared" si="24"/>
        <v>9.3432289865028918E-3</v>
      </c>
      <c r="U30" s="39">
        <f t="shared" si="25"/>
        <v>2.6771013497108032E-5</v>
      </c>
      <c r="V30" s="8">
        <f t="shared" si="26"/>
        <v>-2.0224115374356924</v>
      </c>
      <c r="W30" s="8">
        <f t="shared" si="11"/>
        <v>5.8488716765294768E-3</v>
      </c>
      <c r="Y30" s="39">
        <f t="shared" si="27"/>
        <v>9.4734907247234559E-3</v>
      </c>
      <c r="Z30" s="39">
        <f t="shared" si="29"/>
        <v>-1.0349072472345608E-4</v>
      </c>
      <c r="AA30" s="8">
        <f t="shared" si="28"/>
        <v>-2.0221571809329557</v>
      </c>
      <c r="AB30" s="3">
        <f t="shared" si="30"/>
        <v>-6.103228179266118E-3</v>
      </c>
    </row>
    <row r="31" spans="1:32">
      <c r="A31" s="1"/>
      <c r="B31" s="8">
        <v>11.41</v>
      </c>
      <c r="C31" s="8">
        <v>0.01</v>
      </c>
      <c r="D31" s="8">
        <v>1.7</v>
      </c>
      <c r="E31" s="8">
        <v>10.06</v>
      </c>
      <c r="F31" s="11">
        <f t="shared" si="0"/>
        <v>1.0060000000000001E-2</v>
      </c>
      <c r="G31" s="8">
        <f t="shared" si="12"/>
        <v>6.7117647058823531</v>
      </c>
      <c r="H31" s="8">
        <f t="shared" si="13"/>
        <v>3.9916775647606061E-2</v>
      </c>
      <c r="I31" s="8">
        <f t="shared" si="14"/>
        <v>10.549685806017099</v>
      </c>
      <c r="J31" s="8">
        <f t="shared" si="15"/>
        <v>0.12734517268213183</v>
      </c>
      <c r="K31" s="17">
        <f t="shared" si="16"/>
        <v>2089.047376678302</v>
      </c>
      <c r="L31" s="6">
        <f t="shared" si="17"/>
        <v>8.2923700544134142</v>
      </c>
      <c r="M31" s="6">
        <f t="shared" si="18"/>
        <v>19.396999999999998</v>
      </c>
      <c r="N31" s="6">
        <f t="shared" si="19"/>
        <v>0.11410000000000001</v>
      </c>
      <c r="O31" s="39">
        <f t="shared" si="20"/>
        <v>3.3199482892845902</v>
      </c>
      <c r="P31" s="39">
        <f t="shared" si="21"/>
        <v>3.9694504523869294E-3</v>
      </c>
      <c r="Q31" s="9">
        <f t="shared" si="22"/>
        <v>-1.9974020192800914</v>
      </c>
      <c r="R31" s="3">
        <f t="shared" si="23"/>
        <v>4.3170425636506131E-5</v>
      </c>
      <c r="T31" s="39">
        <f t="shared" si="24"/>
        <v>9.9110435617066443E-3</v>
      </c>
      <c r="U31" s="39">
        <f t="shared" si="25"/>
        <v>1.489564382933569E-4</v>
      </c>
      <c r="V31" s="8">
        <f t="shared" si="26"/>
        <v>-1.9922006406517117</v>
      </c>
      <c r="W31" s="8">
        <f t="shared" si="11"/>
        <v>5.2013786283797714E-3</v>
      </c>
      <c r="Y31" s="39">
        <f t="shared" si="27"/>
        <v>1.0064516210051104E-2</v>
      </c>
      <c r="Z31" s="39">
        <f t="shared" si="29"/>
        <v>-4.5162100511027953E-6</v>
      </c>
      <c r="AA31" s="8">
        <f t="shared" si="28"/>
        <v>-1.9933898848600862</v>
      </c>
      <c r="AB31" s="3">
        <f t="shared" si="30"/>
        <v>-4.0121344200052533E-3</v>
      </c>
    </row>
    <row r="32" spans="1:32">
      <c r="A32" s="1"/>
      <c r="B32" s="8">
        <v>11.96</v>
      </c>
      <c r="C32" s="8">
        <v>0.01</v>
      </c>
      <c r="D32" s="8">
        <v>1.74</v>
      </c>
      <c r="E32" s="8">
        <v>10.84</v>
      </c>
      <c r="F32" s="11">
        <f t="shared" si="0"/>
        <v>1.0840000000000001E-2</v>
      </c>
      <c r="G32" s="8">
        <f t="shared" si="12"/>
        <v>6.8735632183908049</v>
      </c>
      <c r="H32" s="8">
        <f t="shared" si="13"/>
        <v>3.991910804182338E-2</v>
      </c>
      <c r="I32" s="8">
        <f t="shared" si="14"/>
        <v>10.804003939271844</v>
      </c>
      <c r="J32" s="8">
        <f t="shared" si="15"/>
        <v>0.12967830005481237</v>
      </c>
      <c r="K32" s="17">
        <f t="shared" si="16"/>
        <v>2131.8815681314481</v>
      </c>
      <c r="L32" s="6">
        <f t="shared" si="17"/>
        <v>8.6418162031457229</v>
      </c>
      <c r="M32" s="6">
        <f t="shared" si="18"/>
        <v>20.810400000000001</v>
      </c>
      <c r="N32" s="6">
        <f t="shared" si="19"/>
        <v>0.11960000000000001</v>
      </c>
      <c r="O32" s="39">
        <f t="shared" si="20"/>
        <v>3.3287630747749728</v>
      </c>
      <c r="P32" s="39">
        <f t="shared" si="21"/>
        <v>4.0536098873072499E-3</v>
      </c>
      <c r="Q32" s="9">
        <f t="shared" si="22"/>
        <v>-1.9649707177976319</v>
      </c>
      <c r="R32" s="3">
        <f t="shared" si="23"/>
        <v>4.0064066596240934E-5</v>
      </c>
      <c r="T32" s="39">
        <f t="shared" si="24"/>
        <v>1.0692493533072746E-2</v>
      </c>
      <c r="U32" s="39">
        <f t="shared" si="25"/>
        <v>1.4750646692725418E-4</v>
      </c>
      <c r="V32" s="8">
        <f t="shared" si="26"/>
        <v>-1.9539468018944408</v>
      </c>
      <c r="W32" s="8">
        <f t="shared" si="11"/>
        <v>1.1023915903191073E-2</v>
      </c>
      <c r="Y32" s="39">
        <f t="shared" si="27"/>
        <v>1.0877909998719165E-2</v>
      </c>
      <c r="Z32" s="39">
        <f t="shared" si="29"/>
        <v>-3.7909998719163826E-5</v>
      </c>
      <c r="AA32" s="8">
        <f t="shared" si="28"/>
        <v>-1.956963971610211</v>
      </c>
      <c r="AB32" s="3">
        <f t="shared" si="30"/>
        <v>-8.0067461874209211E-3</v>
      </c>
    </row>
    <row r="33" spans="1:28">
      <c r="A33" s="44" t="s">
        <v>77</v>
      </c>
      <c r="B33" s="48">
        <v>8.18</v>
      </c>
      <c r="C33" s="45">
        <v>0.01</v>
      </c>
      <c r="D33" s="48">
        <v>1.44</v>
      </c>
      <c r="E33" s="45">
        <v>5.625</v>
      </c>
      <c r="F33" s="46">
        <f t="shared" si="0"/>
        <v>5.6249999999999998E-3</v>
      </c>
      <c r="G33" s="45">
        <f t="shared" si="12"/>
        <v>5.6805555555555554</v>
      </c>
      <c r="H33" s="45">
        <f t="shared" si="13"/>
        <v>4.0054885798593926E-2</v>
      </c>
      <c r="I33" s="45">
        <f t="shared" si="14"/>
        <v>8.9288106691543572</v>
      </c>
      <c r="J33" s="45">
        <f t="shared" si="15"/>
        <v>0.11296214222459929</v>
      </c>
      <c r="K33" s="47">
        <f t="shared" si="16"/>
        <v>1811.1291354346065</v>
      </c>
      <c r="L33" s="48">
        <f t="shared" si="17"/>
        <v>5.9663614587681693</v>
      </c>
      <c r="M33" s="48">
        <f t="shared" si="18"/>
        <v>11.779199999999999</v>
      </c>
      <c r="N33" s="48">
        <f t="shared" si="19"/>
        <v>8.1799999999999998E-2</v>
      </c>
      <c r="O33" s="49">
        <f t="shared" si="20"/>
        <v>3.2579494170767522</v>
      </c>
      <c r="P33" s="49">
        <f t="shared" si="21"/>
        <v>3.2942772229968323E-3</v>
      </c>
      <c r="Q33" s="50">
        <f t="shared" si="22"/>
        <v>-2.2498774732165998</v>
      </c>
      <c r="R33" s="51">
        <f t="shared" si="23"/>
        <v>7.7207907893911426E-5</v>
      </c>
      <c r="S33" s="44"/>
      <c r="T33" s="49">
        <f t="shared" si="24"/>
        <v>5.6992637457503117E-3</v>
      </c>
      <c r="U33" s="49">
        <f t="shared" si="25"/>
        <v>-7.4263745750311957E-5</v>
      </c>
      <c r="V33" s="45">
        <f t="shared" si="26"/>
        <v>-2.2612593560519763</v>
      </c>
      <c r="W33" s="45">
        <f t="shared" si="11"/>
        <v>-1.1381882835376445E-2</v>
      </c>
      <c r="X33" s="44"/>
      <c r="Y33" s="49">
        <f t="shared" si="27"/>
        <v>5.6805688467317763E-3</v>
      </c>
      <c r="Z33" s="49">
        <f t="shared" si="29"/>
        <v>-5.5568846731776471E-5</v>
      </c>
      <c r="AA33" s="45">
        <f t="shared" si="28"/>
        <v>-2.2495918699335533</v>
      </c>
      <c r="AB33" s="51">
        <f t="shared" si="30"/>
        <v>-2.8560328304649829E-4</v>
      </c>
    </row>
    <row r="34" spans="1:28">
      <c r="B34" s="8">
        <v>8.35</v>
      </c>
      <c r="C34" s="8">
        <v>0.01</v>
      </c>
      <c r="D34" s="8">
        <v>1.45</v>
      </c>
      <c r="E34" s="8">
        <v>5.843</v>
      </c>
      <c r="F34" s="11">
        <f t="shared" si="0"/>
        <v>5.8430000000000001E-3</v>
      </c>
      <c r="G34" s="8">
        <f t="shared" si="12"/>
        <v>5.7586206896551726</v>
      </c>
      <c r="H34" s="8">
        <f t="shared" si="13"/>
        <v>4.0308980388886771E-2</v>
      </c>
      <c r="I34" s="8">
        <f t="shared" si="14"/>
        <v>9.0515150059785849</v>
      </c>
      <c r="J34" s="8">
        <f t="shared" si="15"/>
        <v>0.11425555497509737</v>
      </c>
      <c r="K34" s="17">
        <f t="shared" si="16"/>
        <v>1832.4657060453517</v>
      </c>
      <c r="L34" s="6">
        <f t="shared" si="17"/>
        <v>6.100920313502634</v>
      </c>
      <c r="M34" s="6">
        <f t="shared" si="18"/>
        <v>12.1075</v>
      </c>
      <c r="N34" s="6">
        <f t="shared" si="19"/>
        <v>8.3500000000000005E-2</v>
      </c>
      <c r="O34" s="39">
        <f t="shared" si="20"/>
        <v>3.2630358557199157</v>
      </c>
      <c r="P34" s="39">
        <f t="shared" si="21"/>
        <v>3.3293503356573279E-3</v>
      </c>
      <c r="Q34" s="9">
        <f t="shared" si="22"/>
        <v>-2.2333641136897326</v>
      </c>
      <c r="R34" s="3">
        <f t="shared" si="23"/>
        <v>7.4327311638413787E-5</v>
      </c>
      <c r="T34" s="39">
        <f t="shared" si="24"/>
        <v>5.880776428359262E-3</v>
      </c>
      <c r="U34" s="39">
        <f t="shared" si="25"/>
        <v>-3.7776428359261906E-5</v>
      </c>
      <c r="V34" s="8">
        <f t="shared" si="26"/>
        <v>-2.2391855569882768</v>
      </c>
      <c r="W34" s="8">
        <f t="shared" si="11"/>
        <v>-5.8214432985441711E-3</v>
      </c>
      <c r="Y34" s="39">
        <f t="shared" si="27"/>
        <v>5.8695013363452781E-3</v>
      </c>
      <c r="Z34" s="39">
        <f t="shared" si="29"/>
        <v>-2.6501336345277973E-5</v>
      </c>
      <c r="AA34" s="8">
        <f t="shared" si="28"/>
        <v>-2.2285728476364337</v>
      </c>
      <c r="AB34" s="3">
        <f t="shared" si="30"/>
        <v>-4.7912660532989371E-3</v>
      </c>
    </row>
    <row r="35" spans="1:28">
      <c r="B35" s="8">
        <v>8.56</v>
      </c>
      <c r="C35" s="8">
        <v>0.01</v>
      </c>
      <c r="D35" s="8">
        <v>1.47</v>
      </c>
      <c r="E35" s="8">
        <v>6.1269999999999998</v>
      </c>
      <c r="F35" s="11">
        <f t="shared" si="0"/>
        <v>6.1269999999999996E-3</v>
      </c>
      <c r="G35" s="8">
        <f t="shared" si="12"/>
        <v>5.8231292517006805</v>
      </c>
      <c r="H35" s="8">
        <f t="shared" si="13"/>
        <v>4.0192992175502408E-2</v>
      </c>
      <c r="I35" s="8">
        <f t="shared" si="14"/>
        <v>9.1529108521085352</v>
      </c>
      <c r="J35" s="8">
        <f t="shared" si="15"/>
        <v>0.11504317424259412</v>
      </c>
      <c r="K35" s="17">
        <f t="shared" si="16"/>
        <v>1850.0602598894502</v>
      </c>
      <c r="L35" s="6">
        <f t="shared" si="17"/>
        <v>6.2691865918318861</v>
      </c>
      <c r="M35" s="6">
        <f t="shared" si="18"/>
        <v>12.5832</v>
      </c>
      <c r="N35" s="6">
        <f t="shared" si="19"/>
        <v>8.5600000000000009E-2</v>
      </c>
      <c r="O35" s="39">
        <f t="shared" si="20"/>
        <v>3.2671858744090962</v>
      </c>
      <c r="P35" s="39">
        <f t="shared" si="21"/>
        <v>3.3886391312499733E-3</v>
      </c>
      <c r="Q35" s="9">
        <f t="shared" si="22"/>
        <v>-2.2127521196680462</v>
      </c>
      <c r="R35" s="3">
        <f t="shared" si="23"/>
        <v>7.0882076367431344E-5</v>
      </c>
      <c r="T35" s="39">
        <f t="shared" si="24"/>
        <v>6.1437846011191703E-3</v>
      </c>
      <c r="U35" s="39">
        <f t="shared" si="25"/>
        <v>-1.6784601119170656E-5</v>
      </c>
      <c r="V35" s="8">
        <f t="shared" si="26"/>
        <v>-2.2211755729734897</v>
      </c>
      <c r="W35" s="8">
        <f t="shared" si="11"/>
        <v>-8.4234533054434735E-3</v>
      </c>
      <c r="Y35" s="39">
        <f t="shared" si="27"/>
        <v>6.1432606580301488E-3</v>
      </c>
      <c r="Z35" s="39">
        <f t="shared" si="29"/>
        <v>-1.6260658030149179E-5</v>
      </c>
      <c r="AA35" s="8">
        <f t="shared" si="28"/>
        <v>-2.2114234546169005</v>
      </c>
      <c r="AB35" s="3">
        <f t="shared" si="30"/>
        <v>-1.3286650511457054E-3</v>
      </c>
    </row>
    <row r="36" spans="1:28">
      <c r="B36" s="8">
        <v>8.89</v>
      </c>
      <c r="C36" s="8">
        <v>0.01</v>
      </c>
      <c r="D36" s="8">
        <v>1.5</v>
      </c>
      <c r="E36" s="8">
        <v>6.5570000000000004</v>
      </c>
      <c r="F36" s="11">
        <f t="shared" si="0"/>
        <v>6.5570000000000003E-3</v>
      </c>
      <c r="G36" s="8">
        <f t="shared" si="12"/>
        <v>5.9266666666666667</v>
      </c>
      <c r="H36" s="8">
        <f t="shared" si="13"/>
        <v>4.00695937798103E-2</v>
      </c>
      <c r="I36" s="8">
        <f t="shared" si="14"/>
        <v>9.3156530287079402</v>
      </c>
      <c r="J36" s="8">
        <f t="shared" si="15"/>
        <v>0.11637051898533196</v>
      </c>
      <c r="K36" s="17">
        <f t="shared" si="16"/>
        <v>1878.2302824216388</v>
      </c>
      <c r="L36" s="6">
        <f t="shared" si="17"/>
        <v>6.5264283878619516</v>
      </c>
      <c r="M36" s="6">
        <f t="shared" si="18"/>
        <v>13.335000000000001</v>
      </c>
      <c r="N36" s="6">
        <f t="shared" si="19"/>
        <v>8.8900000000000021E-2</v>
      </c>
      <c r="O36" s="39">
        <f t="shared" si="20"/>
        <v>3.2737488383314801</v>
      </c>
      <c r="P36" s="39">
        <f t="shared" si="21"/>
        <v>3.4747754037099759E-3</v>
      </c>
      <c r="Q36" s="9">
        <f t="shared" si="22"/>
        <v>-2.1832948163334844</v>
      </c>
      <c r="R36" s="3">
        <f t="shared" si="23"/>
        <v>6.6233716928969303E-5</v>
      </c>
      <c r="T36" s="39">
        <f t="shared" si="24"/>
        <v>6.5594447740872155E-3</v>
      </c>
      <c r="U36" s="39">
        <f t="shared" si="25"/>
        <v>-2.4447740872152179E-6</v>
      </c>
      <c r="V36" s="8">
        <f t="shared" si="26"/>
        <v>-2.1926940445312404</v>
      </c>
      <c r="W36" s="8">
        <f t="shared" si="11"/>
        <v>-9.39922819775596E-3</v>
      </c>
      <c r="Y36" s="39">
        <f t="shared" si="27"/>
        <v>6.5759120308337762E-3</v>
      </c>
      <c r="Z36" s="39">
        <f t="shared" si="29"/>
        <v>-1.8912030833775906E-5</v>
      </c>
      <c r="AA36" s="8">
        <f t="shared" si="28"/>
        <v>-2.1843028905646431</v>
      </c>
      <c r="AB36" s="3">
        <f t="shared" si="30"/>
        <v>1.0080742311586732E-3</v>
      </c>
    </row>
    <row r="37" spans="1:28">
      <c r="B37" s="8">
        <v>9.11</v>
      </c>
      <c r="C37" s="8">
        <v>0.01</v>
      </c>
      <c r="D37" s="8">
        <v>1.52</v>
      </c>
      <c r="E37" s="8">
        <v>6.8890000000000002</v>
      </c>
      <c r="F37" s="11">
        <f t="shared" si="0"/>
        <v>6.8890000000000002E-3</v>
      </c>
      <c r="G37" s="8">
        <f t="shared" si="12"/>
        <v>5.9934210526315788</v>
      </c>
      <c r="H37" s="8">
        <f t="shared" si="13"/>
        <v>3.9975481531897006E-2</v>
      </c>
      <c r="I37" s="8">
        <f t="shared" si="14"/>
        <v>9.4205789057259786</v>
      </c>
      <c r="J37" s="8">
        <f t="shared" si="15"/>
        <v>0.11721946275301873</v>
      </c>
      <c r="K37" s="17">
        <f t="shared" si="16"/>
        <v>1896.3470889586101</v>
      </c>
      <c r="L37" s="6">
        <f t="shared" si="17"/>
        <v>6.6936709051026746</v>
      </c>
      <c r="M37" s="6">
        <f t="shared" si="18"/>
        <v>13.847199999999999</v>
      </c>
      <c r="N37" s="6">
        <f t="shared" si="19"/>
        <v>9.11E-2</v>
      </c>
      <c r="O37" s="39">
        <f t="shared" si="20"/>
        <v>3.2779178293225786</v>
      </c>
      <c r="P37" s="39">
        <f t="shared" si="21"/>
        <v>3.5297709707659808E-3</v>
      </c>
      <c r="Q37" s="9">
        <f t="shared" si="22"/>
        <v>-2.1618438152478521</v>
      </c>
      <c r="R37" s="3">
        <f t="shared" si="23"/>
        <v>6.3041730570946697E-5</v>
      </c>
      <c r="T37" s="39">
        <f t="shared" si="24"/>
        <v>6.8426333090622514E-3</v>
      </c>
      <c r="U37" s="39">
        <f t="shared" si="25"/>
        <v>4.6366690937748797E-5</v>
      </c>
      <c r="V37" s="8">
        <f t="shared" si="26"/>
        <v>-2.1746017257416348</v>
      </c>
      <c r="W37" s="8">
        <f t="shared" si="11"/>
        <v>-1.275791049378272E-2</v>
      </c>
      <c r="Y37" s="39">
        <f t="shared" si="27"/>
        <v>6.8706766399718681E-3</v>
      </c>
      <c r="Z37" s="39">
        <f t="shared" si="29"/>
        <v>1.8323360028132084E-5</v>
      </c>
      <c r="AA37" s="8">
        <f t="shared" si="28"/>
        <v>-2.167075097063945</v>
      </c>
      <c r="AB37" s="3">
        <f t="shared" si="30"/>
        <v>5.231281816092892E-3</v>
      </c>
    </row>
    <row r="38" spans="1:28">
      <c r="B38" s="8">
        <v>9.35</v>
      </c>
      <c r="C38" s="8">
        <v>0.01</v>
      </c>
      <c r="D38" s="8">
        <v>1.54</v>
      </c>
      <c r="E38" s="8">
        <v>7.2060000000000004</v>
      </c>
      <c r="F38" s="11">
        <f t="shared" si="0"/>
        <v>7.2060000000000006E-3</v>
      </c>
      <c r="G38" s="8">
        <f t="shared" si="12"/>
        <v>6.0714285714285712</v>
      </c>
      <c r="H38" s="8">
        <f t="shared" si="13"/>
        <v>3.9956041844678609E-2</v>
      </c>
      <c r="I38" s="8">
        <f t="shared" si="14"/>
        <v>9.5431926816669002</v>
      </c>
      <c r="J38" s="8">
        <f t="shared" si="15"/>
        <v>0.11829254031287521</v>
      </c>
      <c r="K38" s="17">
        <f t="shared" si="16"/>
        <v>1917.4727952989488</v>
      </c>
      <c r="L38" s="6">
        <f t="shared" si="17"/>
        <v>6.8726603237030126</v>
      </c>
      <c r="M38" s="6">
        <f t="shared" si="18"/>
        <v>14.398999999999999</v>
      </c>
      <c r="N38" s="6">
        <f t="shared" si="19"/>
        <v>9.35E-2</v>
      </c>
      <c r="O38" s="39">
        <f t="shared" si="20"/>
        <v>3.282729210985889</v>
      </c>
      <c r="P38" s="39">
        <f t="shared" si="21"/>
        <v>3.5842283345832357E-3</v>
      </c>
      <c r="Q38" s="9">
        <f t="shared" si="22"/>
        <v>-2.1423057422134502</v>
      </c>
      <c r="R38" s="3">
        <f t="shared" si="23"/>
        <v>6.026845433017648E-5</v>
      </c>
      <c r="T38" s="39">
        <f t="shared" si="24"/>
        <v>7.1477161548241129E-3</v>
      </c>
      <c r="U38" s="39">
        <f t="shared" si="25"/>
        <v>5.8283845175887729E-5</v>
      </c>
      <c r="V38" s="8">
        <f t="shared" si="26"/>
        <v>-2.1537216012566116</v>
      </c>
      <c r="W38" s="8">
        <f t="shared" si="11"/>
        <v>-1.1415859043161447E-2</v>
      </c>
      <c r="Y38" s="39">
        <f t="shared" si="27"/>
        <v>7.1882305472783879E-3</v>
      </c>
      <c r="Z38" s="39">
        <f t="shared" si="29"/>
        <v>1.7769452721612747E-5</v>
      </c>
      <c r="AA38" s="8">
        <f t="shared" si="28"/>
        <v>-2.1471927106722397</v>
      </c>
      <c r="AB38" s="3">
        <f t="shared" si="30"/>
        <v>4.8869684587895534E-3</v>
      </c>
    </row>
    <row r="39" spans="1:28">
      <c r="B39" s="8">
        <v>9.51</v>
      </c>
      <c r="C39" s="8">
        <v>0.01</v>
      </c>
      <c r="D39" s="8">
        <v>1.55</v>
      </c>
      <c r="E39" s="8">
        <v>7.46</v>
      </c>
      <c r="F39" s="11">
        <f t="shared" si="0"/>
        <v>7.4600000000000005E-3</v>
      </c>
      <c r="G39" s="8">
        <f t="shared" si="12"/>
        <v>6.1354838709677413</v>
      </c>
      <c r="H39" s="8">
        <f t="shared" si="13"/>
        <v>4.0106083226815685E-2</v>
      </c>
      <c r="I39" s="8">
        <f t="shared" si="14"/>
        <v>9.6438760807372361</v>
      </c>
      <c r="J39" s="8">
        <f t="shared" si="15"/>
        <v>0.11931453413400257</v>
      </c>
      <c r="K39" s="17">
        <f t="shared" si="16"/>
        <v>1934.7836348309816</v>
      </c>
      <c r="L39" s="6">
        <f t="shared" si="17"/>
        <v>6.9910476339619976</v>
      </c>
      <c r="M39" s="6">
        <f t="shared" si="18"/>
        <v>14.740500000000001</v>
      </c>
      <c r="N39" s="6">
        <f t="shared" si="19"/>
        <v>9.5100000000000004E-2</v>
      </c>
      <c r="O39" s="39">
        <f t="shared" si="20"/>
        <v>3.2866324052966025</v>
      </c>
      <c r="P39" s="39">
        <f t="shared" si="21"/>
        <v>3.6133485461141601E-3</v>
      </c>
      <c r="Q39" s="9">
        <f t="shared" si="22"/>
        <v>-2.1272611725273314</v>
      </c>
      <c r="R39" s="3">
        <f t="shared" si="23"/>
        <v>5.8216418485690579E-5</v>
      </c>
      <c r="T39" s="39">
        <f t="shared" si="24"/>
        <v>7.336526941028672E-3</v>
      </c>
      <c r="U39" s="39">
        <f t="shared" si="25"/>
        <v>1.234730589713285E-4</v>
      </c>
      <c r="V39" s="8">
        <f t="shared" si="26"/>
        <v>-2.1367827697940385</v>
      </c>
      <c r="W39" s="8">
        <f t="shared" si="11"/>
        <v>-9.5215972667070936E-3</v>
      </c>
      <c r="Y39" s="39">
        <f t="shared" si="27"/>
        <v>7.384759469614699E-3</v>
      </c>
      <c r="Z39" s="39">
        <f t="shared" si="29"/>
        <v>7.5240530385301506E-5</v>
      </c>
      <c r="AA39" s="8">
        <f t="shared" si="28"/>
        <v>-2.131063286137227</v>
      </c>
      <c r="AB39" s="3">
        <f t="shared" si="30"/>
        <v>3.8021136098955743E-3</v>
      </c>
    </row>
    <row r="40" spans="1:28">
      <c r="B40" s="8">
        <v>9.68</v>
      </c>
      <c r="C40" s="8">
        <v>0.01</v>
      </c>
      <c r="D40" s="8">
        <v>1.57</v>
      </c>
      <c r="E40" s="8">
        <v>7.5819999999999999</v>
      </c>
      <c r="F40" s="11">
        <f t="shared" si="0"/>
        <v>7.5820000000000002E-3</v>
      </c>
      <c r="G40" s="8">
        <f t="shared" si="12"/>
        <v>6.1656050955414008</v>
      </c>
      <c r="H40" s="8">
        <f t="shared" si="13"/>
        <v>3.9784546014665155E-2</v>
      </c>
      <c r="I40" s="8">
        <f t="shared" si="14"/>
        <v>9.6912212230760453</v>
      </c>
      <c r="J40" s="8">
        <f t="shared" si="15"/>
        <v>0.119471753235184</v>
      </c>
      <c r="K40" s="17">
        <f t="shared" si="16"/>
        <v>1942.912505973434</v>
      </c>
      <c r="L40" s="6">
        <f t="shared" si="17"/>
        <v>7.1123536504410509</v>
      </c>
      <c r="M40" s="6">
        <f t="shared" si="18"/>
        <v>15.1976</v>
      </c>
      <c r="N40" s="6">
        <f t="shared" si="19"/>
        <v>9.6799999999999997E-2</v>
      </c>
      <c r="O40" s="39">
        <f t="shared" si="20"/>
        <v>3.2884532437142968</v>
      </c>
      <c r="P40" s="39">
        <f t="shared" si="21"/>
        <v>3.6606659479386252E-3</v>
      </c>
      <c r="Q40" s="9">
        <f t="shared" si="22"/>
        <v>-2.120216219909584</v>
      </c>
      <c r="R40" s="3">
        <f t="shared" si="23"/>
        <v>5.7279673160544944E-5</v>
      </c>
      <c r="T40" s="39">
        <f t="shared" si="24"/>
        <v>7.5892514223584043E-3</v>
      </c>
      <c r="U40" s="39">
        <f t="shared" si="25"/>
        <v>-7.2514223584041124E-6</v>
      </c>
      <c r="V40" s="8">
        <f t="shared" si="26"/>
        <v>-2.1288808124169112</v>
      </c>
      <c r="W40" s="8">
        <f t="shared" si="11"/>
        <v>-8.6645925073272068E-3</v>
      </c>
      <c r="Y40" s="39">
        <f t="shared" si="27"/>
        <v>7.6478147270083383E-3</v>
      </c>
      <c r="Z40" s="39">
        <f t="shared" si="29"/>
        <v>-6.5814727008338056E-5</v>
      </c>
      <c r="AA40" s="8">
        <f t="shared" si="28"/>
        <v>-2.123538916733418</v>
      </c>
      <c r="AB40" s="3">
        <f t="shared" si="30"/>
        <v>3.3226968238340149E-3</v>
      </c>
    </row>
    <row r="41" spans="1:28">
      <c r="B41" s="8">
        <v>9.9600000000000009</v>
      </c>
      <c r="C41" s="8">
        <v>0.01</v>
      </c>
      <c r="D41" s="8">
        <v>1.59</v>
      </c>
      <c r="E41" s="8">
        <v>8.02</v>
      </c>
      <c r="F41" s="11">
        <f t="shared" si="0"/>
        <v>8.0199999999999994E-3</v>
      </c>
      <c r="G41" s="8">
        <f t="shared" si="12"/>
        <v>6.2641509433962268</v>
      </c>
      <c r="H41" s="8">
        <f t="shared" si="13"/>
        <v>3.9896025541239777E-2</v>
      </c>
      <c r="I41" s="8">
        <f t="shared" si="14"/>
        <v>9.8461175548030528</v>
      </c>
      <c r="J41" s="8">
        <f t="shared" si="15"/>
        <v>0.12095188874115083</v>
      </c>
      <c r="K41" s="17">
        <f t="shared" si="16"/>
        <v>1969.4565686697779</v>
      </c>
      <c r="L41" s="6">
        <f t="shared" si="17"/>
        <v>7.3131912541748427</v>
      </c>
      <c r="M41" s="6">
        <f t="shared" si="18"/>
        <v>15.836400000000003</v>
      </c>
      <c r="N41" s="6">
        <f t="shared" si="19"/>
        <v>9.9600000000000008E-2</v>
      </c>
      <c r="O41" s="39">
        <f t="shared" si="20"/>
        <v>3.2943464079961218</v>
      </c>
      <c r="P41" s="39">
        <f t="shared" si="21"/>
        <v>3.7133041522791044E-3</v>
      </c>
      <c r="Q41" s="9">
        <f t="shared" si="22"/>
        <v>-2.0958256317158366</v>
      </c>
      <c r="R41" s="3">
        <f t="shared" si="23"/>
        <v>5.4151431658759576E-5</v>
      </c>
      <c r="T41" s="39">
        <f t="shared" si="24"/>
        <v>7.942435405454959E-3</v>
      </c>
      <c r="U41" s="39">
        <f t="shared" si="25"/>
        <v>7.7564594545040388E-5</v>
      </c>
      <c r="V41" s="8">
        <f t="shared" si="26"/>
        <v>-2.1033060373468881</v>
      </c>
      <c r="W41" s="8">
        <f t="shared" si="11"/>
        <v>-7.4804056310515676E-3</v>
      </c>
      <c r="Y41" s="39">
        <f t="shared" si="27"/>
        <v>8.0154360318061019E-3</v>
      </c>
      <c r="Z41" s="39">
        <f t="shared" si="29"/>
        <v>4.5639681938974136E-6</v>
      </c>
      <c r="AA41" s="8">
        <f t="shared" si="28"/>
        <v>-2.0991862094405143</v>
      </c>
      <c r="AB41" s="3">
        <f t="shared" si="30"/>
        <v>3.3605777246776825E-3</v>
      </c>
    </row>
    <row r="42" spans="1:28">
      <c r="B42" s="8">
        <v>10.29</v>
      </c>
      <c r="C42" s="8">
        <v>0.01</v>
      </c>
      <c r="D42" s="8">
        <v>1.61</v>
      </c>
      <c r="E42" s="8">
        <v>8.3320000000000007</v>
      </c>
      <c r="F42" s="11">
        <f t="shared" si="0"/>
        <v>8.3320000000000009E-3</v>
      </c>
      <c r="G42" s="8">
        <f t="shared" si="12"/>
        <v>6.391304347826086</v>
      </c>
      <c r="H42" s="8">
        <f t="shared" si="13"/>
        <v>4.0180513208536148E-2</v>
      </c>
      <c r="I42" s="8">
        <f t="shared" si="14"/>
        <v>10.045979815279017</v>
      </c>
      <c r="J42" s="8">
        <f t="shared" si="15"/>
        <v>0.12298094622961313</v>
      </c>
      <c r="K42" s="17">
        <f t="shared" si="16"/>
        <v>2003.5915632278186</v>
      </c>
      <c r="L42" s="6">
        <f t="shared" si="17"/>
        <v>7.5481274125190794</v>
      </c>
      <c r="M42" s="6">
        <f t="shared" si="18"/>
        <v>16.5669</v>
      </c>
      <c r="N42" s="6">
        <f t="shared" si="19"/>
        <v>0.10289999999999999</v>
      </c>
      <c r="O42" s="39">
        <f t="shared" si="20"/>
        <v>3.301809194283539</v>
      </c>
      <c r="P42" s="39">
        <f t="shared" si="21"/>
        <v>3.7672984609492585E-3</v>
      </c>
      <c r="Q42" s="9">
        <f t="shared" si="22"/>
        <v>-2.0792507387242916</v>
      </c>
      <c r="R42" s="3">
        <f t="shared" si="23"/>
        <v>5.2123677616808898E-5</v>
      </c>
      <c r="T42" s="39">
        <f t="shared" si="24"/>
        <v>8.3463190930755417E-3</v>
      </c>
      <c r="U42" s="39">
        <f t="shared" si="25"/>
        <v>-1.4319093075540815E-5</v>
      </c>
      <c r="V42" s="8">
        <f t="shared" si="26"/>
        <v>-2.0709195177168525</v>
      </c>
      <c r="W42" s="8">
        <f t="shared" si="11"/>
        <v>8.3312210074391047E-3</v>
      </c>
      <c r="Y42" s="39">
        <f t="shared" si="27"/>
        <v>8.4358295245342847E-3</v>
      </c>
      <c r="Z42" s="39">
        <f t="shared" si="29"/>
        <v>-1.0382952453428379E-4</v>
      </c>
      <c r="AA42" s="8">
        <f t="shared" si="28"/>
        <v>-2.0683472507154921</v>
      </c>
      <c r="AB42" s="3">
        <f t="shared" si="30"/>
        <v>-1.0903488008799478E-2</v>
      </c>
    </row>
    <row r="43" spans="1:28">
      <c r="B43" s="8">
        <v>10.46</v>
      </c>
      <c r="C43" s="8">
        <v>0.01</v>
      </c>
      <c r="D43" s="8">
        <v>1.63</v>
      </c>
      <c r="E43" s="8">
        <v>8.6039999999999992</v>
      </c>
      <c r="F43" s="11">
        <f t="shared" si="0"/>
        <v>8.6039999999999988E-3</v>
      </c>
      <c r="G43" s="8">
        <f t="shared" si="12"/>
        <v>6.4171779141104306</v>
      </c>
      <c r="H43" s="8">
        <f t="shared" si="13"/>
        <v>3.9844333886749753E-2</v>
      </c>
      <c r="I43" s="8">
        <f t="shared" si="14"/>
        <v>10.08664840348828</v>
      </c>
      <c r="J43" s="8">
        <f t="shared" si="15"/>
        <v>0.12307797663145031</v>
      </c>
      <c r="K43" s="17">
        <f t="shared" si="16"/>
        <v>2010.5216286992204</v>
      </c>
      <c r="L43" s="6">
        <f t="shared" si="17"/>
        <v>7.6600438667169826</v>
      </c>
      <c r="M43" s="6">
        <f t="shared" si="18"/>
        <v>17.049800000000001</v>
      </c>
      <c r="N43" s="6">
        <f t="shared" si="19"/>
        <v>0.10460000000000001</v>
      </c>
      <c r="O43" s="39">
        <f t="shared" si="20"/>
        <v>3.3033087494977198</v>
      </c>
      <c r="P43" s="39">
        <f t="shared" si="21"/>
        <v>3.8099783446114556E-3</v>
      </c>
      <c r="Q43" s="9">
        <f t="shared" si="22"/>
        <v>-2.0652995982845752</v>
      </c>
      <c r="R43" s="3">
        <f t="shared" si="23"/>
        <v>5.0475881206793564E-5</v>
      </c>
      <c r="T43" s="39">
        <f t="shared" si="24"/>
        <v>8.6133080496148748E-3</v>
      </c>
      <c r="U43" s="39">
        <f t="shared" si="25"/>
        <v>-9.3080496148759823E-6</v>
      </c>
      <c r="V43" s="8">
        <f t="shared" si="26"/>
        <v>-2.0644118445087543</v>
      </c>
      <c r="W43" s="8">
        <f t="shared" si="11"/>
        <v>8.8775377582095416E-4</v>
      </c>
      <c r="Y43" s="39">
        <f t="shared" si="27"/>
        <v>8.7137323549770513E-3</v>
      </c>
      <c r="Z43" s="39">
        <f t="shared" si="29"/>
        <v>-1.097323549770525E-4</v>
      </c>
      <c r="AA43" s="8">
        <f t="shared" si="28"/>
        <v>-2.0621505408574095</v>
      </c>
      <c r="AB43" s="3">
        <f t="shared" si="30"/>
        <v>-3.1490574271657579E-3</v>
      </c>
    </row>
    <row r="44" spans="1:28">
      <c r="B44" s="8">
        <v>10.93</v>
      </c>
      <c r="C44" s="8">
        <v>0.01</v>
      </c>
      <c r="D44" s="8">
        <v>1.67</v>
      </c>
      <c r="E44" s="8">
        <v>9.4719999999999995</v>
      </c>
      <c r="F44" s="11">
        <f t="shared" si="0"/>
        <v>9.4719999999999995E-3</v>
      </c>
      <c r="G44" s="8">
        <f t="shared" si="12"/>
        <v>6.544910179640719</v>
      </c>
      <c r="H44" s="8">
        <f t="shared" si="13"/>
        <v>3.9645896354665498E-2</v>
      </c>
      <c r="I44" s="8">
        <f t="shared" si="14"/>
        <v>10.287420529402389</v>
      </c>
      <c r="J44" s="8">
        <f t="shared" si="15"/>
        <v>0.12474198339176812</v>
      </c>
      <c r="K44" s="17">
        <f t="shared" si="16"/>
        <v>2044.6554437372727</v>
      </c>
      <c r="L44" s="6">
        <f t="shared" si="17"/>
        <v>7.972022528390923</v>
      </c>
      <c r="M44" s="6">
        <f t="shared" si="18"/>
        <v>18.2531</v>
      </c>
      <c r="N44" s="6">
        <f t="shared" si="19"/>
        <v>0.10930000000000001</v>
      </c>
      <c r="O44" s="39">
        <f t="shared" si="20"/>
        <v>3.3106201331300893</v>
      </c>
      <c r="P44" s="39">
        <f t="shared" si="21"/>
        <v>3.8989564490237339E-3</v>
      </c>
      <c r="Q44" s="9">
        <f t="shared" si="22"/>
        <v>-2.0235583106211554</v>
      </c>
      <c r="R44" s="3">
        <f t="shared" si="23"/>
        <v>4.5850346484718307E-5</v>
      </c>
      <c r="T44" s="39">
        <f t="shared" si="24"/>
        <v>9.2785965387508773E-3</v>
      </c>
      <c r="U44" s="39">
        <f t="shared" si="25"/>
        <v>1.9340346124912221E-4</v>
      </c>
      <c r="V44" s="8">
        <f t="shared" si="26"/>
        <v>-2.0326823723769181</v>
      </c>
      <c r="W44" s="8">
        <f t="shared" si="11"/>
        <v>-9.1240617557626358E-3</v>
      </c>
      <c r="Y44" s="39">
        <f t="shared" si="27"/>
        <v>9.4062162561403991E-3</v>
      </c>
      <c r="Z44" s="39">
        <f t="shared" si="29"/>
        <v>6.5783743859600466E-5</v>
      </c>
      <c r="AA44" s="8">
        <f t="shared" si="28"/>
        <v>-2.0319372332029211</v>
      </c>
      <c r="AB44" s="3">
        <f t="shared" si="30"/>
        <v>8.3789225817656465E-3</v>
      </c>
    </row>
    <row r="45" spans="1:28">
      <c r="B45" s="8">
        <v>11.15</v>
      </c>
      <c r="C45" s="8">
        <v>0.01</v>
      </c>
      <c r="D45" s="8">
        <v>1.68</v>
      </c>
      <c r="E45" s="8">
        <v>9.5990000000000002</v>
      </c>
      <c r="F45" s="11">
        <f t="shared" si="0"/>
        <v>9.5989999999999999E-3</v>
      </c>
      <c r="G45" s="8">
        <f t="shared" si="12"/>
        <v>6.6369047619047628</v>
      </c>
      <c r="H45" s="8">
        <f t="shared" si="13"/>
        <v>3.9951299372116583E-2</v>
      </c>
      <c r="I45" s="8">
        <f t="shared" si="14"/>
        <v>10.432019451037839</v>
      </c>
      <c r="J45" s="8">
        <f t="shared" si="15"/>
        <v>0.12629804743112849</v>
      </c>
      <c r="K45" s="17">
        <f t="shared" si="16"/>
        <v>2069.1582912088638</v>
      </c>
      <c r="L45" s="6">
        <f t="shared" si="17"/>
        <v>8.1241236798781955</v>
      </c>
      <c r="M45" s="6">
        <f t="shared" si="18"/>
        <v>18.731999999999999</v>
      </c>
      <c r="N45" s="6">
        <f t="shared" si="19"/>
        <v>0.1115</v>
      </c>
      <c r="O45" s="39">
        <f t="shared" si="20"/>
        <v>3.3157937155903214</v>
      </c>
      <c r="P45" s="39">
        <f t="shared" si="21"/>
        <v>3.9262939497643947E-3</v>
      </c>
      <c r="Q45" s="9">
        <f t="shared" si="22"/>
        <v>-2.0177740083253251</v>
      </c>
      <c r="R45" s="3">
        <f t="shared" si="23"/>
        <v>4.5243721419236564E-5</v>
      </c>
      <c r="T45" s="39">
        <f t="shared" si="24"/>
        <v>9.5433739487460825E-3</v>
      </c>
      <c r="U45" s="39">
        <f t="shared" si="25"/>
        <v>5.5626051253917369E-5</v>
      </c>
      <c r="V45" s="8">
        <f t="shared" si="26"/>
        <v>-2.0102303921844236</v>
      </c>
      <c r="W45" s="8">
        <f t="shared" si="11"/>
        <v>7.5436161409014879E-3</v>
      </c>
      <c r="Y45" s="39">
        <f t="shared" si="27"/>
        <v>9.6818171372732229E-3</v>
      </c>
      <c r="Z45" s="39">
        <f t="shared" si="29"/>
        <v>-8.2817137273222957E-5</v>
      </c>
      <c r="AA45" s="8">
        <f t="shared" si="28"/>
        <v>-2.0105581008243618</v>
      </c>
      <c r="AB45" s="3">
        <f t="shared" si="30"/>
        <v>-7.2159075009632367E-3</v>
      </c>
    </row>
    <row r="46" spans="1:28">
      <c r="B46" s="8">
        <v>11.27</v>
      </c>
      <c r="C46" s="8">
        <v>0.01</v>
      </c>
      <c r="D46" s="8">
        <v>1.69</v>
      </c>
      <c r="E46" s="8">
        <v>9.8160000000000007</v>
      </c>
      <c r="F46" s="11">
        <f t="shared" si="0"/>
        <v>9.8160000000000001E-3</v>
      </c>
      <c r="G46" s="8">
        <f t="shared" si="12"/>
        <v>6.668639053254438</v>
      </c>
      <c r="H46" s="8">
        <f t="shared" si="13"/>
        <v>3.9900591971587879E-2</v>
      </c>
      <c r="I46" s="8">
        <f t="shared" si="14"/>
        <v>10.481900043949903</v>
      </c>
      <c r="J46" s="8">
        <f t="shared" si="15"/>
        <v>0.12671344912399549</v>
      </c>
      <c r="K46" s="17">
        <f t="shared" si="16"/>
        <v>2077.5950541343627</v>
      </c>
      <c r="L46" s="6">
        <f t="shared" si="17"/>
        <v>8.2012290190420707</v>
      </c>
      <c r="M46" s="6">
        <f t="shared" si="18"/>
        <v>19.046299999999999</v>
      </c>
      <c r="N46" s="6">
        <f t="shared" si="19"/>
        <v>0.11269999999999999</v>
      </c>
      <c r="O46" s="39">
        <f t="shared" si="20"/>
        <v>3.3175609027529793</v>
      </c>
      <c r="P46" s="39">
        <f t="shared" si="21"/>
        <v>3.9474627178774941E-3</v>
      </c>
      <c r="Q46" s="9">
        <f t="shared" si="22"/>
        <v>-2.0080654502810522</v>
      </c>
      <c r="R46" s="3">
        <f t="shared" si="23"/>
        <v>4.4243529126248137E-5</v>
      </c>
      <c r="T46" s="39">
        <f t="shared" si="24"/>
        <v>9.7171462184506008E-3</v>
      </c>
      <c r="U46" s="39">
        <f t="shared" si="25"/>
        <v>9.8853781549399292E-5</v>
      </c>
      <c r="V46" s="8">
        <f t="shared" si="26"/>
        <v>-2.0025612670709432</v>
      </c>
      <c r="W46" s="8">
        <f t="shared" si="11"/>
        <v>5.5041832101090371E-3</v>
      </c>
      <c r="Y46" s="39">
        <f t="shared" si="27"/>
        <v>9.8626928043019264E-3</v>
      </c>
      <c r="Z46" s="39">
        <f t="shared" si="29"/>
        <v>-4.6692804301926363E-5</v>
      </c>
      <c r="AA46" s="8">
        <f t="shared" si="28"/>
        <v>-2.0032554380025029</v>
      </c>
      <c r="AB46" s="3">
        <f t="shared" si="30"/>
        <v>-4.8100122785492694E-3</v>
      </c>
    </row>
    <row r="47" spans="1:28">
      <c r="B47" s="8">
        <v>11.45</v>
      </c>
      <c r="C47" s="8">
        <v>0.01</v>
      </c>
      <c r="D47" s="8">
        <v>1.71</v>
      </c>
      <c r="E47" s="8">
        <v>10.052</v>
      </c>
      <c r="F47" s="11">
        <f t="shared" si="0"/>
        <v>1.0052E-2</v>
      </c>
      <c r="G47" s="8">
        <f t="shared" si="12"/>
        <v>6.6959064327485374</v>
      </c>
      <c r="H47" s="8">
        <f t="shared" si="13"/>
        <v>3.9591620638088194E-2</v>
      </c>
      <c r="I47" s="8">
        <f t="shared" si="14"/>
        <v>10.524759455598238</v>
      </c>
      <c r="J47" s="8">
        <f t="shared" si="15"/>
        <v>0.12686591084134741</v>
      </c>
      <c r="K47" s="17">
        <f t="shared" si="16"/>
        <v>2084.8378285752756</v>
      </c>
      <c r="L47" s="6">
        <f t="shared" si="17"/>
        <v>8.3089839676303257</v>
      </c>
      <c r="M47" s="6">
        <f t="shared" si="18"/>
        <v>19.579499999999999</v>
      </c>
      <c r="N47" s="6">
        <f t="shared" si="19"/>
        <v>0.1145</v>
      </c>
      <c r="O47" s="39">
        <f t="shared" si="20"/>
        <v>3.3190722785452427</v>
      </c>
      <c r="P47" s="39">
        <f t="shared" si="21"/>
        <v>3.9854341924083709E-3</v>
      </c>
      <c r="Q47" s="9">
        <f t="shared" si="22"/>
        <v>-1.9977475200794617</v>
      </c>
      <c r="R47" s="3">
        <f t="shared" si="23"/>
        <v>4.3204783317076379E-5</v>
      </c>
      <c r="T47" s="39">
        <f t="shared" si="24"/>
        <v>1.0011945372782289E-2</v>
      </c>
      <c r="U47" s="39">
        <f t="shared" si="25"/>
        <v>4.0054627217711233E-5</v>
      </c>
      <c r="V47" s="8">
        <f t="shared" si="26"/>
        <v>-1.9960022956788475</v>
      </c>
      <c r="W47" s="8">
        <f t="shared" si="11"/>
        <v>1.7452244006141981E-3</v>
      </c>
      <c r="Y47" s="39">
        <f t="shared" si="27"/>
        <v>1.0169542647317216E-2</v>
      </c>
      <c r="Z47" s="39">
        <f t="shared" si="29"/>
        <v>-1.1754264731721545E-4</v>
      </c>
      <c r="AA47" s="8">
        <f t="shared" si="28"/>
        <v>-1.997009881198311</v>
      </c>
      <c r="AB47" s="3">
        <f t="shared" si="30"/>
        <v>-7.3763888115063736E-4</v>
      </c>
    </row>
    <row r="48" spans="1:28">
      <c r="B48" s="8">
        <v>11.59</v>
      </c>
      <c r="C48" s="8">
        <v>0.01</v>
      </c>
      <c r="D48" s="8">
        <v>1.72</v>
      </c>
      <c r="E48" s="8">
        <v>10.236000000000001</v>
      </c>
      <c r="F48" s="11">
        <f t="shared" si="0"/>
        <v>1.0236E-2</v>
      </c>
      <c r="G48" s="8">
        <f t="shared" si="12"/>
        <v>6.7383720930232558</v>
      </c>
      <c r="H48" s="8">
        <f t="shared" si="13"/>
        <v>3.9605638832965626E-2</v>
      </c>
      <c r="I48" s="8">
        <f t="shared" si="14"/>
        <v>10.591507828503907</v>
      </c>
      <c r="J48" s="8">
        <f t="shared" si="15"/>
        <v>0.12748812476062499</v>
      </c>
      <c r="K48" s="17">
        <f t="shared" si="16"/>
        <v>2096.1057394104373</v>
      </c>
      <c r="L48" s="6">
        <f t="shared" si="17"/>
        <v>8.398698070692685</v>
      </c>
      <c r="M48" s="6">
        <f t="shared" si="18"/>
        <v>19.934799999999999</v>
      </c>
      <c r="N48" s="6">
        <f t="shared" si="19"/>
        <v>0.1159</v>
      </c>
      <c r="O48" s="39">
        <f t="shared" si="20"/>
        <v>3.3214131871304722</v>
      </c>
      <c r="P48" s="39">
        <f t="shared" si="21"/>
        <v>4.0068103019721473E-3</v>
      </c>
      <c r="Q48" s="9">
        <f t="shared" si="22"/>
        <v>-1.9898697227848521</v>
      </c>
      <c r="R48" s="3">
        <f t="shared" si="23"/>
        <v>4.2428143992111347E-5</v>
      </c>
      <c r="T48" s="39">
        <f t="shared" si="24"/>
        <v>1.0208385994564074E-2</v>
      </c>
      <c r="U48" s="39">
        <f t="shared" si="25"/>
        <v>2.7614005435926472E-5</v>
      </c>
      <c r="V48" s="8">
        <f t="shared" si="26"/>
        <v>-1.9858433712600299</v>
      </c>
      <c r="W48" s="8">
        <f t="shared" si="11"/>
        <v>4.0263515248222248E-3</v>
      </c>
      <c r="Y48" s="39">
        <f t="shared" si="27"/>
        <v>1.0374013294772827E-2</v>
      </c>
      <c r="Z48" s="39">
        <f t="shared" si="29"/>
        <v>-1.3801329477282701E-4</v>
      </c>
      <c r="AA48" s="8">
        <f t="shared" si="28"/>
        <v>-1.98733639190643</v>
      </c>
      <c r="AB48" s="3">
        <f t="shared" si="30"/>
        <v>-2.5333308784221131E-3</v>
      </c>
    </row>
    <row r="49" spans="1:28">
      <c r="B49" s="8">
        <v>11.71</v>
      </c>
      <c r="C49" s="8">
        <v>0.01</v>
      </c>
      <c r="D49" s="8">
        <v>1.73</v>
      </c>
      <c r="E49" s="8">
        <v>10.435</v>
      </c>
      <c r="F49" s="11">
        <f t="shared" si="0"/>
        <v>1.0435000000000002E-2</v>
      </c>
      <c r="G49" s="8">
        <f t="shared" si="12"/>
        <v>6.7687861271676306</v>
      </c>
      <c r="H49" s="8">
        <f t="shared" si="13"/>
        <v>3.9550612068716323E-2</v>
      </c>
      <c r="I49" s="8">
        <f t="shared" si="14"/>
        <v>10.639313214773694</v>
      </c>
      <c r="J49" s="8">
        <f t="shared" si="15"/>
        <v>0.12788451275811732</v>
      </c>
      <c r="K49" s="17">
        <f t="shared" si="16"/>
        <v>2104.1669900026263</v>
      </c>
      <c r="L49" s="6">
        <f t="shared" si="17"/>
        <v>8.4729470260079722</v>
      </c>
      <c r="M49" s="6">
        <f t="shared" si="18"/>
        <v>20.258300000000002</v>
      </c>
      <c r="N49" s="6">
        <f t="shared" si="19"/>
        <v>0.11710000000000001</v>
      </c>
      <c r="O49" s="39">
        <f t="shared" si="20"/>
        <v>3.3230802031427444</v>
      </c>
      <c r="P49" s="39">
        <f t="shared" si="21"/>
        <v>4.0267464827006896E-3</v>
      </c>
      <c r="Q49" s="9">
        <f t="shared" si="22"/>
        <v>-1.981507546598527</v>
      </c>
      <c r="R49" s="3">
        <f t="shared" si="23"/>
        <v>4.1619020786128579E-5</v>
      </c>
      <c r="T49" s="39">
        <f t="shared" si="24"/>
        <v>1.0387244821320078E-2</v>
      </c>
      <c r="U49" s="39">
        <f t="shared" si="25"/>
        <v>4.7755178679923307E-5</v>
      </c>
      <c r="V49" s="8">
        <f t="shared" si="26"/>
        <v>-1.9786089624580434</v>
      </c>
      <c r="W49" s="8">
        <f t="shared" si="11"/>
        <v>2.8985841404836066E-3</v>
      </c>
      <c r="Y49" s="39">
        <f t="shared" si="27"/>
        <v>1.0560183445214401E-2</v>
      </c>
      <c r="Z49" s="39">
        <f t="shared" si="29"/>
        <v>-1.2518344521439927E-4</v>
      </c>
      <c r="AA49" s="8">
        <f t="shared" si="28"/>
        <v>-1.9804476728655143</v>
      </c>
      <c r="AB49" s="3">
        <f t="shared" si="30"/>
        <v>-1.0598737330127506E-3</v>
      </c>
    </row>
    <row r="50" spans="1:28">
      <c r="B50" s="8">
        <v>11.95</v>
      </c>
      <c r="C50" s="8">
        <v>0.01</v>
      </c>
      <c r="D50" s="8">
        <v>1.75</v>
      </c>
      <c r="E50" s="8">
        <v>10.834</v>
      </c>
      <c r="F50" s="11">
        <f t="shared" si="0"/>
        <v>1.0834E-2</v>
      </c>
      <c r="G50" s="8">
        <f t="shared" si="12"/>
        <v>6.8285714285714283</v>
      </c>
      <c r="H50" s="8">
        <f t="shared" si="13"/>
        <v>3.9436598667383971E-2</v>
      </c>
      <c r="I50" s="8">
        <f t="shared" si="14"/>
        <v>10.733284945498301</v>
      </c>
      <c r="J50" s="8">
        <f t="shared" si="15"/>
        <v>0.12866159319539586</v>
      </c>
      <c r="K50" s="17">
        <f t="shared" si="16"/>
        <v>2119.9915474396735</v>
      </c>
      <c r="L50" s="6">
        <f t="shared" si="17"/>
        <v>8.6193265538201587</v>
      </c>
      <c r="M50" s="6">
        <f t="shared" si="18"/>
        <v>20.912499999999998</v>
      </c>
      <c r="N50" s="6">
        <f t="shared" si="19"/>
        <v>0.1195</v>
      </c>
      <c r="O50" s="39">
        <f t="shared" si="20"/>
        <v>3.3263341293685507</v>
      </c>
      <c r="P50" s="39">
        <f t="shared" si="21"/>
        <v>4.0657362828780009E-3</v>
      </c>
      <c r="Q50" s="9">
        <f t="shared" si="22"/>
        <v>-1.9652111687488161</v>
      </c>
      <c r="R50" s="3">
        <f t="shared" si="23"/>
        <v>4.008625456001955E-5</v>
      </c>
      <c r="T50" s="39">
        <f t="shared" si="24"/>
        <v>1.0748943258611501E-2</v>
      </c>
      <c r="U50" s="39">
        <f t="shared" si="25"/>
        <v>8.5056741388499224E-5</v>
      </c>
      <c r="V50" s="8">
        <f t="shared" si="26"/>
        <v>-1.9644877828438769</v>
      </c>
      <c r="W50" s="8">
        <f t="shared" si="11"/>
        <v>7.2338590493914445E-4</v>
      </c>
      <c r="Y50" s="39">
        <f t="shared" si="27"/>
        <v>1.0936667254855436E-2</v>
      </c>
      <c r="Z50" s="39">
        <f t="shared" si="29"/>
        <v>-1.026672548554361E-4</v>
      </c>
      <c r="AA50" s="8">
        <f t="shared" si="28"/>
        <v>-1.9670012612027428</v>
      </c>
      <c r="AB50" s="3">
        <f t="shared" si="30"/>
        <v>1.7900924539266949E-3</v>
      </c>
    </row>
    <row r="51" spans="1:28">
      <c r="A51" s="44" t="s">
        <v>71</v>
      </c>
      <c r="B51" s="45">
        <v>11.86</v>
      </c>
      <c r="C51" s="45">
        <v>0.01</v>
      </c>
      <c r="D51" s="45">
        <v>1.74</v>
      </c>
      <c r="E51" s="45">
        <v>11.003</v>
      </c>
      <c r="F51" s="46">
        <f t="shared" si="0"/>
        <v>1.1003000000000001E-2</v>
      </c>
      <c r="G51" s="45">
        <f t="shared" ref="G51:G63" si="31">B51/D51</f>
        <v>6.8160919540229878</v>
      </c>
      <c r="H51" s="45">
        <f t="shared" ref="H51:H63" si="32">SQRT((1/D51)^2*$G$2^2+(-B51/(D51^2))^2*$G$2^2)</f>
        <v>3.9592282934155225E-2</v>
      </c>
      <c r="I51" s="45">
        <f t="shared" ref="I51:I63" si="33">G51/$D$2</f>
        <v>10.713669458174252</v>
      </c>
      <c r="J51" s="45">
        <f t="shared" ref="J51:J63" si="34">SQRT(((H51/$D$2)^2)+(((G51*$D$3)/($D$2^2))^2))</f>
        <v>0.12859931689349102</v>
      </c>
      <c r="K51" s="47">
        <f t="shared" ref="K51:K63" si="35">-1.6181*(I51^2)+202.98*I51+127.76</f>
        <v>2116.6907182957962</v>
      </c>
      <c r="L51" s="48">
        <f t="shared" ref="L51:L63" si="36">ABS(I51*(-16181)/(5000)+10149/50*J51)</f>
        <v>8.5684877575027087</v>
      </c>
      <c r="M51" s="48">
        <f t="shared" ref="M51:M63" si="37">B51*D51</f>
        <v>20.636399999999998</v>
      </c>
      <c r="N51" s="48">
        <f t="shared" ref="N51:N63" si="38">SQRT(D51^2*$K$3^2+B51^2*$G$2^2)</f>
        <v>0.1186</v>
      </c>
      <c r="O51" s="49">
        <f t="shared" ref="O51:O63" si="39">LOG(K51)</f>
        <v>3.3256574054213526</v>
      </c>
      <c r="P51" s="49">
        <f t="shared" ref="P51:P63" si="40">ABS(1/K51 * L51)</f>
        <v>4.0480584543789305E-3</v>
      </c>
      <c r="Q51" s="50">
        <f t="shared" ref="Q51:Q63" si="41">LOG(F51)</f>
        <v>-1.9584888870406767</v>
      </c>
      <c r="R51" s="51">
        <f t="shared" ref="R51:R63" si="42">$G$3/(LN(10)*F51)</f>
        <v>3.9470551840702691E-5</v>
      </c>
      <c r="S51" s="44"/>
      <c r="T51" s="49">
        <f t="shared" ref="T51:T63" si="43">$I$70*M51+$J$70</f>
        <v>1.0596291258403365E-2</v>
      </c>
      <c r="U51" s="49">
        <f t="shared" si="25"/>
        <v>4.0670874159663521E-4</v>
      </c>
      <c r="V51" s="45">
        <f t="shared" ref="V51:V63" si="44">$I$103*O51+$J$103</f>
        <v>-1.9674245858764117</v>
      </c>
      <c r="W51" s="45">
        <f t="shared" ref="W51:W63" si="45">V51-Q51</f>
        <v>-8.9356988357349731E-3</v>
      </c>
      <c r="X51" s="44"/>
      <c r="Y51" s="49">
        <f t="shared" ref="Y51:Y63" si="46">$S$70*M51+$T$70</f>
        <v>1.077777520373668E-2</v>
      </c>
      <c r="Z51" s="49">
        <f t="shared" si="29"/>
        <v>2.2522479626332047E-4</v>
      </c>
      <c r="AA51" s="45">
        <f t="shared" ref="AA51:AA63" si="47">$S$103*O51+$T$103</f>
        <v>-1.9697977317262332</v>
      </c>
      <c r="AB51" s="51">
        <f t="shared" si="30"/>
        <v>1.1308844685556485E-2</v>
      </c>
    </row>
    <row r="52" spans="1:28">
      <c r="B52" s="8">
        <v>11.58</v>
      </c>
      <c r="C52" s="8">
        <v>0.01</v>
      </c>
      <c r="D52" s="8">
        <v>1.71</v>
      </c>
      <c r="E52" s="8">
        <v>10.362</v>
      </c>
      <c r="F52" s="11">
        <f t="shared" si="0"/>
        <v>1.0362E-2</v>
      </c>
      <c r="G52" s="8">
        <f t="shared" si="31"/>
        <v>6.7719298245614041</v>
      </c>
      <c r="H52" s="8">
        <f t="shared" si="32"/>
        <v>4.0031379209198609E-2</v>
      </c>
      <c r="I52" s="8">
        <f t="shared" si="33"/>
        <v>10.644254541120317</v>
      </c>
      <c r="J52" s="8">
        <f t="shared" si="34"/>
        <v>0.12829879058093116</v>
      </c>
      <c r="K52" s="17">
        <f t="shared" si="35"/>
        <v>2104.9998063780204</v>
      </c>
      <c r="L52" s="6">
        <f t="shared" si="36"/>
        <v>8.4048480338561653</v>
      </c>
      <c r="M52" s="6">
        <f t="shared" si="37"/>
        <v>19.8018</v>
      </c>
      <c r="N52" s="6">
        <f t="shared" si="38"/>
        <v>0.1158</v>
      </c>
      <c r="O52" s="39">
        <f t="shared" si="39"/>
        <v>3.3232520602244371</v>
      </c>
      <c r="P52" s="39">
        <f t="shared" si="40"/>
        <v>3.9928022835869111E-3</v>
      </c>
      <c r="Q52" s="9">
        <f t="shared" si="41"/>
        <v>-1.9845564120488977</v>
      </c>
      <c r="R52" s="3">
        <f t="shared" si="42"/>
        <v>4.1912225622780524E-5</v>
      </c>
      <c r="T52" s="39">
        <f t="shared" si="43"/>
        <v>1.0134852071971963E-2</v>
      </c>
      <c r="U52" s="39">
        <f t="shared" si="25"/>
        <v>2.2714792802803682E-4</v>
      </c>
      <c r="V52" s="8">
        <f t="shared" si="44"/>
        <v>-1.9778631481555244</v>
      </c>
      <c r="W52" s="8">
        <f t="shared" si="45"/>
        <v>6.6932638933732136E-3</v>
      </c>
      <c r="Y52" s="39">
        <f t="shared" si="46"/>
        <v>1.0297473480217251E-2</v>
      </c>
      <c r="Z52" s="39">
        <f t="shared" si="29"/>
        <v>6.4526519782748606E-5</v>
      </c>
      <c r="AA52" s="8">
        <f t="shared" si="47"/>
        <v>-1.9797374966330974</v>
      </c>
      <c r="AB52" s="3">
        <f t="shared" si="30"/>
        <v>-4.8189154158002623E-3</v>
      </c>
    </row>
    <row r="53" spans="1:28">
      <c r="B53" s="8">
        <v>11.26</v>
      </c>
      <c r="C53" s="8">
        <v>0.01</v>
      </c>
      <c r="D53" s="8">
        <v>1.69</v>
      </c>
      <c r="E53" s="8">
        <v>10.022</v>
      </c>
      <c r="F53" s="11">
        <f t="shared" si="0"/>
        <v>1.0022E-2</v>
      </c>
      <c r="G53" s="8">
        <f t="shared" si="31"/>
        <v>6.6627218934911241</v>
      </c>
      <c r="H53" s="8">
        <f t="shared" si="32"/>
        <v>3.9865966673771791E-2</v>
      </c>
      <c r="I53" s="8">
        <f t="shared" si="33"/>
        <v>10.472599334061748</v>
      </c>
      <c r="J53" s="8">
        <f t="shared" si="34"/>
        <v>0.12660162083675638</v>
      </c>
      <c r="K53" s="17">
        <f t="shared" si="35"/>
        <v>2076.0225503326951</v>
      </c>
      <c r="L53" s="6">
        <f t="shared" si="36"/>
        <v>8.1938289674458211</v>
      </c>
      <c r="M53" s="6">
        <f t="shared" si="37"/>
        <v>19.029399999999999</v>
      </c>
      <c r="N53" s="6">
        <f t="shared" si="38"/>
        <v>0.11260000000000001</v>
      </c>
      <c r="O53" s="39">
        <f t="shared" si="39"/>
        <v>3.317232066629149</v>
      </c>
      <c r="P53" s="39">
        <f t="shared" si="40"/>
        <v>3.946888229192265E-3</v>
      </c>
      <c r="Q53" s="9">
        <f t="shared" si="41"/>
        <v>-1.9990456015935421</v>
      </c>
      <c r="R53" s="3">
        <f t="shared" si="42"/>
        <v>4.3334113141414066E-5</v>
      </c>
      <c r="T53" s="39">
        <f t="shared" si="43"/>
        <v>9.7078024343016794E-3</v>
      </c>
      <c r="U53" s="39">
        <f t="shared" si="25"/>
        <v>3.1419756569832022E-4</v>
      </c>
      <c r="V53" s="8">
        <f t="shared" si="44"/>
        <v>-2.0039883289174618</v>
      </c>
      <c r="W53" s="8">
        <f t="shared" si="45"/>
        <v>-4.94272732391976E-3</v>
      </c>
      <c r="Y53" s="39">
        <f t="shared" si="46"/>
        <v>9.8529670684674216E-3</v>
      </c>
      <c r="Z53" s="39">
        <f t="shared" si="29"/>
        <v>1.6903293153257802E-4</v>
      </c>
      <c r="AA53" s="8">
        <f t="shared" si="47"/>
        <v>-2.0046143089736841</v>
      </c>
      <c r="AB53" s="3">
        <f t="shared" si="30"/>
        <v>5.568707380142035E-3</v>
      </c>
    </row>
    <row r="54" spans="1:28">
      <c r="B54" s="8">
        <v>10.82</v>
      </c>
      <c r="C54" s="8">
        <v>0.01</v>
      </c>
      <c r="D54" s="8">
        <v>1.66</v>
      </c>
      <c r="E54" s="8">
        <v>9.4459999999999997</v>
      </c>
      <c r="F54" s="11">
        <f t="shared" si="0"/>
        <v>9.4459999999999995E-3</v>
      </c>
      <c r="G54" s="8">
        <f t="shared" si="31"/>
        <v>6.5180722891566267</v>
      </c>
      <c r="H54" s="8">
        <f t="shared" si="32"/>
        <v>3.9724915245066751E-2</v>
      </c>
      <c r="I54" s="8">
        <f t="shared" si="33"/>
        <v>10.24523619715735</v>
      </c>
      <c r="J54" s="8">
        <f t="shared" si="34"/>
        <v>0.1244206055910668</v>
      </c>
      <c r="K54" s="17">
        <f t="shared" si="35"/>
        <v>2037.4943956704162</v>
      </c>
      <c r="L54" s="6">
        <f t="shared" si="36"/>
        <v>7.9007388583658837</v>
      </c>
      <c r="M54" s="6">
        <f t="shared" si="37"/>
        <v>17.961199999999998</v>
      </c>
      <c r="N54" s="6">
        <f t="shared" si="38"/>
        <v>0.1082</v>
      </c>
      <c r="O54" s="39">
        <f t="shared" si="39"/>
        <v>3.3090964228437882</v>
      </c>
      <c r="P54" s="39">
        <f t="shared" si="40"/>
        <v>3.8776739092655165E-3</v>
      </c>
      <c r="Q54" s="9">
        <f t="shared" si="41"/>
        <v>-2.0247520587593191</v>
      </c>
      <c r="R54" s="3">
        <f t="shared" si="42"/>
        <v>4.5976549005214033E-5</v>
      </c>
      <c r="T54" s="39">
        <f t="shared" si="43"/>
        <v>9.1172089296934523E-3</v>
      </c>
      <c r="U54" s="39">
        <f t="shared" si="25"/>
        <v>3.287910703065472E-4</v>
      </c>
      <c r="V54" s="8">
        <f t="shared" si="44"/>
        <v>-2.0392948722124</v>
      </c>
      <c r="W54" s="8">
        <f t="shared" si="45"/>
        <v>-1.4542813453080949E-2</v>
      </c>
      <c r="Y54" s="39">
        <f t="shared" si="46"/>
        <v>9.2382315052473695E-3</v>
      </c>
      <c r="Z54" s="39">
        <f t="shared" si="29"/>
        <v>2.0776849475263003E-4</v>
      </c>
      <c r="AA54" s="8">
        <f t="shared" si="47"/>
        <v>-2.0382337606416545</v>
      </c>
      <c r="AB54" s="3">
        <f t="shared" si="30"/>
        <v>1.348170188233544E-2</v>
      </c>
    </row>
    <row r="55" spans="1:28">
      <c r="B55" s="8">
        <v>10.57</v>
      </c>
      <c r="C55" s="8">
        <v>0.01</v>
      </c>
      <c r="D55" s="8">
        <v>1.64</v>
      </c>
      <c r="E55" s="8">
        <v>9.0229999999999997</v>
      </c>
      <c r="F55" s="11">
        <f t="shared" si="0"/>
        <v>9.0229999999999998E-3</v>
      </c>
      <c r="G55" s="8">
        <f t="shared" si="31"/>
        <v>6.4451219512195124</v>
      </c>
      <c r="H55" s="8">
        <f t="shared" si="32"/>
        <v>3.9769747846472414E-2</v>
      </c>
      <c r="I55" s="8">
        <f t="shared" si="33"/>
        <v>10.13057139908944</v>
      </c>
      <c r="J55" s="8">
        <f t="shared" si="34"/>
        <v>0.12341595672464592</v>
      </c>
      <c r="K55" s="17">
        <f t="shared" si="35"/>
        <v>2018.000244160512</v>
      </c>
      <c r="L55" s="6">
        <f t="shared" si="36"/>
        <v>7.7335842657646161</v>
      </c>
      <c r="M55" s="6">
        <f t="shared" si="37"/>
        <v>17.334799999999998</v>
      </c>
      <c r="N55" s="6">
        <f t="shared" si="38"/>
        <v>0.1057</v>
      </c>
      <c r="O55" s="39">
        <f t="shared" si="39"/>
        <v>3.3049212144467575</v>
      </c>
      <c r="P55" s="39">
        <f t="shared" si="40"/>
        <v>3.8323009564261903E-3</v>
      </c>
      <c r="Q55" s="9">
        <f t="shared" si="41"/>
        <v>-2.04464904263234</v>
      </c>
      <c r="R55" s="3">
        <f t="shared" si="42"/>
        <v>4.8131938590629701E-5</v>
      </c>
      <c r="T55" s="39">
        <f t="shared" si="43"/>
        <v>8.7708807408836825E-3</v>
      </c>
      <c r="U55" s="39">
        <f t="shared" si="25"/>
        <v>2.5211925911631725E-4</v>
      </c>
      <c r="V55" s="8">
        <f t="shared" si="44"/>
        <v>-2.0574141729001223</v>
      </c>
      <c r="W55" s="8">
        <f t="shared" si="45"/>
        <v>-1.2765130267782254E-2</v>
      </c>
      <c r="Y55" s="39">
        <f t="shared" si="46"/>
        <v>8.877746243310428E-3</v>
      </c>
      <c r="Z55" s="39">
        <f t="shared" si="29"/>
        <v>1.4525375668957181E-4</v>
      </c>
      <c r="AA55" s="8">
        <f t="shared" si="47"/>
        <v>-2.0554872467345753</v>
      </c>
      <c r="AB55" s="3">
        <f t="shared" si="30"/>
        <v>1.0838204102235238E-2</v>
      </c>
    </row>
    <row r="56" spans="1:28">
      <c r="B56" s="8">
        <v>10.14</v>
      </c>
      <c r="C56" s="8">
        <v>0.01</v>
      </c>
      <c r="D56" s="8">
        <v>1.6</v>
      </c>
      <c r="E56" s="8">
        <v>8.43</v>
      </c>
      <c r="F56" s="11">
        <f t="shared" si="0"/>
        <v>8.43E-3</v>
      </c>
      <c r="G56" s="8">
        <f t="shared" si="31"/>
        <v>6.3375000000000004</v>
      </c>
      <c r="H56" s="8">
        <f t="shared" si="32"/>
        <v>4.009943999472592E-2</v>
      </c>
      <c r="I56" s="8">
        <f t="shared" si="33"/>
        <v>9.9614090668340687</v>
      </c>
      <c r="J56" s="8">
        <f t="shared" si="34"/>
        <v>0.12215373751642317</v>
      </c>
      <c r="K56" s="17">
        <f t="shared" si="35"/>
        <v>1989.1632823932907</v>
      </c>
      <c r="L56" s="6">
        <f t="shared" si="36"/>
        <v>7.442346381004846</v>
      </c>
      <c r="M56" s="6">
        <f t="shared" si="37"/>
        <v>16.224</v>
      </c>
      <c r="N56" s="6">
        <f t="shared" si="38"/>
        <v>0.1014</v>
      </c>
      <c r="O56" s="39">
        <f t="shared" si="39"/>
        <v>3.2986704340705653</v>
      </c>
      <c r="P56" s="39">
        <f t="shared" si="40"/>
        <v>3.74144568567065E-3</v>
      </c>
      <c r="Q56" s="9">
        <f t="shared" si="41"/>
        <v>-2.0741724253752576</v>
      </c>
      <c r="R56" s="3">
        <f t="shared" si="42"/>
        <v>5.151773213561706E-5</v>
      </c>
      <c r="T56" s="39">
        <f t="shared" si="43"/>
        <v>8.156734265580539E-3</v>
      </c>
      <c r="U56" s="39">
        <f t="shared" si="25"/>
        <v>2.7326573441946098E-4</v>
      </c>
      <c r="V56" s="8">
        <f t="shared" si="44"/>
        <v>-2.0845409072805392</v>
      </c>
      <c r="W56" s="8">
        <f t="shared" si="45"/>
        <v>-1.0368481905281612E-2</v>
      </c>
      <c r="Y56" s="39">
        <f t="shared" si="46"/>
        <v>8.2384949199394951E-3</v>
      </c>
      <c r="Z56" s="39">
        <f t="shared" si="29"/>
        <v>1.915050800605049E-4</v>
      </c>
      <c r="AA56" s="8">
        <f t="shared" si="47"/>
        <v>-2.0813177543488131</v>
      </c>
      <c r="AB56" s="3">
        <f t="shared" si="30"/>
        <v>7.1453289735554648E-3</v>
      </c>
    </row>
    <row r="57" spans="1:28">
      <c r="B57" s="8">
        <v>9.8800000000000008</v>
      </c>
      <c r="C57" s="8">
        <v>0.01</v>
      </c>
      <c r="D57" s="8">
        <v>1.58</v>
      </c>
      <c r="E57" s="8">
        <v>8.1539999999999999</v>
      </c>
      <c r="F57" s="11">
        <f t="shared" si="0"/>
        <v>8.1539999999999998E-3</v>
      </c>
      <c r="G57" s="8">
        <f t="shared" si="31"/>
        <v>6.2531645569620258</v>
      </c>
      <c r="H57" s="8">
        <f t="shared" si="32"/>
        <v>4.007986887626009E-2</v>
      </c>
      <c r="I57" s="8">
        <f t="shared" si="33"/>
        <v>9.8288489331955748</v>
      </c>
      <c r="J57" s="8">
        <f t="shared" si="34"/>
        <v>0.12094708083641988</v>
      </c>
      <c r="K57" s="17">
        <f t="shared" si="35"/>
        <v>1966.5011487860465</v>
      </c>
      <c r="L57" s="6">
        <f t="shared" si="36"/>
        <v>7.258282449431011</v>
      </c>
      <c r="M57" s="6">
        <f t="shared" si="37"/>
        <v>15.610400000000002</v>
      </c>
      <c r="N57" s="6">
        <f t="shared" si="38"/>
        <v>9.8800000000000013E-2</v>
      </c>
      <c r="O57" s="39">
        <f t="shared" si="39"/>
        <v>3.2936942044509752</v>
      </c>
      <c r="P57" s="39">
        <f t="shared" si="40"/>
        <v>3.6909627303862336E-3</v>
      </c>
      <c r="Q57" s="9">
        <f t="shared" si="41"/>
        <v>-2.0886292928838621</v>
      </c>
      <c r="R57" s="3">
        <f t="shared" si="42"/>
        <v>5.3261525865005123E-5</v>
      </c>
      <c r="T57" s="39">
        <f t="shared" si="43"/>
        <v>7.8174830257119708E-3</v>
      </c>
      <c r="U57" s="39">
        <f t="shared" si="25"/>
        <v>3.3651697428802897E-4</v>
      </c>
      <c r="V57" s="8">
        <f t="shared" si="44"/>
        <v>-2.1061364283167165</v>
      </c>
      <c r="W57" s="8">
        <f t="shared" si="45"/>
        <v>-1.7507135432854426E-2</v>
      </c>
      <c r="Y57" s="39">
        <f t="shared" si="46"/>
        <v>7.8853758957943693E-3</v>
      </c>
      <c r="Z57" s="39">
        <f t="shared" si="29"/>
        <v>2.6862410420563053E-4</v>
      </c>
      <c r="AA57" s="8">
        <f t="shared" si="47"/>
        <v>-2.1018813527066413</v>
      </c>
      <c r="AB57" s="3">
        <f t="shared" si="30"/>
        <v>1.3252059822779216E-2</v>
      </c>
    </row>
    <row r="58" spans="1:28">
      <c r="B58" s="8">
        <v>9.5</v>
      </c>
      <c r="C58" s="8">
        <v>0.01</v>
      </c>
      <c r="D58" s="8">
        <v>1.55</v>
      </c>
      <c r="E58" s="8">
        <v>7.4790000000000001</v>
      </c>
      <c r="F58" s="11">
        <f t="shared" si="0"/>
        <v>7.4790000000000004E-3</v>
      </c>
      <c r="G58" s="8">
        <f t="shared" si="31"/>
        <v>6.129032258064516</v>
      </c>
      <c r="H58" s="8">
        <f t="shared" si="32"/>
        <v>4.0065002552963948E-2</v>
      </c>
      <c r="I58" s="8">
        <f t="shared" si="33"/>
        <v>9.6337353067301539</v>
      </c>
      <c r="J58" s="8">
        <f t="shared" si="34"/>
        <v>0.119189978718954</v>
      </c>
      <c r="K58" s="17">
        <f t="shared" si="35"/>
        <v>1933.0415827309855</v>
      </c>
      <c r="L58" s="6">
        <f t="shared" si="36"/>
        <v>6.9835123192668433</v>
      </c>
      <c r="M58" s="6">
        <f t="shared" si="37"/>
        <v>14.725</v>
      </c>
      <c r="N58" s="6">
        <f t="shared" si="38"/>
        <v>9.5000000000000001E-2</v>
      </c>
      <c r="O58" s="39">
        <f t="shared" si="39"/>
        <v>3.2862411964788207</v>
      </c>
      <c r="P58" s="39">
        <f t="shared" si="40"/>
        <v>3.612706721704659E-3</v>
      </c>
      <c r="Q58" s="9">
        <f t="shared" si="41"/>
        <v>-2.126156466776564</v>
      </c>
      <c r="R58" s="3">
        <f t="shared" si="42"/>
        <v>5.8068522784229413E-5</v>
      </c>
      <c r="T58" s="39">
        <f t="shared" si="43"/>
        <v>7.3279571981701925E-3</v>
      </c>
      <c r="U58" s="39">
        <f t="shared" si="25"/>
        <v>1.5104280182980795E-4</v>
      </c>
      <c r="V58" s="8">
        <f t="shared" si="44"/>
        <v>-2.1384805126435005</v>
      </c>
      <c r="W58" s="8">
        <f t="shared" si="45"/>
        <v>-1.2324045866936473E-2</v>
      </c>
      <c r="Y58" s="39">
        <f t="shared" si="46"/>
        <v>7.3758394160386726E-3</v>
      </c>
      <c r="Z58" s="39">
        <f t="shared" si="29"/>
        <v>1.0316058396132779E-4</v>
      </c>
      <c r="AA58" s="8">
        <f t="shared" si="47"/>
        <v>-2.1326799038614634</v>
      </c>
      <c r="AB58" s="3">
        <f t="shared" si="30"/>
        <v>6.5234370848994416E-3</v>
      </c>
    </row>
    <row r="59" spans="1:28">
      <c r="B59" s="8">
        <v>9.1</v>
      </c>
      <c r="C59" s="8">
        <v>0.01</v>
      </c>
      <c r="D59" s="8">
        <v>1.52</v>
      </c>
      <c r="E59" s="8">
        <v>6.9870000000000001</v>
      </c>
      <c r="F59" s="11">
        <f t="shared" si="0"/>
        <v>6.9870000000000002E-3</v>
      </c>
      <c r="G59" s="8">
        <f t="shared" si="31"/>
        <v>5.9868421052631575</v>
      </c>
      <c r="H59" s="8">
        <f t="shared" si="32"/>
        <v>3.9932789791639577E-2</v>
      </c>
      <c r="I59" s="8">
        <f t="shared" si="33"/>
        <v>9.4102379848634907</v>
      </c>
      <c r="J59" s="8">
        <f t="shared" si="34"/>
        <v>0.11709179348268976</v>
      </c>
      <c r="K59" s="17">
        <f t="shared" si="35"/>
        <v>1894.5631781980981</v>
      </c>
      <c r="L59" s="6">
        <f t="shared" si="36"/>
        <v>6.6861199254988612</v>
      </c>
      <c r="M59" s="6">
        <f t="shared" si="37"/>
        <v>13.831999999999999</v>
      </c>
      <c r="N59" s="6">
        <f t="shared" si="38"/>
        <v>9.0999999999999998E-2</v>
      </c>
      <c r="O59" s="39">
        <f t="shared" si="39"/>
        <v>3.2775090923163788</v>
      </c>
      <c r="P59" s="39">
        <f t="shared" si="40"/>
        <v>3.5291089800752753E-3</v>
      </c>
      <c r="Q59" s="9">
        <f t="shared" si="41"/>
        <v>-2.1557092567456571</v>
      </c>
      <c r="R59" s="3">
        <f t="shared" si="42"/>
        <v>6.2157504208279913E-5</v>
      </c>
      <c r="T59" s="39">
        <f t="shared" si="43"/>
        <v>6.8342294321945812E-3</v>
      </c>
      <c r="U59" s="39">
        <f t="shared" si="25"/>
        <v>1.5277056780541899E-4</v>
      </c>
      <c r="V59" s="8">
        <f t="shared" si="44"/>
        <v>-2.1763755362950903</v>
      </c>
      <c r="W59" s="8">
        <f t="shared" si="45"/>
        <v>-2.0666279549433231E-2</v>
      </c>
      <c r="Y59" s="39">
        <f t="shared" si="46"/>
        <v>6.8619292325940873E-3</v>
      </c>
      <c r="Z59" s="39">
        <f t="shared" si="29"/>
        <v>1.2507076740591282E-4</v>
      </c>
      <c r="AA59" s="8">
        <f t="shared" si="47"/>
        <v>-2.1687641476649038</v>
      </c>
      <c r="AB59" s="3">
        <f t="shared" si="30"/>
        <v>1.305489091924672E-2</v>
      </c>
    </row>
    <row r="60" spans="1:28">
      <c r="B60" s="8">
        <v>8.8800000000000008</v>
      </c>
      <c r="C60" s="8">
        <v>0.01</v>
      </c>
      <c r="D60" s="8">
        <v>1.5</v>
      </c>
      <c r="E60" s="8">
        <v>6.7009999999999996</v>
      </c>
      <c r="F60" s="11">
        <f t="shared" si="0"/>
        <v>6.7009999999999995E-3</v>
      </c>
      <c r="G60" s="8">
        <f t="shared" si="31"/>
        <v>5.9200000000000008</v>
      </c>
      <c r="H60" s="8">
        <f t="shared" si="32"/>
        <v>4.00257694769535E-2</v>
      </c>
      <c r="I60" s="8">
        <f t="shared" si="33"/>
        <v>9.3051742289006203</v>
      </c>
      <c r="J60" s="8">
        <f t="shared" si="34"/>
        <v>0.11624068050503465</v>
      </c>
      <c r="K60" s="17">
        <f t="shared" si="35"/>
        <v>1876.4190256534473</v>
      </c>
      <c r="L60" s="6">
        <f t="shared" si="36"/>
        <v>6.5188715106562576</v>
      </c>
      <c r="M60" s="6">
        <f t="shared" si="37"/>
        <v>13.32</v>
      </c>
      <c r="N60" s="6">
        <f t="shared" si="38"/>
        <v>8.8800000000000018E-2</v>
      </c>
      <c r="O60" s="39">
        <f t="shared" si="39"/>
        <v>3.2733298277575429</v>
      </c>
      <c r="P60" s="39">
        <f t="shared" si="40"/>
        <v>3.4741022242545825E-3</v>
      </c>
      <c r="Q60" s="9">
        <f t="shared" si="41"/>
        <v>-2.1738603820640852</v>
      </c>
      <c r="R60" s="3">
        <f t="shared" si="42"/>
        <v>6.4810398732017874E-5</v>
      </c>
      <c r="T60" s="39">
        <f t="shared" si="43"/>
        <v>6.5511514745467516E-3</v>
      </c>
      <c r="U60" s="39">
        <f t="shared" si="25"/>
        <v>1.4984852545324792E-4</v>
      </c>
      <c r="V60" s="8">
        <f t="shared" si="44"/>
        <v>-2.1945124396527635</v>
      </c>
      <c r="W60" s="8">
        <f t="shared" si="45"/>
        <v>-2.0652057588678385E-2</v>
      </c>
      <c r="Y60" s="39">
        <f t="shared" si="46"/>
        <v>6.5672797209214932E-3</v>
      </c>
      <c r="Z60" s="39">
        <f t="shared" si="29"/>
        <v>1.3372027907850633E-4</v>
      </c>
      <c r="AA60" s="8">
        <f t="shared" si="47"/>
        <v>-2.1860343952999166</v>
      </c>
      <c r="AB60" s="3">
        <f t="shared" si="30"/>
        <v>1.2174013235831449E-2</v>
      </c>
    </row>
    <row r="61" spans="1:28">
      <c r="B61" s="8">
        <v>8.42</v>
      </c>
      <c r="C61" s="8">
        <v>0.01</v>
      </c>
      <c r="D61" s="8">
        <v>1.46</v>
      </c>
      <c r="E61" s="8">
        <v>6.0949999999999998</v>
      </c>
      <c r="F61" s="11">
        <f t="shared" si="0"/>
        <v>6.0949999999999997E-3</v>
      </c>
      <c r="G61" s="8">
        <f t="shared" si="31"/>
        <v>5.7671232876712333</v>
      </c>
      <c r="H61" s="8">
        <f t="shared" si="32"/>
        <v>4.0090270990263993E-2</v>
      </c>
      <c r="I61" s="8">
        <f t="shared" si="33"/>
        <v>9.0648795593464477</v>
      </c>
      <c r="J61" s="8">
        <f t="shared" si="34"/>
        <v>0.11418232454557088</v>
      </c>
      <c r="K61" s="17">
        <f t="shared" si="35"/>
        <v>1834.7866727256098</v>
      </c>
      <c r="L61" s="6">
        <f t="shared" si="36"/>
        <v>6.1590349936969986</v>
      </c>
      <c r="M61" s="6">
        <f t="shared" si="37"/>
        <v>12.293199999999999</v>
      </c>
      <c r="N61" s="6">
        <f t="shared" si="38"/>
        <v>8.4199999999999997E-2</v>
      </c>
      <c r="O61" s="39">
        <f t="shared" si="39"/>
        <v>3.2635855769020927</v>
      </c>
      <c r="P61" s="39">
        <f t="shared" si="40"/>
        <v>3.3568125849462579E-3</v>
      </c>
      <c r="Q61" s="9">
        <f t="shared" si="41"/>
        <v>-2.2150262900455995</v>
      </c>
      <c r="R61" s="3">
        <f t="shared" si="42"/>
        <v>7.125422180529152E-5</v>
      </c>
      <c r="T61" s="39">
        <f t="shared" si="43"/>
        <v>5.9834474766702036E-3</v>
      </c>
      <c r="U61" s="39">
        <f t="shared" si="25"/>
        <v>1.1155252332979617E-4</v>
      </c>
      <c r="V61" s="8">
        <f t="shared" si="44"/>
        <v>-2.2367999123815636</v>
      </c>
      <c r="W61" s="8">
        <f t="shared" si="45"/>
        <v>-2.1773622335964138E-2</v>
      </c>
      <c r="Y61" s="39">
        <f t="shared" si="46"/>
        <v>5.9763693330593419E-3</v>
      </c>
      <c r="Z61" s="39">
        <f t="shared" si="29"/>
        <v>1.1863066694065786E-4</v>
      </c>
      <c r="AA61" s="8">
        <f t="shared" si="47"/>
        <v>-2.2263011989258157</v>
      </c>
      <c r="AB61" s="3">
        <f t="shared" si="30"/>
        <v>1.1274908880216206E-2</v>
      </c>
    </row>
    <row r="62" spans="1:28">
      <c r="B62" s="8">
        <v>8.1300000000000008</v>
      </c>
      <c r="C62" s="8">
        <v>0.01</v>
      </c>
      <c r="D62" s="8">
        <v>1.43</v>
      </c>
      <c r="E62" s="8">
        <v>5.7030000000000003</v>
      </c>
      <c r="F62" s="11">
        <f t="shared" si="0"/>
        <v>5.7030000000000006E-3</v>
      </c>
      <c r="G62" s="8">
        <f t="shared" si="31"/>
        <v>5.6853146853146859</v>
      </c>
      <c r="H62" s="8">
        <f t="shared" si="32"/>
        <v>4.0367766939845215E-2</v>
      </c>
      <c r="I62" s="8">
        <f t="shared" si="33"/>
        <v>8.936291164354806</v>
      </c>
      <c r="J62" s="8">
        <f t="shared" si="34"/>
        <v>0.11330206842709045</v>
      </c>
      <c r="K62" s="17">
        <f t="shared" si="35"/>
        <v>1812.4312837762254</v>
      </c>
      <c r="L62" s="6">
        <f t="shared" si="36"/>
        <v>5.9215716167542034</v>
      </c>
      <c r="M62" s="6">
        <f t="shared" si="37"/>
        <v>11.625900000000001</v>
      </c>
      <c r="N62" s="6">
        <f t="shared" si="38"/>
        <v>8.1300000000000011E-2</v>
      </c>
      <c r="O62" s="39">
        <f t="shared" si="39"/>
        <v>3.2582615497850846</v>
      </c>
      <c r="P62" s="39">
        <f t="shared" si="40"/>
        <v>3.267197862760638E-3</v>
      </c>
      <c r="Q62" s="9">
        <f t="shared" si="41"/>
        <v>-2.2438966284148942</v>
      </c>
      <c r="R62" s="3">
        <f t="shared" si="42"/>
        <v>7.6151934403515998E-5</v>
      </c>
      <c r="T62" s="39">
        <f t="shared" si="43"/>
        <v>5.6145062244467728E-3</v>
      </c>
      <c r="U62" s="39">
        <f t="shared" si="25"/>
        <v>8.8493775553227794E-5</v>
      </c>
      <c r="V62" s="8">
        <f t="shared" si="44"/>
        <v>-2.259904782613015</v>
      </c>
      <c r="W62" s="8">
        <f t="shared" si="45"/>
        <v>-1.6008154198120739E-2</v>
      </c>
      <c r="Y62" s="39">
        <f t="shared" si="46"/>
        <v>5.5923466394282445E-3</v>
      </c>
      <c r="Z62" s="39">
        <f t="shared" si="29"/>
        <v>1.106533605717561E-4</v>
      </c>
      <c r="AA62" s="8">
        <f t="shared" si="47"/>
        <v>-2.2483020235761391</v>
      </c>
      <c r="AB62" s="3">
        <f t="shared" si="30"/>
        <v>4.4053951612448294E-3</v>
      </c>
    </row>
    <row r="63" spans="1:28">
      <c r="B63" s="8">
        <v>8.02</v>
      </c>
      <c r="C63" s="8">
        <v>0.01</v>
      </c>
      <c r="D63" s="8">
        <v>1.42</v>
      </c>
      <c r="E63" s="8">
        <v>5.5289999999999999</v>
      </c>
      <c r="F63" s="11">
        <f t="shared" si="0"/>
        <v>5.5290000000000001E-3</v>
      </c>
      <c r="G63" s="8">
        <f t="shared" si="31"/>
        <v>5.647887323943662</v>
      </c>
      <c r="H63" s="8">
        <f t="shared" si="32"/>
        <v>4.0392484796166049E-2</v>
      </c>
      <c r="I63" s="8">
        <f t="shared" si="33"/>
        <v>8.8774620902863255</v>
      </c>
      <c r="J63" s="8">
        <f t="shared" si="34"/>
        <v>0.11281249658143805</v>
      </c>
      <c r="K63" s="17">
        <f t="shared" si="35"/>
        <v>1802.185873092888</v>
      </c>
      <c r="L63" s="6">
        <f t="shared" si="36"/>
        <v>5.8305622604843101</v>
      </c>
      <c r="M63" s="6">
        <f t="shared" si="37"/>
        <v>11.388399999999999</v>
      </c>
      <c r="N63" s="6">
        <f t="shared" si="38"/>
        <v>8.0199999999999994E-2</v>
      </c>
      <c r="O63" s="39">
        <f t="shared" si="39"/>
        <v>3.255799581035725</v>
      </c>
      <c r="P63" s="39">
        <f t="shared" si="40"/>
        <v>3.2352724253009351E-3</v>
      </c>
      <c r="Q63" s="9">
        <f t="shared" si="41"/>
        <v>-2.2573534100612638</v>
      </c>
      <c r="R63" s="3">
        <f t="shared" si="42"/>
        <v>7.8548468421640757E-5</v>
      </c>
      <c r="T63" s="39">
        <f t="shared" si="43"/>
        <v>5.4831956483894278E-3</v>
      </c>
      <c r="U63" s="39">
        <f t="shared" si="25"/>
        <v>4.5804351610572239E-5</v>
      </c>
      <c r="V63" s="8">
        <f t="shared" si="44"/>
        <v>-2.2705890761407694</v>
      </c>
      <c r="W63" s="8">
        <f t="shared" si="45"/>
        <v>-1.3235666079505659E-2</v>
      </c>
      <c r="Y63" s="39">
        <f t="shared" si="46"/>
        <v>5.4556683991504274E-3</v>
      </c>
      <c r="Z63" s="39">
        <f>F63-Y63</f>
        <v>7.3331600849572617E-5</v>
      </c>
      <c r="AA63" s="8">
        <f t="shared" si="47"/>
        <v>-2.2584757776834756</v>
      </c>
      <c r="AB63" s="3">
        <f t="shared" si="30"/>
        <v>1.1223676222118506E-3</v>
      </c>
    </row>
    <row r="69" spans="8:33">
      <c r="H69" s="58" t="s">
        <v>63</v>
      </c>
      <c r="I69" s="58"/>
      <c r="J69" s="58"/>
      <c r="K69" s="58"/>
      <c r="R69" s="58" t="s">
        <v>63</v>
      </c>
      <c r="S69" s="58"/>
      <c r="T69" s="58"/>
      <c r="U69" s="58"/>
    </row>
    <row r="70" spans="8:33">
      <c r="H70" s="40" t="s">
        <v>2</v>
      </c>
      <c r="I70" s="11">
        <f t="array" ref="I70:J74">LINEST(F7:F50,M7:M50,1,1)</f>
        <v>5.5288663603091884E-4</v>
      </c>
      <c r="J70" s="9">
        <v>-8.1329851738508752E-4</v>
      </c>
      <c r="K70" s="40" t="s">
        <v>5</v>
      </c>
      <c r="R70" s="40" t="s">
        <v>2</v>
      </c>
      <c r="S70" s="11">
        <f t="array" ref="S70:T74">LINEST(F22:F63,M22:M63,1,1)</f>
        <v>5.7548732748553767E-4</v>
      </c>
      <c r="T70" s="9">
        <v>-1.0982114811858689E-3</v>
      </c>
      <c r="U70" s="40" t="s">
        <v>5</v>
      </c>
    </row>
    <row r="71" spans="8:33">
      <c r="H71" s="40" t="s">
        <v>3</v>
      </c>
      <c r="I71" s="11">
        <v>4.4503508782473452E-6</v>
      </c>
      <c r="J71" s="9">
        <v>6.0707337760457671E-5</v>
      </c>
      <c r="K71" s="40" t="s">
        <v>6</v>
      </c>
      <c r="R71" s="40" t="s">
        <v>3</v>
      </c>
      <c r="S71" s="11">
        <v>6.7586519274960276E-6</v>
      </c>
      <c r="T71" s="9">
        <v>1.0949037157292782E-4</v>
      </c>
      <c r="U71" s="40" t="s">
        <v>6</v>
      </c>
    </row>
    <row r="72" spans="8:33">
      <c r="H72" s="40" t="s">
        <v>4</v>
      </c>
      <c r="I72" s="9">
        <v>0.99728615274255061</v>
      </c>
      <c r="J72" s="9">
        <v>1.815944270286989E-4</v>
      </c>
      <c r="K72" s="40" t="s">
        <v>7</v>
      </c>
      <c r="R72" s="40" t="s">
        <v>4</v>
      </c>
      <c r="S72" s="9">
        <v>0.99451319943144834</v>
      </c>
      <c r="T72" s="9">
        <v>1.2978571718193639E-4</v>
      </c>
      <c r="U72" s="40" t="s">
        <v>7</v>
      </c>
    </row>
    <row r="73" spans="8:33">
      <c r="H73" s="7"/>
      <c r="I73" s="4">
        <v>15434.184182698655</v>
      </c>
      <c r="J73" s="4">
        <v>42</v>
      </c>
      <c r="K73" s="1"/>
      <c r="R73" s="7"/>
      <c r="S73" s="4">
        <v>7250.2230544456661</v>
      </c>
      <c r="T73" s="4">
        <v>40</v>
      </c>
      <c r="U73" s="1"/>
      <c r="X73" s="1"/>
      <c r="Y73" s="56" t="s">
        <v>58</v>
      </c>
      <c r="Z73" s="56"/>
      <c r="AA73" s="56"/>
      <c r="AB73" s="1"/>
      <c r="AC73" s="57" t="s">
        <v>62</v>
      </c>
      <c r="AD73" s="57"/>
      <c r="AE73" s="57"/>
      <c r="AF73" s="57"/>
      <c r="AG73" s="1"/>
    </row>
    <row r="74" spans="8:33">
      <c r="H74" s="7"/>
      <c r="I74" s="4">
        <v>5.0896592921830181E-4</v>
      </c>
      <c r="J74" s="4">
        <v>1.385014508971021E-6</v>
      </c>
      <c r="K74" s="1"/>
      <c r="R74" s="7"/>
      <c r="S74" s="4">
        <v>1.2212516699033706E-4</v>
      </c>
      <c r="T74" s="4">
        <v>6.7377329537718305E-7</v>
      </c>
      <c r="U74" s="1"/>
      <c r="Y74" s="32" t="s">
        <v>61</v>
      </c>
      <c r="Z74" s="32" t="s">
        <v>59</v>
      </c>
      <c r="AA74" s="32" t="s">
        <v>60</v>
      </c>
      <c r="AB74" s="1"/>
      <c r="AC74" s="40" t="s">
        <v>2</v>
      </c>
      <c r="AD74" s="25">
        <f t="array" ref="AD74:AE76">LINEST(Z75:Z79,AA75:AA79,1,1)</f>
        <v>0.63620517513936237</v>
      </c>
      <c r="AE74" s="2">
        <v>-3.0098302687411177E-3</v>
      </c>
      <c r="AF74" s="40" t="s">
        <v>5</v>
      </c>
      <c r="AG74" s="1"/>
    </row>
    <row r="75" spans="8:33">
      <c r="H75" s="7"/>
      <c r="I75" s="1"/>
      <c r="J75" s="1"/>
      <c r="K75" s="1"/>
      <c r="R75" s="7"/>
      <c r="S75" s="1"/>
      <c r="T75" s="1"/>
      <c r="U75" s="1"/>
      <c r="Y75" s="2">
        <v>20.6</v>
      </c>
      <c r="Z75" s="2">
        <f>Y75*10^-3</f>
        <v>2.06E-2</v>
      </c>
      <c r="AA75" s="2">
        <v>3.6999999999999998E-2</v>
      </c>
      <c r="AC75" s="43" t="s">
        <v>3</v>
      </c>
      <c r="AD75" s="2">
        <v>6.6828395463376907E-3</v>
      </c>
      <c r="AE75" s="25">
        <v>7.2115858905125424E-4</v>
      </c>
      <c r="AF75" s="43" t="s">
        <v>6</v>
      </c>
      <c r="AG75" s="1"/>
    </row>
    <row r="76" spans="8:33">
      <c r="H76" s="7"/>
      <c r="I76" s="1"/>
      <c r="J76" s="1"/>
      <c r="K76" s="1"/>
      <c r="R76" s="7"/>
      <c r="S76" s="1"/>
      <c r="T76" s="1"/>
      <c r="U76" s="1"/>
      <c r="Y76" s="2">
        <v>39.5</v>
      </c>
      <c r="Z76" s="2">
        <f t="shared" ref="Z76:Z79" si="48">Y76*10^-3</f>
        <v>3.95E-2</v>
      </c>
      <c r="AA76" s="2">
        <v>6.6000000000000003E-2</v>
      </c>
      <c r="AC76" s="43" t="s">
        <v>4</v>
      </c>
      <c r="AD76" s="25">
        <v>0.99966909358012024</v>
      </c>
      <c r="AE76" s="25">
        <v>6.5530004081719971E-4</v>
      </c>
      <c r="AF76" s="43" t="s">
        <v>7</v>
      </c>
      <c r="AG76" s="1"/>
    </row>
    <row r="77" spans="8:33">
      <c r="Y77" s="2">
        <v>59.8</v>
      </c>
      <c r="Z77" s="2">
        <f t="shared" si="48"/>
        <v>5.9799999999999999E-2</v>
      </c>
      <c r="AA77" s="2">
        <v>0.1</v>
      </c>
      <c r="AB77" s="28"/>
      <c r="AC77" s="28"/>
      <c r="AE77" s="30"/>
      <c r="AG77" s="1"/>
    </row>
    <row r="78" spans="8:33">
      <c r="Y78" s="2">
        <v>79.400000000000006</v>
      </c>
      <c r="Z78" s="2">
        <f t="shared" si="48"/>
        <v>7.9400000000000012E-2</v>
      </c>
      <c r="AA78" s="2">
        <v>0.13</v>
      </c>
      <c r="AB78" s="29"/>
      <c r="AC78" s="29"/>
      <c r="AE78" s="30"/>
      <c r="AG78" s="1"/>
    </row>
    <row r="79" spans="8:33">
      <c r="Y79" s="2">
        <v>99.3</v>
      </c>
      <c r="Z79" s="2">
        <f t="shared" si="48"/>
        <v>9.9299999999999999E-2</v>
      </c>
      <c r="AA79" s="2">
        <v>0.16</v>
      </c>
      <c r="AE79" s="30"/>
      <c r="AG79" s="1"/>
    </row>
    <row r="80" spans="8:33">
      <c r="Y80" s="1"/>
      <c r="Z80" s="1"/>
      <c r="AA80" s="1"/>
      <c r="AE80" s="30"/>
      <c r="AG80" s="1"/>
    </row>
    <row r="81" spans="19:33">
      <c r="Y81" s="1"/>
      <c r="Z81" s="1"/>
      <c r="AA81" s="1"/>
      <c r="AE81" s="30"/>
      <c r="AG81" s="1"/>
    </row>
    <row r="82" spans="19:33">
      <c r="Y82" s="1"/>
      <c r="Z82" s="1"/>
      <c r="AA82" s="1"/>
      <c r="AE82" s="30"/>
      <c r="AG82" s="1"/>
    </row>
    <row r="83" spans="19:33">
      <c r="Y83" s="1"/>
      <c r="Z83" s="1"/>
      <c r="AA83" s="1"/>
      <c r="AE83" s="30"/>
      <c r="AG83" s="1"/>
    </row>
    <row r="84" spans="19:33">
      <c r="Y84" s="1"/>
      <c r="Z84" s="1"/>
      <c r="AA84" s="1"/>
      <c r="AE84" s="30"/>
      <c r="AG84" s="1"/>
    </row>
    <row r="85" spans="19:33">
      <c r="Y85" s="1"/>
      <c r="Z85" s="1"/>
      <c r="AA85" s="1"/>
      <c r="AE85" s="30"/>
      <c r="AG85" s="1"/>
    </row>
    <row r="92" spans="19:33">
      <c r="S92" s="1"/>
      <c r="T92" s="1"/>
      <c r="U92" s="1"/>
    </row>
    <row r="93" spans="19:33">
      <c r="S93" s="1"/>
      <c r="T93" s="1"/>
      <c r="U93" s="1"/>
    </row>
    <row r="102" spans="8:21">
      <c r="H102" s="57" t="s">
        <v>64</v>
      </c>
      <c r="I102" s="57"/>
      <c r="J102" s="57"/>
      <c r="K102" s="57"/>
      <c r="R102" s="57" t="s">
        <v>64</v>
      </c>
      <c r="S102" s="57"/>
      <c r="T102" s="57"/>
      <c r="U102" s="57"/>
    </row>
    <row r="103" spans="8:21">
      <c r="H103" s="40" t="s">
        <v>2</v>
      </c>
      <c r="I103" s="6">
        <f t="array" ref="I103:J107">LINEST(Q16:Q50,O16:O50,1,1)</f>
        <v>4.3397356406468619</v>
      </c>
      <c r="J103" s="6">
        <v>-16.399898556764626</v>
      </c>
      <c r="K103" s="40" t="s">
        <v>5</v>
      </c>
      <c r="R103" s="40" t="s">
        <v>2</v>
      </c>
      <c r="S103" s="6">
        <f t="array" ref="S103:T107">LINEST(Q22:Q63,O22:O63,1,1)</f>
        <v>4.1323652503646464</v>
      </c>
      <c r="T103" s="6">
        <v>-15.712628828507281</v>
      </c>
      <c r="U103" s="40" t="s">
        <v>5</v>
      </c>
    </row>
    <row r="104" spans="8:21">
      <c r="H104" s="41" t="s">
        <v>3</v>
      </c>
      <c r="I104" s="6">
        <v>3.4953993296344486E-2</v>
      </c>
      <c r="J104" s="6">
        <v>0.11463887675628741</v>
      </c>
      <c r="K104" s="40" t="s">
        <v>6</v>
      </c>
      <c r="R104" s="41" t="s">
        <v>3</v>
      </c>
      <c r="S104" s="6">
        <v>5.7133163940527108E-2</v>
      </c>
      <c r="T104" s="6">
        <v>0.1881647344907238</v>
      </c>
      <c r="U104" s="40" t="s">
        <v>6</v>
      </c>
    </row>
    <row r="105" spans="8:21">
      <c r="H105" s="40" t="s">
        <v>4</v>
      </c>
      <c r="I105" s="12">
        <v>0.99786374922579169</v>
      </c>
      <c r="J105" s="8">
        <v>8.2318537415470884E-3</v>
      </c>
      <c r="K105" s="40" t="s">
        <v>7</v>
      </c>
      <c r="R105" s="40" t="s">
        <v>4</v>
      </c>
      <c r="S105" s="12">
        <v>0.99241193367787206</v>
      </c>
      <c r="T105" s="8">
        <v>8.3655330001612526E-3</v>
      </c>
      <c r="U105" s="40" t="s">
        <v>7</v>
      </c>
    </row>
    <row r="106" spans="8:21">
      <c r="H106" s="1"/>
      <c r="I106" s="4">
        <v>15414.624594649498</v>
      </c>
      <c r="J106" s="4">
        <v>33</v>
      </c>
      <c r="K106" s="1"/>
      <c r="R106" s="1"/>
      <c r="S106" s="4">
        <v>5231.4352118080451</v>
      </c>
      <c r="T106" s="4">
        <v>40</v>
      </c>
      <c r="U106" s="1"/>
    </row>
    <row r="107" spans="8:21">
      <c r="H107" s="1"/>
      <c r="I107" s="4">
        <v>1.0445476192336216</v>
      </c>
      <c r="J107" s="4">
        <v>2.2361927287333529E-3</v>
      </c>
      <c r="K107" s="1"/>
      <c r="R107" s="1"/>
      <c r="S107" s="4">
        <v>0.36610704382768711</v>
      </c>
      <c r="T107" s="4">
        <v>2.7992856950714777E-3</v>
      </c>
      <c r="U107" s="1"/>
    </row>
    <row r="108" spans="8:21">
      <c r="H108" s="1"/>
      <c r="I108" s="4"/>
      <c r="J108" s="4"/>
      <c r="K108" s="1"/>
      <c r="R108" s="1"/>
      <c r="S108" s="4"/>
      <c r="T108" s="4"/>
      <c r="U108" s="1"/>
    </row>
    <row r="109" spans="8:21">
      <c r="H109" s="1"/>
      <c r="I109" s="4"/>
      <c r="J109" s="4"/>
      <c r="K109" s="1"/>
      <c r="R109" s="1"/>
      <c r="S109" s="4"/>
      <c r="T109" s="4"/>
      <c r="U109" s="1"/>
    </row>
    <row r="110" spans="8:21">
      <c r="H110" s="1"/>
      <c r="I110" s="1"/>
      <c r="J110" s="1"/>
      <c r="K110" s="1"/>
      <c r="R110" s="1"/>
      <c r="S110" s="1"/>
      <c r="T110" s="1"/>
      <c r="U110" s="1"/>
    </row>
    <row r="111" spans="8:21">
      <c r="H111" s="42" t="s">
        <v>40</v>
      </c>
      <c r="I111" s="2">
        <f>4</f>
        <v>4</v>
      </c>
      <c r="J111" s="1"/>
      <c r="R111" s="42" t="s">
        <v>40</v>
      </c>
      <c r="S111" s="2">
        <f>4</f>
        <v>4</v>
      </c>
      <c r="T111" s="1"/>
      <c r="U111" s="1"/>
    </row>
    <row r="112" spans="8:21">
      <c r="H112" s="42" t="s">
        <v>41</v>
      </c>
      <c r="I112" s="6">
        <f>$I$103</f>
        <v>4.3397356406468619</v>
      </c>
      <c r="J112" s="1"/>
      <c r="R112" s="42" t="s">
        <v>41</v>
      </c>
      <c r="S112" s="6">
        <f>$S$103</f>
        <v>4.1323652503646464</v>
      </c>
      <c r="T112" s="1"/>
      <c r="U112" s="1"/>
    </row>
    <row r="113" spans="8:21">
      <c r="H113" s="42" t="s">
        <v>42</v>
      </c>
      <c r="I113" s="6">
        <f>$I$104</f>
        <v>3.4953993296344486E-2</v>
      </c>
      <c r="J113" s="1"/>
      <c r="R113" s="42" t="s">
        <v>42</v>
      </c>
      <c r="S113" s="6">
        <f>$I$104</f>
        <v>3.4953993296344486E-2</v>
      </c>
      <c r="T113" s="1"/>
      <c r="U113" s="1"/>
    </row>
    <row r="114" spans="8:21">
      <c r="H114" s="42" t="s">
        <v>43</v>
      </c>
      <c r="I114" s="10">
        <f>(I113/I112)*100</f>
        <v>0.80544061184184024</v>
      </c>
      <c r="J114" s="1"/>
      <c r="R114" s="42" t="s">
        <v>43</v>
      </c>
      <c r="S114" s="10">
        <f>(S113/S112)*100</f>
        <v>0.84585923989318446</v>
      </c>
      <c r="T114" s="1"/>
      <c r="U114" s="1"/>
    </row>
    <row r="115" spans="8:21">
      <c r="H115" s="42" t="s">
        <v>44</v>
      </c>
      <c r="I115" s="10">
        <f>((-I111+I112)/I111)*100</f>
        <v>8.4933910161715467</v>
      </c>
      <c r="J115" s="1"/>
      <c r="R115" s="42" t="s">
        <v>44</v>
      </c>
      <c r="S115" s="10">
        <f>((-S111+S112)/S111)*100</f>
        <v>3.3091312591161604</v>
      </c>
      <c r="T115" s="1"/>
      <c r="U115" s="1"/>
    </row>
  </sheetData>
  <sortState xmlns:xlrd2="http://schemas.microsoft.com/office/spreadsheetml/2017/richdata2" ref="B7:V32">
    <sortCondition ref="B7:B32"/>
  </sortState>
  <mergeCells count="8">
    <mergeCell ref="H102:K102"/>
    <mergeCell ref="R69:U69"/>
    <mergeCell ref="R102:U102"/>
    <mergeCell ref="T5:W5"/>
    <mergeCell ref="Y5:AB5"/>
    <mergeCell ref="Y73:AA73"/>
    <mergeCell ref="AC73:AF73"/>
    <mergeCell ref="H69:K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Parte 1</vt:lpstr>
      <vt:lpstr>Sheet1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Pascoal Nogueira</dc:creator>
  <cp:lastModifiedBy>nunop</cp:lastModifiedBy>
  <cp:lastPrinted>2023-02-27T15:21:17Z</cp:lastPrinted>
  <dcterms:created xsi:type="dcterms:W3CDTF">2020-09-22T13:03:07Z</dcterms:created>
  <dcterms:modified xsi:type="dcterms:W3CDTF">2023-02-27T17:49:25Z</dcterms:modified>
</cp:coreProperties>
</file>