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3B\"/>
    </mc:Choice>
  </mc:AlternateContent>
  <xr:revisionPtr revIDLastSave="0" documentId="13_ncr:1_{70E44C01-86E8-40C2-9C08-659BD51EE3C8}" xr6:coauthVersionLast="47" xr6:coauthVersionMax="47" xr10:uidLastSave="{00000000-0000-0000-0000-000000000000}"/>
  <bookViews>
    <workbookView xWindow="-108" yWindow="-108" windowWidth="23256" windowHeight="13176" activeTab="5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1" i="1" l="1"/>
  <c r="Q51" i="1"/>
  <c r="D6" i="10" s="1"/>
  <c r="D7" i="10" s="1"/>
  <c r="M142" i="2"/>
  <c r="J142" i="2"/>
  <c r="G15" i="3"/>
  <c r="D15" i="3"/>
  <c r="H16" i="9"/>
  <c r="M6" i="10" s="1"/>
  <c r="M7" i="10" s="1"/>
  <c r="E16" i="9"/>
  <c r="E15" i="9"/>
  <c r="AE8" i="4"/>
  <c r="K6" i="10" s="1"/>
  <c r="K7" i="10" s="1"/>
  <c r="AB8" i="4"/>
  <c r="J6" i="10" s="1"/>
  <c r="J7" i="10" s="1"/>
  <c r="L6" i="10"/>
  <c r="L7" i="10" s="1"/>
  <c r="K16" i="9"/>
  <c r="T5" i="4"/>
  <c r="I6" i="10"/>
  <c r="I7" i="10" s="1"/>
  <c r="H6" i="10"/>
  <c r="H7" i="10" s="1"/>
  <c r="J15" i="3"/>
  <c r="G6" i="10"/>
  <c r="E116" i="2"/>
  <c r="E6" i="10"/>
  <c r="E7" i="10" s="1"/>
  <c r="M5" i="10"/>
  <c r="L5" i="10"/>
  <c r="K5" i="10"/>
  <c r="J5" i="10"/>
  <c r="I5" i="10"/>
  <c r="H5" i="10"/>
  <c r="E5" i="10"/>
  <c r="D5" i="10"/>
  <c r="D8" i="10" s="1"/>
  <c r="I2" i="10"/>
  <c r="H20" i="9"/>
  <c r="E8" i="10" l="1"/>
  <c r="M8" i="10"/>
  <c r="L8" i="10"/>
  <c r="K8" i="10"/>
  <c r="J8" i="10"/>
  <c r="I8" i="10"/>
  <c r="H8" i="10"/>
  <c r="K10" i="9"/>
  <c r="E14" i="9"/>
  <c r="J11" i="3"/>
  <c r="D14" i="3" s="1"/>
  <c r="G19" i="3"/>
  <c r="M146" i="2"/>
  <c r="E5" i="4"/>
  <c r="E6" i="4"/>
  <c r="E4" i="4"/>
  <c r="AE4" i="9" a="1"/>
  <c r="AE4" i="9" s="1"/>
  <c r="K4" i="9"/>
  <c r="K12" i="9"/>
  <c r="G4" i="9"/>
  <c r="D9" i="9"/>
  <c r="E5" i="9"/>
  <c r="AF6" i="9" l="1"/>
  <c r="AE6" i="9"/>
  <c r="AF5" i="9"/>
  <c r="AE5" i="9"/>
  <c r="AF4" i="9"/>
  <c r="H14" i="9"/>
  <c r="K13" i="9"/>
  <c r="G14" i="3"/>
  <c r="J12" i="3"/>
  <c r="AB6" i="4"/>
  <c r="J140" i="2"/>
  <c r="G13" i="3"/>
  <c r="D13" i="3"/>
  <c r="T55" i="1"/>
  <c r="Q50" i="1" s="1"/>
  <c r="Q52" i="1" s="1"/>
  <c r="T50" i="1"/>
  <c r="T52" i="1" s="1"/>
  <c r="K33" i="1"/>
  <c r="K32" i="1"/>
  <c r="T49" i="1"/>
  <c r="Q49" i="1"/>
  <c r="D4" i="9"/>
  <c r="E4" i="9" s="1"/>
  <c r="I4" i="9"/>
  <c r="O4" i="9"/>
  <c r="D5" i="9"/>
  <c r="G5" i="9"/>
  <c r="I5" i="9"/>
  <c r="K5" i="9"/>
  <c r="O5" i="9"/>
  <c r="D6" i="9"/>
  <c r="E6" i="9"/>
  <c r="G6" i="9"/>
  <c r="I6" i="9"/>
  <c r="K6" i="9"/>
  <c r="O6" i="9"/>
  <c r="D7" i="9"/>
  <c r="E7" i="9"/>
  <c r="G7" i="9"/>
  <c r="I7" i="9"/>
  <c r="K7" i="9"/>
  <c r="O7" i="9"/>
  <c r="D8" i="9"/>
  <c r="E8" i="9" s="1"/>
  <c r="G8" i="9"/>
  <c r="I8" i="9"/>
  <c r="K8" i="9"/>
  <c r="O8" i="9"/>
  <c r="E9" i="9"/>
  <c r="G9" i="9"/>
  <c r="I9" i="9"/>
  <c r="K9" i="9"/>
  <c r="O9" i="9"/>
  <c r="D10" i="9"/>
  <c r="G10" i="9"/>
  <c r="I10" i="9"/>
  <c r="O10" i="9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47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6" i="1"/>
  <c r="Z7" i="1" a="1"/>
  <c r="Z7" i="1" s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6" i="1"/>
  <c r="G28" i="1"/>
  <c r="O4" i="3"/>
  <c r="N4" i="3"/>
  <c r="O8" i="3"/>
  <c r="S4" i="3" a="1"/>
  <c r="S4" i="3" s="1"/>
  <c r="M113" i="2"/>
  <c r="I113" i="2"/>
  <c r="G113" i="2"/>
  <c r="E113" i="2"/>
  <c r="M112" i="2"/>
  <c r="I112" i="2"/>
  <c r="G112" i="2"/>
  <c r="E112" i="2"/>
  <c r="M111" i="2"/>
  <c r="I111" i="2"/>
  <c r="G111" i="2"/>
  <c r="E111" i="2"/>
  <c r="M110" i="2"/>
  <c r="I110" i="2"/>
  <c r="G110" i="2"/>
  <c r="E110" i="2"/>
  <c r="M109" i="2"/>
  <c r="I109" i="2"/>
  <c r="G109" i="2"/>
  <c r="E109" i="2"/>
  <c r="M108" i="2"/>
  <c r="I108" i="2"/>
  <c r="G108" i="2"/>
  <c r="E108" i="2"/>
  <c r="M107" i="2"/>
  <c r="I107" i="2"/>
  <c r="G107" i="2"/>
  <c r="E107" i="2"/>
  <c r="M106" i="2"/>
  <c r="I106" i="2"/>
  <c r="G106" i="2"/>
  <c r="E106" i="2"/>
  <c r="M105" i="2"/>
  <c r="I105" i="2"/>
  <c r="G105" i="2"/>
  <c r="E105" i="2"/>
  <c r="M104" i="2"/>
  <c r="I104" i="2"/>
  <c r="G104" i="2"/>
  <c r="E104" i="2"/>
  <c r="M103" i="2"/>
  <c r="I103" i="2"/>
  <c r="G103" i="2"/>
  <c r="E103" i="2"/>
  <c r="M102" i="2"/>
  <c r="I102" i="2"/>
  <c r="G102" i="2"/>
  <c r="E102" i="2"/>
  <c r="M101" i="2"/>
  <c r="I101" i="2"/>
  <c r="G101" i="2"/>
  <c r="E101" i="2"/>
  <c r="M100" i="2"/>
  <c r="I100" i="2"/>
  <c r="G100" i="2"/>
  <c r="E100" i="2"/>
  <c r="M99" i="2"/>
  <c r="I99" i="2"/>
  <c r="G99" i="2"/>
  <c r="E99" i="2"/>
  <c r="M98" i="2"/>
  <c r="I98" i="2"/>
  <c r="G98" i="2"/>
  <c r="E98" i="2"/>
  <c r="M97" i="2"/>
  <c r="I97" i="2"/>
  <c r="G97" i="2"/>
  <c r="E97" i="2"/>
  <c r="M96" i="2"/>
  <c r="I96" i="2"/>
  <c r="G96" i="2"/>
  <c r="E96" i="2"/>
  <c r="M95" i="2"/>
  <c r="I95" i="2"/>
  <c r="G95" i="2"/>
  <c r="E95" i="2"/>
  <c r="M94" i="2"/>
  <c r="I94" i="2"/>
  <c r="G94" i="2"/>
  <c r="E94" i="2"/>
  <c r="I62" i="2"/>
  <c r="E63" i="2"/>
  <c r="E64" i="2"/>
  <c r="E65" i="2"/>
  <c r="AZ81" i="2"/>
  <c r="AV81" i="2"/>
  <c r="AT81" i="2"/>
  <c r="AR81" i="2"/>
  <c r="AZ80" i="2"/>
  <c r="AV80" i="2"/>
  <c r="AT80" i="2"/>
  <c r="AR80" i="2"/>
  <c r="AZ79" i="2"/>
  <c r="AV79" i="2"/>
  <c r="AT79" i="2"/>
  <c r="AR79" i="2"/>
  <c r="AZ78" i="2"/>
  <c r="AV78" i="2"/>
  <c r="AT78" i="2"/>
  <c r="AR78" i="2"/>
  <c r="AZ77" i="2"/>
  <c r="AV77" i="2"/>
  <c r="AT77" i="2"/>
  <c r="AR77" i="2"/>
  <c r="AZ76" i="2"/>
  <c r="AV76" i="2"/>
  <c r="AT76" i="2"/>
  <c r="AR76" i="2"/>
  <c r="AZ75" i="2"/>
  <c r="AV75" i="2"/>
  <c r="AT75" i="2"/>
  <c r="AR75" i="2"/>
  <c r="AZ74" i="2"/>
  <c r="AV74" i="2"/>
  <c r="AT74" i="2"/>
  <c r="AR74" i="2"/>
  <c r="AZ73" i="2"/>
  <c r="AV73" i="2"/>
  <c r="AT73" i="2"/>
  <c r="AR73" i="2"/>
  <c r="AZ72" i="2"/>
  <c r="AV72" i="2"/>
  <c r="AT72" i="2"/>
  <c r="AR72" i="2"/>
  <c r="AZ71" i="2"/>
  <c r="AV71" i="2"/>
  <c r="AT71" i="2"/>
  <c r="AR71" i="2"/>
  <c r="AZ70" i="2"/>
  <c r="AV70" i="2"/>
  <c r="AT70" i="2"/>
  <c r="AR70" i="2"/>
  <c r="AZ69" i="2"/>
  <c r="AV69" i="2"/>
  <c r="AT69" i="2"/>
  <c r="AR69" i="2"/>
  <c r="AZ68" i="2"/>
  <c r="AV68" i="2"/>
  <c r="AT68" i="2"/>
  <c r="AR68" i="2"/>
  <c r="AZ67" i="2"/>
  <c r="AV67" i="2"/>
  <c r="AT67" i="2"/>
  <c r="AR67" i="2"/>
  <c r="AZ66" i="2"/>
  <c r="AV66" i="2"/>
  <c r="AT66" i="2"/>
  <c r="AR66" i="2"/>
  <c r="AZ65" i="2"/>
  <c r="AV65" i="2"/>
  <c r="AT65" i="2"/>
  <c r="AR65" i="2"/>
  <c r="AZ64" i="2"/>
  <c r="AV64" i="2"/>
  <c r="AT64" i="2"/>
  <c r="AR64" i="2"/>
  <c r="AZ63" i="2"/>
  <c r="AV63" i="2"/>
  <c r="AT63" i="2"/>
  <c r="AR63" i="2"/>
  <c r="AZ62" i="2"/>
  <c r="AV62" i="2"/>
  <c r="AT62" i="2"/>
  <c r="AR62" i="2"/>
  <c r="AZ17" i="2"/>
  <c r="AV17" i="2"/>
  <c r="AT17" i="2"/>
  <c r="AR17" i="2"/>
  <c r="AZ16" i="2"/>
  <c r="AV16" i="2"/>
  <c r="AT16" i="2"/>
  <c r="AR16" i="2"/>
  <c r="AZ15" i="2"/>
  <c r="AV15" i="2"/>
  <c r="AT15" i="2"/>
  <c r="AR15" i="2"/>
  <c r="AZ14" i="2"/>
  <c r="AV14" i="2"/>
  <c r="AT14" i="2"/>
  <c r="AR14" i="2"/>
  <c r="AZ13" i="2"/>
  <c r="AV13" i="2"/>
  <c r="AT13" i="2"/>
  <c r="AR13" i="2"/>
  <c r="AZ12" i="2"/>
  <c r="AV12" i="2"/>
  <c r="AT12" i="2"/>
  <c r="AR12" i="2"/>
  <c r="AZ11" i="2"/>
  <c r="AV11" i="2"/>
  <c r="AT11" i="2"/>
  <c r="AR11" i="2"/>
  <c r="AZ10" i="2"/>
  <c r="AV10" i="2"/>
  <c r="AT10" i="2"/>
  <c r="AR10" i="2"/>
  <c r="AZ9" i="2"/>
  <c r="AV9" i="2"/>
  <c r="AT9" i="2"/>
  <c r="AR9" i="2"/>
  <c r="AZ8" i="2"/>
  <c r="AV8" i="2"/>
  <c r="AT8" i="2"/>
  <c r="AR8" i="2"/>
  <c r="AZ7" i="2"/>
  <c r="AV7" i="2"/>
  <c r="AT7" i="2"/>
  <c r="AR7" i="2"/>
  <c r="AZ6" i="2"/>
  <c r="AV6" i="2"/>
  <c r="AT6" i="2"/>
  <c r="AR6" i="2"/>
  <c r="AZ5" i="2"/>
  <c r="AV5" i="2"/>
  <c r="AT5" i="2"/>
  <c r="AR5" i="2"/>
  <c r="AE92" i="2" l="1" a="1"/>
  <c r="AF92" i="2" s="1"/>
  <c r="G16" i="3"/>
  <c r="D16" i="3"/>
  <c r="AE6" i="4"/>
  <c r="M140" i="2"/>
  <c r="U92" i="2" a="1"/>
  <c r="U92" i="2" s="1"/>
  <c r="J141" i="2" s="1"/>
  <c r="F5" i="10" s="1"/>
  <c r="F8" i="10" s="1"/>
  <c r="V4" i="9" a="1"/>
  <c r="AA9" i="1"/>
  <c r="Z9" i="1"/>
  <c r="AA8" i="1"/>
  <c r="Z8" i="1"/>
  <c r="AA7" i="1"/>
  <c r="T6" i="3"/>
  <c r="S6" i="3"/>
  <c r="T5" i="3"/>
  <c r="S5" i="3"/>
  <c r="T4" i="3"/>
  <c r="BG60" i="2" a="1"/>
  <c r="BH61" i="2" s="1"/>
  <c r="BP3" i="2" a="1"/>
  <c r="BP3" i="2" s="1"/>
  <c r="BG3" i="2" a="1"/>
  <c r="BG3" i="2" s="1"/>
  <c r="BP60" i="2" a="1"/>
  <c r="AE93" i="2" l="1"/>
  <c r="AE92" i="2"/>
  <c r="AF93" i="2"/>
  <c r="AE94" i="2"/>
  <c r="AF94" i="2"/>
  <c r="J143" i="2"/>
  <c r="U94" i="2"/>
  <c r="V93" i="2"/>
  <c r="V94" i="2"/>
  <c r="V92" i="2"/>
  <c r="J100" i="2" s="1"/>
  <c r="K100" i="2" s="1"/>
  <c r="U93" i="2"/>
  <c r="F6" i="10" s="1"/>
  <c r="F7" i="10" s="1"/>
  <c r="H15" i="9"/>
  <c r="H17" i="9" s="1"/>
  <c r="V5" i="9"/>
  <c r="W5" i="9"/>
  <c r="V4" i="9"/>
  <c r="W4" i="9"/>
  <c r="V6" i="9"/>
  <c r="W6" i="9"/>
  <c r="N106" i="2"/>
  <c r="O106" i="2" s="1"/>
  <c r="N95" i="2"/>
  <c r="O95" i="2" s="1"/>
  <c r="N107" i="2"/>
  <c r="O107" i="2" s="1"/>
  <c r="N98" i="2"/>
  <c r="O98" i="2" s="1"/>
  <c r="N100" i="2"/>
  <c r="O100" i="2" s="1"/>
  <c r="N112" i="2"/>
  <c r="O112" i="2" s="1"/>
  <c r="N101" i="2"/>
  <c r="O101" i="2" s="1"/>
  <c r="N113" i="2"/>
  <c r="O113" i="2" s="1"/>
  <c r="N102" i="2"/>
  <c r="O102" i="2" s="1"/>
  <c r="N103" i="2"/>
  <c r="O103" i="2" s="1"/>
  <c r="N104" i="2"/>
  <c r="O104" i="2" s="1"/>
  <c r="N105" i="2"/>
  <c r="O105" i="2" s="1"/>
  <c r="N96" i="2"/>
  <c r="O96" i="2" s="1"/>
  <c r="N108" i="2"/>
  <c r="O108" i="2" s="1"/>
  <c r="N97" i="2"/>
  <c r="O97" i="2" s="1"/>
  <c r="N109" i="2"/>
  <c r="O109" i="2" s="1"/>
  <c r="N110" i="2"/>
  <c r="O110" i="2" s="1"/>
  <c r="N99" i="2"/>
  <c r="O99" i="2" s="1"/>
  <c r="N111" i="2"/>
  <c r="O111" i="2" s="1"/>
  <c r="J96" i="2"/>
  <c r="K96" i="2" s="1"/>
  <c r="BG61" i="2"/>
  <c r="BH62" i="2"/>
  <c r="BH60" i="2"/>
  <c r="BG60" i="2"/>
  <c r="AW79" i="2" s="1"/>
  <c r="BG62" i="2"/>
  <c r="BQ3" i="2"/>
  <c r="BA7" i="2" s="1"/>
  <c r="BB7" i="2" s="1"/>
  <c r="BP4" i="2"/>
  <c r="BQ4" i="2"/>
  <c r="BP5" i="2"/>
  <c r="BQ5" i="2"/>
  <c r="BG5" i="2"/>
  <c r="BH5" i="2"/>
  <c r="BH3" i="2"/>
  <c r="AW11" i="2" s="1"/>
  <c r="AX11" i="2" s="1"/>
  <c r="BG4" i="2"/>
  <c r="BH4" i="2"/>
  <c r="BQ62" i="2"/>
  <c r="BP62" i="2"/>
  <c r="BQ61" i="2"/>
  <c r="BP61" i="2"/>
  <c r="BP60" i="2"/>
  <c r="BQ60" i="2"/>
  <c r="M141" i="2" l="1"/>
  <c r="N94" i="2"/>
  <c r="O94" i="2" s="1"/>
  <c r="BA5" i="2"/>
  <c r="BA12" i="2"/>
  <c r="BB12" i="2" s="1"/>
  <c r="AW62" i="2"/>
  <c r="AX62" i="2" s="1"/>
  <c r="J110" i="2"/>
  <c r="K110" i="2" s="1"/>
  <c r="J105" i="2"/>
  <c r="K105" i="2" s="1"/>
  <c r="J112" i="2"/>
  <c r="K112" i="2" s="1"/>
  <c r="J103" i="2"/>
  <c r="K103" i="2" s="1"/>
  <c r="J102" i="2"/>
  <c r="K102" i="2" s="1"/>
  <c r="J106" i="2"/>
  <c r="K106" i="2" s="1"/>
  <c r="E17" i="9"/>
  <c r="J101" i="2"/>
  <c r="K101" i="2" s="1"/>
  <c r="AW65" i="2"/>
  <c r="J109" i="2"/>
  <c r="K109" i="2" s="1"/>
  <c r="J94" i="2"/>
  <c r="K94" i="2" s="1"/>
  <c r="J97" i="2"/>
  <c r="K97" i="2" s="1"/>
  <c r="J111" i="2"/>
  <c r="K111" i="2" s="1"/>
  <c r="J104" i="2"/>
  <c r="K104" i="2" s="1"/>
  <c r="J108" i="2"/>
  <c r="K108" i="2" s="1"/>
  <c r="J107" i="2"/>
  <c r="K107" i="2" s="1"/>
  <c r="AW70" i="2"/>
  <c r="AX70" i="2" s="1"/>
  <c r="AW77" i="2"/>
  <c r="AX77" i="2" s="1"/>
  <c r="J113" i="2"/>
  <c r="K113" i="2" s="1"/>
  <c r="J95" i="2"/>
  <c r="K95" i="2" s="1"/>
  <c r="J99" i="2"/>
  <c r="K99" i="2" s="1"/>
  <c r="J98" i="2"/>
  <c r="K98" i="2" s="1"/>
  <c r="P7" i="9"/>
  <c r="Q7" i="9" s="1"/>
  <c r="P5" i="9"/>
  <c r="Q5" i="9" s="1"/>
  <c r="P4" i="9"/>
  <c r="Q4" i="9" s="1"/>
  <c r="P8" i="9"/>
  <c r="Q8" i="9" s="1"/>
  <c r="P10" i="9"/>
  <c r="Q10" i="9" s="1"/>
  <c r="P9" i="9"/>
  <c r="Q9" i="9" s="1"/>
  <c r="P6" i="9"/>
  <c r="Q6" i="9" s="1"/>
  <c r="L5" i="9"/>
  <c r="M5" i="9" s="1"/>
  <c r="L6" i="9"/>
  <c r="M6" i="9" s="1"/>
  <c r="L4" i="9"/>
  <c r="M4" i="9" s="1"/>
  <c r="L10" i="9"/>
  <c r="M10" i="9" s="1"/>
  <c r="L7" i="9"/>
  <c r="M7" i="9" s="1"/>
  <c r="L9" i="9"/>
  <c r="M9" i="9" s="1"/>
  <c r="L8" i="9"/>
  <c r="M8" i="9" s="1"/>
  <c r="BA15" i="2"/>
  <c r="BB15" i="2" s="1"/>
  <c r="BA10" i="2"/>
  <c r="BB10" i="2" s="1"/>
  <c r="AW75" i="2"/>
  <c r="AX75" i="2" s="1"/>
  <c r="BA8" i="2"/>
  <c r="BB8" i="2" s="1"/>
  <c r="BA11" i="2"/>
  <c r="BB11" i="2" s="1"/>
  <c r="BA13" i="2"/>
  <c r="BB13" i="2" s="1"/>
  <c r="BA17" i="2"/>
  <c r="BB17" i="2" s="1"/>
  <c r="AW80" i="2"/>
  <c r="AX80" i="2" s="1"/>
  <c r="AW73" i="2"/>
  <c r="AX73" i="2" s="1"/>
  <c r="BA6" i="2"/>
  <c r="BB6" i="2" s="1"/>
  <c r="BA14" i="2"/>
  <c r="BB14" i="2" s="1"/>
  <c r="BA9" i="2"/>
  <c r="BB9" i="2" s="1"/>
  <c r="AW71" i="2"/>
  <c r="AW76" i="2"/>
  <c r="AX76" i="2" s="1"/>
  <c r="AW81" i="2"/>
  <c r="AX81" i="2" s="1"/>
  <c r="AW66" i="2"/>
  <c r="AX66" i="2" s="1"/>
  <c r="AW64" i="2"/>
  <c r="AW69" i="2"/>
  <c r="AX69" i="2" s="1"/>
  <c r="AW72" i="2"/>
  <c r="AX72" i="2" s="1"/>
  <c r="AW78" i="2"/>
  <c r="AX78" i="2" s="1"/>
  <c r="AW67" i="2"/>
  <c r="AX67" i="2" s="1"/>
  <c r="AW68" i="2"/>
  <c r="AX68" i="2" s="1"/>
  <c r="AW63" i="2"/>
  <c r="AX63" i="2" s="1"/>
  <c r="AW74" i="2"/>
  <c r="AX74" i="2" s="1"/>
  <c r="BA16" i="2"/>
  <c r="BB16" i="2" s="1"/>
  <c r="BA74" i="2"/>
  <c r="BB74" i="2" s="1"/>
  <c r="BA67" i="2"/>
  <c r="BB67" i="2" s="1"/>
  <c r="BA68" i="2"/>
  <c r="BB68" i="2" s="1"/>
  <c r="BA62" i="2"/>
  <c r="BB62" i="2" s="1"/>
  <c r="BA71" i="2"/>
  <c r="BB71" i="2" s="1"/>
  <c r="BA72" i="2"/>
  <c r="BB72" i="2" s="1"/>
  <c r="BA77" i="2"/>
  <c r="BB77" i="2" s="1"/>
  <c r="BA79" i="2"/>
  <c r="BB79" i="2" s="1"/>
  <c r="BA80" i="2"/>
  <c r="BB80" i="2" s="1"/>
  <c r="BA70" i="2"/>
  <c r="BB70" i="2" s="1"/>
  <c r="BA65" i="2"/>
  <c r="BB65" i="2" s="1"/>
  <c r="BA78" i="2"/>
  <c r="BB78" i="2" s="1"/>
  <c r="BA63" i="2"/>
  <c r="BB63" i="2" s="1"/>
  <c r="BA66" i="2"/>
  <c r="BB66" i="2" s="1"/>
  <c r="BA69" i="2"/>
  <c r="BB69" i="2" s="1"/>
  <c r="BA75" i="2"/>
  <c r="BB75" i="2" s="1"/>
  <c r="BA81" i="2"/>
  <c r="BB81" i="2" s="1"/>
  <c r="BA76" i="2"/>
  <c r="BB76" i="2" s="1"/>
  <c r="BA73" i="2"/>
  <c r="BB73" i="2" s="1"/>
  <c r="BA64" i="2"/>
  <c r="BB64" i="2" s="1"/>
  <c r="AW16" i="2"/>
  <c r="AX16" i="2" s="1"/>
  <c r="AW14" i="2"/>
  <c r="AX14" i="2" s="1"/>
  <c r="AW12" i="2"/>
  <c r="AX12" i="2" s="1"/>
  <c r="AW15" i="2"/>
  <c r="AX15" i="2" s="1"/>
  <c r="AW6" i="2"/>
  <c r="AX6" i="2" s="1"/>
  <c r="AW5" i="2"/>
  <c r="AX5" i="2" s="1"/>
  <c r="AW8" i="2"/>
  <c r="AX8" i="2" s="1"/>
  <c r="AW17" i="2"/>
  <c r="AX17" i="2" s="1"/>
  <c r="AX64" i="2"/>
  <c r="AW9" i="2"/>
  <c r="AX9" i="2" s="1"/>
  <c r="AW13" i="2"/>
  <c r="AX13" i="2" s="1"/>
  <c r="AW10" i="2"/>
  <c r="AX10" i="2" s="1"/>
  <c r="AW7" i="2"/>
  <c r="AX7" i="2" s="1"/>
  <c r="BB5" i="2"/>
  <c r="AX71" i="2"/>
  <c r="AX79" i="2"/>
  <c r="AX65" i="2"/>
  <c r="G5" i="10" l="1"/>
  <c r="M143" i="2"/>
  <c r="H4" i="3"/>
  <c r="F4" i="3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62" i="2"/>
  <c r="G63" i="2"/>
  <c r="G64" i="2"/>
  <c r="G65" i="2"/>
  <c r="E62" i="2"/>
  <c r="M62" i="2"/>
  <c r="I63" i="2"/>
  <c r="M63" i="2"/>
  <c r="I64" i="2"/>
  <c r="M64" i="2"/>
  <c r="I65" i="2"/>
  <c r="M65" i="2"/>
  <c r="G27" i="1"/>
  <c r="G29" i="1"/>
  <c r="G26" i="1"/>
  <c r="C26" i="1"/>
  <c r="C27" i="1"/>
  <c r="C28" i="1"/>
  <c r="C29" i="1"/>
  <c r="G7" i="10" l="1"/>
  <c r="G8" i="10"/>
  <c r="Y61" i="2" a="1"/>
  <c r="S61" i="2" a="1"/>
  <c r="O6" i="4"/>
  <c r="K6" i="4"/>
  <c r="I6" i="4"/>
  <c r="G6" i="4"/>
  <c r="O5" i="4"/>
  <c r="K5" i="4"/>
  <c r="I5" i="4"/>
  <c r="G5" i="4"/>
  <c r="O4" i="4"/>
  <c r="K4" i="4"/>
  <c r="I4" i="4"/>
  <c r="G4" i="4"/>
  <c r="N5" i="3"/>
  <c r="N6" i="3"/>
  <c r="N7" i="3"/>
  <c r="N8" i="3"/>
  <c r="AA4" i="3" a="1"/>
  <c r="AA4" i="3" s="1"/>
  <c r="Y61" i="2" l="1"/>
  <c r="Z63" i="2"/>
  <c r="Y63" i="2"/>
  <c r="Z62" i="2"/>
  <c r="Y62" i="2"/>
  <c r="Z61" i="2"/>
  <c r="S61" i="2"/>
  <c r="S62" i="2"/>
  <c r="T62" i="2"/>
  <c r="S63" i="2"/>
  <c r="T63" i="2"/>
  <c r="T61" i="2"/>
  <c r="C9" i="4" a="1"/>
  <c r="D9" i="4" s="1"/>
  <c r="P9" i="4" a="1"/>
  <c r="P9" i="4" s="1"/>
  <c r="AB6" i="3"/>
  <c r="AA6" i="3"/>
  <c r="AB5" i="3"/>
  <c r="AA5" i="3"/>
  <c r="AB4" i="3"/>
  <c r="O7" i="3" s="1"/>
  <c r="P7" i="3" s="1"/>
  <c r="H6" i="3"/>
  <c r="J5" i="3"/>
  <c r="H5" i="3"/>
  <c r="J6" i="3"/>
  <c r="J7" i="3"/>
  <c r="H7" i="3"/>
  <c r="J8" i="3"/>
  <c r="H8" i="3"/>
  <c r="J4" i="3"/>
  <c r="F5" i="3"/>
  <c r="F6" i="3"/>
  <c r="F7" i="3"/>
  <c r="F8" i="3"/>
  <c r="M18" i="2"/>
  <c r="I18" i="2"/>
  <c r="E18" i="2"/>
  <c r="M17" i="2"/>
  <c r="I17" i="2"/>
  <c r="E17" i="2"/>
  <c r="M16" i="2"/>
  <c r="I16" i="2"/>
  <c r="E16" i="2"/>
  <c r="M15" i="2"/>
  <c r="I15" i="2"/>
  <c r="E15" i="2"/>
  <c r="M14" i="2"/>
  <c r="I14" i="2"/>
  <c r="E14" i="2"/>
  <c r="M13" i="2"/>
  <c r="I13" i="2"/>
  <c r="E13" i="2"/>
  <c r="M12" i="2"/>
  <c r="I12" i="2"/>
  <c r="E12" i="2"/>
  <c r="M11" i="2"/>
  <c r="I11" i="2"/>
  <c r="E11" i="2"/>
  <c r="M10" i="2"/>
  <c r="I10" i="2"/>
  <c r="E10" i="2"/>
  <c r="M9" i="2"/>
  <c r="I9" i="2"/>
  <c r="E9" i="2"/>
  <c r="M8" i="2"/>
  <c r="I8" i="2"/>
  <c r="E8" i="2"/>
  <c r="M7" i="2"/>
  <c r="I7" i="2"/>
  <c r="E7" i="2"/>
  <c r="M6" i="2"/>
  <c r="I6" i="2"/>
  <c r="E6" i="2"/>
  <c r="M5" i="2"/>
  <c r="I5" i="2"/>
  <c r="G5" i="2"/>
  <c r="E5" i="2"/>
  <c r="AE7" i="4" l="1"/>
  <c r="AE9" i="4" s="1"/>
  <c r="D10" i="4"/>
  <c r="D11" i="4"/>
  <c r="J63" i="2"/>
  <c r="K63" i="2" s="1"/>
  <c r="J64" i="2"/>
  <c r="K64" i="2" s="1"/>
  <c r="J65" i="2"/>
  <c r="K65" i="2" s="1"/>
  <c r="J62" i="2"/>
  <c r="K62" i="2" s="1"/>
  <c r="N63" i="2"/>
  <c r="N64" i="2"/>
  <c r="N65" i="2"/>
  <c r="N62" i="2"/>
  <c r="O62" i="2" s="1"/>
  <c r="AD3" i="2" a="1"/>
  <c r="T3" i="2" a="1"/>
  <c r="C10" i="4"/>
  <c r="C11" i="4"/>
  <c r="C9" i="4"/>
  <c r="AB7" i="4" s="1"/>
  <c r="AB9" i="4" s="1"/>
  <c r="P10" i="4"/>
  <c r="P11" i="4"/>
  <c r="Q11" i="4"/>
  <c r="Q10" i="4"/>
  <c r="Q9" i="4"/>
  <c r="P5" i="4" s="1"/>
  <c r="P8" i="3"/>
  <c r="P4" i="3"/>
  <c r="O6" i="3"/>
  <c r="P6" i="3" s="1"/>
  <c r="O5" i="3"/>
  <c r="P5" i="3" s="1"/>
  <c r="K6" i="3"/>
  <c r="L6" i="3" s="1"/>
  <c r="P6" i="4" l="1"/>
  <c r="P4" i="4"/>
  <c r="Q4" i="4"/>
  <c r="L5" i="4"/>
  <c r="M5" i="4" s="1"/>
  <c r="L6" i="4"/>
  <c r="M6" i="4" s="1"/>
  <c r="L4" i="4"/>
  <c r="M4" i="4" s="1"/>
  <c r="T3" i="2"/>
  <c r="T5" i="2"/>
  <c r="U3" i="2"/>
  <c r="U4" i="2"/>
  <c r="T4" i="2"/>
  <c r="U5" i="2"/>
  <c r="AD3" i="2"/>
  <c r="AD5" i="2"/>
  <c r="AE5" i="2"/>
  <c r="AE3" i="2"/>
  <c r="AD4" i="2"/>
  <c r="AE4" i="2"/>
  <c r="Q6" i="4"/>
  <c r="Q5" i="4"/>
  <c r="K7" i="3"/>
  <c r="L7" i="3" s="1"/>
  <c r="K4" i="3"/>
  <c r="L4" i="3" s="1"/>
  <c r="K5" i="3"/>
  <c r="L5" i="3" s="1"/>
  <c r="K8" i="3"/>
  <c r="L8" i="3" s="1"/>
  <c r="N5" i="2" l="1"/>
  <c r="O5" i="2" s="1"/>
  <c r="J5" i="2"/>
  <c r="K5" i="2" s="1"/>
  <c r="N8" i="2"/>
  <c r="O8" i="2" s="1"/>
  <c r="N9" i="2"/>
  <c r="O9" i="2" s="1"/>
  <c r="N18" i="2"/>
  <c r="N6" i="2"/>
  <c r="O6" i="2" s="1"/>
  <c r="N14" i="2"/>
  <c r="O14" i="2" s="1"/>
  <c r="N17" i="2"/>
  <c r="O17" i="2" s="1"/>
  <c r="N12" i="2"/>
  <c r="O12" i="2" s="1"/>
  <c r="N10" i="2"/>
  <c r="O10" i="2" s="1"/>
  <c r="N11" i="2"/>
  <c r="O11" i="2" s="1"/>
  <c r="N7" i="2"/>
  <c r="O7" i="2" s="1"/>
  <c r="N15" i="2"/>
  <c r="O15" i="2" s="1"/>
  <c r="N13" i="2"/>
  <c r="O13" i="2" s="1"/>
  <c r="N16" i="2"/>
  <c r="O16" i="2" s="1"/>
  <c r="J10" i="2"/>
  <c r="K10" i="2" s="1"/>
  <c r="J11" i="2"/>
  <c r="K11" i="2" s="1"/>
  <c r="J9" i="2"/>
  <c r="K9" i="2" s="1"/>
  <c r="J15" i="2"/>
  <c r="K15" i="2" s="1"/>
  <c r="J17" i="2"/>
  <c r="K17" i="2" s="1"/>
  <c r="J12" i="2"/>
  <c r="K12" i="2" s="1"/>
  <c r="J8" i="2"/>
  <c r="K8" i="2" s="1"/>
  <c r="J7" i="2"/>
  <c r="K7" i="2" s="1"/>
  <c r="J18" i="2"/>
  <c r="K18" i="2" s="1"/>
  <c r="J14" i="2"/>
  <c r="K14" i="2" s="1"/>
  <c r="J6" i="2"/>
  <c r="K6" i="2" s="1"/>
  <c r="J13" i="2"/>
  <c r="K13" i="2" s="1"/>
  <c r="J16" i="2"/>
  <c r="K16" i="2" s="1"/>
  <c r="O18" i="2"/>
  <c r="O63" i="2"/>
  <c r="O65" i="2"/>
  <c r="O64" i="2"/>
  <c r="G2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P7" i="1" l="1" a="1"/>
  <c r="L16" i="1" l="1"/>
  <c r="P7" i="1"/>
  <c r="Q9" i="1"/>
  <c r="Q7" i="1"/>
  <c r="P9" i="1"/>
  <c r="Q8" i="1"/>
  <c r="P8" i="1"/>
  <c r="H27" i="1" l="1"/>
  <c r="I27" i="1" s="1"/>
  <c r="H29" i="1"/>
  <c r="I29" i="1" s="1"/>
  <c r="H28" i="1"/>
  <c r="I28" i="1" s="1"/>
  <c r="H26" i="1"/>
  <c r="I26" i="1" s="1"/>
  <c r="H13" i="1"/>
  <c r="I13" i="1" s="1"/>
  <c r="H23" i="1"/>
  <c r="I23" i="1" s="1"/>
  <c r="H17" i="1"/>
  <c r="I17" i="1" s="1"/>
  <c r="H6" i="1"/>
  <c r="I6" i="1" s="1"/>
  <c r="H10" i="1"/>
  <c r="I10" i="1" s="1"/>
  <c r="H9" i="1"/>
  <c r="I9" i="1" s="1"/>
  <c r="H16" i="1"/>
  <c r="I16" i="1" s="1"/>
  <c r="H11" i="1"/>
  <c r="I11" i="1" s="1"/>
  <c r="H21" i="1"/>
  <c r="I21" i="1" s="1"/>
  <c r="H20" i="1"/>
  <c r="I20" i="1" s="1"/>
  <c r="H24" i="1"/>
  <c r="I24" i="1" s="1"/>
  <c r="H8" i="1"/>
  <c r="I8" i="1" s="1"/>
  <c r="H25" i="1"/>
  <c r="I25" i="1" s="1"/>
  <c r="H15" i="1"/>
  <c r="I15" i="1" s="1"/>
  <c r="H19" i="1"/>
  <c r="I19" i="1" s="1"/>
  <c r="H22" i="1"/>
  <c r="I22" i="1" s="1"/>
  <c r="H7" i="1"/>
  <c r="I7" i="1" s="1"/>
  <c r="H12" i="1"/>
  <c r="I12" i="1" s="1"/>
  <c r="H14" i="1"/>
  <c r="I14" i="1" s="1"/>
  <c r="H18" i="1"/>
  <c r="I18" i="1" s="1"/>
  <c r="L29" i="1"/>
  <c r="L26" i="1"/>
  <c r="L27" i="1"/>
  <c r="L28" i="1"/>
  <c r="L6" i="1"/>
  <c r="L13" i="1"/>
  <c r="L23" i="1"/>
  <c r="L17" i="1"/>
  <c r="L10" i="1"/>
  <c r="L9" i="1"/>
  <c r="L15" i="1"/>
  <c r="L11" i="1"/>
  <c r="L20" i="1"/>
  <c r="L8" i="1"/>
  <c r="L22" i="1"/>
  <c r="L7" i="1"/>
  <c r="L14" i="1"/>
  <c r="L18" i="1"/>
  <c r="L21" i="1"/>
  <c r="L24" i="1"/>
  <c r="L25" i="1"/>
  <c r="L12" i="1"/>
  <c r="L19" i="1"/>
</calcChain>
</file>

<file path=xl/sharedStrings.xml><?xml version="1.0" encoding="utf-8"?>
<sst xmlns="http://schemas.openxmlformats.org/spreadsheetml/2006/main" count="381" uniqueCount="83">
  <si>
    <t>Ajuste</t>
  </si>
  <si>
    <t>Resíduos</t>
  </si>
  <si>
    <t>s(m)</t>
  </si>
  <si>
    <t>m</t>
  </si>
  <si>
    <t>r^2</t>
  </si>
  <si>
    <t>b</t>
  </si>
  <si>
    <t>s(b)</t>
  </si>
  <si>
    <t>s(y)</t>
  </si>
  <si>
    <t>f (Hz)</t>
  </si>
  <si>
    <r>
      <t>w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</si>
  <si>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</si>
  <si>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</si>
  <si>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</si>
  <si>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</si>
  <si>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</si>
  <si>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</si>
  <si>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</si>
  <si>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</si>
  <si>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</si>
  <si>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</si>
  <si>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</si>
  <si>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</si>
  <si>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>V (V) (pico a pico)</t>
  </si>
  <si>
    <t>V E 0 (V)</t>
  </si>
  <si>
    <t>D (m)</t>
  </si>
  <si>
    <t>V rms (V)</t>
  </si>
  <si>
    <t>i rms (A)</t>
  </si>
  <si>
    <t xml:space="preserve">Ensaio 4 - Grupo 2B </t>
  </si>
  <si>
    <t>Ensaio 2 - Grupo 2B - Reduzir Amplitude da Corrente</t>
  </si>
  <si>
    <t>Ensaio 1 - Grupo 2B - Reduzir Amplitude da Corrente</t>
  </si>
  <si>
    <t>Ensaio 3 - Grupo 2B - Confirmar Tendência</t>
  </si>
  <si>
    <t>i0 (A)</t>
  </si>
  <si>
    <t>v E0 (V)</t>
  </si>
  <si>
    <t>V rms (A)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</si>
  <si>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</si>
  <si>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</si>
  <si>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</si>
  <si>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(A)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</si>
  <si>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</si>
  <si>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(V)</t>
    </r>
  </si>
  <si>
    <r>
      <t>ω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</si>
  <si>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</si>
  <si>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</si>
  <si>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(A)</t>
    </r>
  </si>
  <si>
    <t>V (V) (RMS)</t>
  </si>
  <si>
    <r>
      <t>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</si>
  <si>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E0 (V)</t>
    </r>
  </si>
  <si>
    <t>V volt - V osc</t>
  </si>
  <si>
    <t>θ (rad)</t>
  </si>
  <si>
    <t>θ (°)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</si>
  <si>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</si>
  <si>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</si>
  <si>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</si>
  <si>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</si>
  <si>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</si>
  <si>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</si>
  <si>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</si>
  <si>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</si>
  <si>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</si>
  <si>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</si>
  <si>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</si>
  <si>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</si>
  <si>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</si>
  <si>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</si>
  <si>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</si>
  <si>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</si>
  <si>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θ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</si>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</sst>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00"/>
    <numFmt numFmtId="167" formatCode="0.000E+00"/>
    <numFmt numFmtId="168" formatCode="0.0%"/>
    <numFmt numFmtId="171" formatCode="0.00000"/>
  </numFmts>
  <fonts count="1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CC99FF"/>
      <color rgb="FFA7FFFF"/>
      <color rgb="FFCCFFFF"/>
      <color rgb="FF66FFFF"/>
      <color rgb="FF99FFCC"/>
      <color rgb="FF99FF99"/>
      <color rgb="FF9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ω!$G$6:$G$29</c:f>
              <c:numCache>
                <c:formatCode>General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General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ω!$K$6:$K$29</c:f>
              <c:numCache>
                <c:formatCode>General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ω!$L$6:$L$29</c:f>
              <c:numCache>
                <c:formatCode>General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61832693092092"/>
          <c:y val="0.69168841894419386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General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ω!$M$6:$M$25</c:f>
              <c:numCache>
                <c:formatCode>General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97991452991453"/>
          <c:y val="0.14785798611111112"/>
          <c:w val="0.82680213675213676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ω!$E$6:$E$29</c:f>
              <c:numCache>
                <c:formatCode>General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</a:t>
            </a:r>
            <a:r>
              <a:rPr lang="en-US" baseline="-25000"/>
              <a:t>E0</a:t>
            </a:r>
            <a:r>
              <a:rPr lang="en-US" baseline="0"/>
              <a:t> - Voltímetro VS Osciloscópio</a:t>
            </a:r>
            <a:endParaRPr 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3241493055555551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ω!$J$47:$J$70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3.6047704262808157E-2"/>
              <c:y val="0.15647500143115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i0!$I$5:$I$18</c:f>
              <c:numCache>
                <c:formatCode>General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General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43945259725024"/>
          <c:y val="0.14280567944648007"/>
          <c:w val="0.78604032138346436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i0!$M$5:$M$18</c:f>
              <c:numCache>
                <c:formatCode>0.0000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General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General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8841913409"/>
          <c:y val="0.1380597279859789"/>
          <c:w val="0.78901401287725492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General</c:formatCode>
                <c:ptCount val="14"/>
                <c:pt idx="0" formatCode="0.000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i0!$AV$5:$AV$17</c:f>
              <c:numCache>
                <c:formatCode>General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i0!$AW$5:$AW$17</c:f>
              <c:numCache>
                <c:formatCode>General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49206960966903"/>
          <c:y val="0.14280567944648007"/>
          <c:w val="0.79198770437104549"/>
          <c:h val="0.7366314581842438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General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7573895266903"/>
          <c:y val="0.70938149272814444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57099512829723"/>
          <c:y val="0.1380597279859789"/>
          <c:w val="0.8009087788524172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General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36052707862207"/>
          <c:y val="0.1380597279859789"/>
          <c:w val="0.77711924690209244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</a:t>
            </a:r>
            <a:r>
              <a:rPr lang="en-US" sz="1500"/>
              <a:t> - Ensaio 4</a:t>
            </a:r>
            <a:r>
              <a:rPr lang="en-US" sz="1500" baseline="0"/>
              <a:t> - </a:t>
            </a:r>
            <a:r>
              <a:rPr lang="en-US" sz="1500"/>
              <a:t>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i0!$AV$62:$AV$81</c:f>
              <c:numCache>
                <c:formatCode>General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i0!$AW$62:$AW$81</c:f>
              <c:numCache>
                <c:formatCode>General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4 -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General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General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General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General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35593759931703E-2"/>
          <c:y val="0.13004629629629633"/>
          <c:w val="0.7052641922194851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General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General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2"/>
          <c:order val="2"/>
          <c:tx>
            <c:v>Resíduos Ensaio 3 -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i0!$G$62:$G$65</c:f>
              <c:numCache>
                <c:formatCode>General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i0!$K$62:$K$65</c:f>
              <c:numCache>
                <c:formatCode>General</c:formatCode>
                <c:ptCount val="4"/>
                <c:pt idx="0">
                  <c:v>3.0433807941605551E-3</c:v>
                </c:pt>
                <c:pt idx="1">
                  <c:v>-7.7877596036191044E-4</c:v>
                </c:pt>
                <c:pt idx="2">
                  <c:v>-8.8294177993518685E-3</c:v>
                </c:pt>
                <c:pt idx="3">
                  <c:v>6.5648129655527798E-3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3F-4F06-AF8B-028F70B0A9D7}"/>
            </c:ext>
          </c:extLst>
        </c:ser>
        <c:ser>
          <c:idx val="3"/>
          <c:order val="3"/>
          <c:tx>
            <c:v>Resíduos Ensaio 4 -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General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63776368230156"/>
          <c:y val="0.40657071348027668"/>
          <c:w val="0.18188607433261886"/>
          <c:h val="0.2425728243937844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1535289135088"/>
          <c:y val="0.13004629629629633"/>
          <c:w val="0.69604622619392387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General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General</c:formatCode>
                <c:ptCount val="14"/>
                <c:pt idx="0" formatCode="0.000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i0!$AT$5:$AT$17</c:f>
              <c:numCache>
                <c:formatCode>General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2"/>
          <c:order val="2"/>
          <c:tx>
            <c:v>Resíduos Ensaio 3 -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i0!$G$62:$G$65</c:f>
              <c:numCache>
                <c:formatCode>General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i0!$O$62:$O$65</c:f>
              <c:numCache>
                <c:formatCode>General</c:formatCode>
                <c:ptCount val="4"/>
                <c:pt idx="0" formatCode="0.0000">
                  <c:v>4.6600146289625943E-3</c:v>
                </c:pt>
                <c:pt idx="1">
                  <c:v>-3.8697746311706638E-3</c:v>
                </c:pt>
                <c:pt idx="2">
                  <c:v>-5.6622365751666237E-3</c:v>
                </c:pt>
                <c:pt idx="3">
                  <c:v>4.8719965773748042E-3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65-40BF-94D3-65527B2D77B4}"/>
            </c:ext>
          </c:extLst>
        </c:ser>
        <c:ser>
          <c:idx val="3"/>
          <c:order val="3"/>
          <c:tx>
            <c:v>Resíduos Ensaio 4 -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i0!$AT$62:$AT$81</c:f>
              <c:numCache>
                <c:formatCode>General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General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63776368230156"/>
          <c:y val="0.40657071348027668"/>
          <c:w val="0.18935900422936866"/>
          <c:h val="0.2425728243937844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i0!$G$94:$G$113</c:f>
              <c:numCache>
                <c:formatCode>General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General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i0!$G$94:$G$113</c:f>
              <c:numCache>
                <c:formatCode>General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i0!$G$94:$G$113</c:f>
              <c:numCache>
                <c:formatCode>General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i0!$I$94:$I$113</c:f>
              <c:numCache>
                <c:formatCode>General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General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General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5948982939631"/>
          <c:y val="0.69792359932679882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i0!$G$94:$G$113</c:f>
              <c:numCache>
                <c:formatCode>General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i0!$M$94:$M$113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General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i0!$N$94:$N$113</c:f>
              <c:numCache>
                <c:formatCode>General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1789651107"/>
          <c:y val="0.6942648499875359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n!$J$4:$J$8</c:f>
              <c:numCache>
                <c:formatCode>General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General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7268251059861478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General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3470381826482"/>
          <c:y val="0.79471523954879053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n!$N$4:$N$8</c:f>
              <c:numCache>
                <c:formatCode>General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 formatCode="0.000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n!$O$4:$O$8</c:f>
              <c:numCache>
                <c:formatCode>General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 formatCode="0.000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General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S!$E$4:$E$6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S!$K$4:$K$6</c:f>
              <c:numCache>
                <c:formatCode>General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General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1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S!$E$4:$E$6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General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 (</a:t>
                </a:r>
                <a:r>
                  <a:rPr lang="en-US" sz="1400"/>
                  <a:t>s-1)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Resíduos de 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(mV)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S!$E$4:$E$6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S!$O$4:$O$6</c:f>
              <c:numCache>
                <c:formatCode>General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S!$P$4:$P$6</c:f>
              <c:numCache>
                <c:formatCode>General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1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S!$E$4:$E$6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General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'cos(θ)'!$E$4:$E$10</c:f>
              <c:numCache>
                <c:formatCode>General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'cos(θ)'!$K$4:$K$10</c:f>
              <c:numCache>
                <c:formatCode>General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General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'cos(θ)'!$L$4:$L$10</c:f>
              <c:numCache>
                <c:formatCode>General</c:formatCode>
                <c:ptCount val="7"/>
                <c:pt idx="0">
                  <c:v>0.16619688961248241</c:v>
                </c:pt>
                <c:pt idx="1">
                  <c:v>0.16069433345534684</c:v>
                </c:pt>
                <c:pt idx="2">
                  <c:v>0.14456165509264496</c:v>
                </c:pt>
                <c:pt idx="3">
                  <c:v>0.11889826989428329</c:v>
                </c:pt>
                <c:pt idx="4">
                  <c:v>8.5453095150780936E-2</c:v>
                </c:pt>
                <c:pt idx="5">
                  <c:v>4.6505364250143004E-2</c:v>
                </c:pt>
                <c:pt idx="6">
                  <c:v>4.7093006890794459E-3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88684074473581"/>
          <c:y val="0.65370371824941131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 baseline="0"/>
              <a:t>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'cos(θ)'!$E$4:$E$10</c:f>
              <c:numCache>
                <c:formatCode>General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'cos(θ)'!$M$4:$M$10</c:f>
              <c:numCache>
                <c:formatCode>General</c:formatCode>
                <c:ptCount val="7"/>
                <c:pt idx="0">
                  <c:v>-1.1045748162547553E-3</c:v>
                </c:pt>
                <c:pt idx="1">
                  <c:v>-1.2331194363725539E-3</c:v>
                </c:pt>
                <c:pt idx="2">
                  <c:v>2.9029018114634653E-5</c:v>
                </c:pt>
                <c:pt idx="3">
                  <c:v>6.7001607989254641E-4</c:v>
                </c:pt>
                <c:pt idx="4">
                  <c:v>2.5801803957175573E-3</c:v>
                </c:pt>
                <c:pt idx="5">
                  <c:v>1.9576370353905082E-3</c:v>
                </c:pt>
                <c:pt idx="6">
                  <c:v>-2.8991682764878063E-3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64909929173086"/>
          <c:y val="0.14275319271606005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 b="0" i="0" baseline="0">
                <a:effectLst/>
              </a:rPr>
              <a:t> -Osciloscópio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'cos(θ)'!$E$4:$E$10</c:f>
              <c:numCache>
                <c:formatCode>General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'cos(θ)'!$O$4:$O$10</c:f>
              <c:numCache>
                <c:formatCode>General</c:formatCode>
                <c:ptCount val="7"/>
                <c:pt idx="0">
                  <c:v>0.186</c:v>
                </c:pt>
                <c:pt idx="1">
                  <c:v>0.17</c:v>
                </c:pt>
                <c:pt idx="2">
                  <c:v>0.152</c:v>
                </c:pt>
                <c:pt idx="3">
                  <c:v>0.13400000000000001</c:v>
                </c:pt>
                <c:pt idx="4">
                  <c:v>9.8000000000000004E-2</c:v>
                </c:pt>
                <c:pt idx="5">
                  <c:v>6.2E-2</c:v>
                </c:pt>
                <c:pt idx="6">
                  <c:v>2.8000000000000001E-2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4-4A9C-BC7F-276D9009168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General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'cos(θ)'!$P$4:$P$10</c:f>
              <c:numCache>
                <c:formatCode>General</c:formatCode>
                <c:ptCount val="7"/>
                <c:pt idx="0">
                  <c:v>0.17775607118145115</c:v>
                </c:pt>
                <c:pt idx="1">
                  <c:v>0.17253178092980542</c:v>
                </c:pt>
                <c:pt idx="2">
                  <c:v>0.15721493692197008</c:v>
                </c:pt>
                <c:pt idx="3">
                  <c:v>0.13284935676479753</c:v>
                </c:pt>
                <c:pt idx="4">
                  <c:v>0.10109551447997407</c:v>
                </c:pt>
                <c:pt idx="5">
                  <c:v>6.4117381943504859E-2</c:v>
                </c:pt>
                <c:pt idx="6">
                  <c:v>2.4434957778496968E-2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4-4A9C-BC7F-276D9009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10163764485096"/>
          <c:y val="0.6814186253892262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'cos(θ)'!$E$4:$E$10</c:f>
              <c:numCache>
                <c:formatCode>General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'cos(θ)'!$Q$4:$Q$8</c:f>
              <c:numCache>
                <c:formatCode>General</c:formatCode>
                <c:ptCount val="5"/>
                <c:pt idx="0">
                  <c:v>8.2439288185488513E-3</c:v>
                </c:pt>
                <c:pt idx="1">
                  <c:v>-2.5317809298054106E-3</c:v>
                </c:pt>
                <c:pt idx="2">
                  <c:v>-5.214936921970087E-3</c:v>
                </c:pt>
                <c:pt idx="3">
                  <c:v>1.1506432352024754E-3</c:v>
                </c:pt>
                <c:pt idx="4">
                  <c:v>-3.095514479974068E-3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2-4E86-9F5B-566E3CA8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θ</a:t>
                </a:r>
                <a:r>
                  <a:rPr lang="en-US" sz="1400"/>
                  <a:t> ()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2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872100915069394"/>
          <c:y val="0.14691462478694536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161564</xdr:colOff>
      <xdr:row>25</xdr:row>
      <xdr:rowOff>26982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853664</xdr:colOff>
      <xdr:row>10</xdr:row>
      <xdr:rowOff>4481</xdr:rowOff>
    </xdr:from>
    <xdr:to>
      <xdr:col>31</xdr:col>
      <xdr:colOff>409214</xdr:colOff>
      <xdr:row>25</xdr:row>
      <xdr:rowOff>26981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2466</xdr:rowOff>
    </xdr:from>
    <xdr:to>
      <xdr:col>21</xdr:col>
      <xdr:colOff>165150</xdr:colOff>
      <xdr:row>41</xdr:row>
      <xdr:rowOff>13761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850527</xdr:colOff>
      <xdr:row>26</xdr:row>
      <xdr:rowOff>4482</xdr:rowOff>
    </xdr:from>
    <xdr:to>
      <xdr:col>31</xdr:col>
      <xdr:colOff>406077</xdr:colOff>
      <xdr:row>41</xdr:row>
      <xdr:rowOff>26983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8</xdr:col>
      <xdr:colOff>201488</xdr:colOff>
      <xdr:row>45</xdr:row>
      <xdr:rowOff>104142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205971</xdr:colOff>
      <xdr:row>62</xdr:row>
      <xdr:rowOff>104143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5</xdr:row>
      <xdr:rowOff>178652</xdr:rowOff>
    </xdr:from>
    <xdr:to>
      <xdr:col>23</xdr:col>
      <xdr:colOff>412798</xdr:colOff>
      <xdr:row>21</xdr:row>
      <xdr:rowOff>97738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670236</xdr:colOff>
      <xdr:row>6</xdr:row>
      <xdr:rowOff>4480</xdr:rowOff>
    </xdr:from>
    <xdr:to>
      <xdr:col>33</xdr:col>
      <xdr:colOff>598713</xdr:colOff>
      <xdr:row>21</xdr:row>
      <xdr:rowOff>108623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609599</xdr:colOff>
      <xdr:row>25</xdr:row>
      <xdr:rowOff>0</xdr:rowOff>
    </xdr:from>
    <xdr:to>
      <xdr:col>23</xdr:col>
      <xdr:colOff>412799</xdr:colOff>
      <xdr:row>40</xdr:row>
      <xdr:rowOff>104143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5120</xdr:colOff>
      <xdr:row>24</xdr:row>
      <xdr:rowOff>183135</xdr:rowOff>
    </xdr:from>
    <xdr:to>
      <xdr:col>33</xdr:col>
      <xdr:colOff>407035</xdr:colOff>
      <xdr:row>40</xdr:row>
      <xdr:rowOff>102221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895</xdr:colOff>
      <xdr:row>6</xdr:row>
      <xdr:rowOff>1120</xdr:rowOff>
    </xdr:from>
    <xdr:to>
      <xdr:col>62</xdr:col>
      <xdr:colOff>413695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606011</xdr:colOff>
      <xdr:row>5</xdr:row>
      <xdr:rowOff>161365</xdr:rowOff>
    </xdr:from>
    <xdr:to>
      <xdr:col>71</xdr:col>
      <xdr:colOff>409211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0</xdr:colOff>
      <xdr:row>24</xdr:row>
      <xdr:rowOff>179293</xdr:rowOff>
    </xdr:from>
    <xdr:to>
      <xdr:col>62</xdr:col>
      <xdr:colOff>412800</xdr:colOff>
      <xdr:row>40</xdr:row>
      <xdr:rowOff>98379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609598</xdr:colOff>
      <xdr:row>24</xdr:row>
      <xdr:rowOff>179293</xdr:rowOff>
    </xdr:from>
    <xdr:to>
      <xdr:col>71</xdr:col>
      <xdr:colOff>412798</xdr:colOff>
      <xdr:row>40</xdr:row>
      <xdr:rowOff>98379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606012</xdr:colOff>
      <xdr:row>63</xdr:row>
      <xdr:rowOff>4483</xdr:rowOff>
    </xdr:from>
    <xdr:to>
      <xdr:col>62</xdr:col>
      <xdr:colOff>409212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63</xdr:col>
      <xdr:colOff>606012</xdr:colOff>
      <xdr:row>62</xdr:row>
      <xdr:rowOff>174813</xdr:rowOff>
    </xdr:from>
    <xdr:to>
      <xdr:col>71</xdr:col>
      <xdr:colOff>409212</xdr:colOff>
      <xdr:row>78</xdr:row>
      <xdr:rowOff>93899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609599</xdr:colOff>
      <xdr:row>82</xdr:row>
      <xdr:rowOff>0</xdr:rowOff>
    </xdr:from>
    <xdr:to>
      <xdr:col>62</xdr:col>
      <xdr:colOff>412799</xdr:colOff>
      <xdr:row>97</xdr:row>
      <xdr:rowOff>71486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63</xdr:col>
      <xdr:colOff>609599</xdr:colOff>
      <xdr:row>81</xdr:row>
      <xdr:rowOff>179293</xdr:rowOff>
    </xdr:from>
    <xdr:to>
      <xdr:col>71</xdr:col>
      <xdr:colOff>412799</xdr:colOff>
      <xdr:row>97</xdr:row>
      <xdr:rowOff>65722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4483</xdr:colOff>
      <xdr:row>66</xdr:row>
      <xdr:rowOff>185056</xdr:rowOff>
    </xdr:from>
    <xdr:to>
      <xdr:col>15</xdr:col>
      <xdr:colOff>100533</xdr:colOff>
      <xdr:row>86</xdr:row>
      <xdr:rowOff>17928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</xdr:colOff>
      <xdr:row>67</xdr:row>
      <xdr:rowOff>1</xdr:rowOff>
    </xdr:from>
    <xdr:to>
      <xdr:col>28</xdr:col>
      <xdr:colOff>8964</xdr:colOff>
      <xdr:row>86</xdr:row>
      <xdr:rowOff>17930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115</xdr:row>
      <xdr:rowOff>-1</xdr:rowOff>
    </xdr:from>
    <xdr:to>
      <xdr:col>25</xdr:col>
      <xdr:colOff>163200</xdr:colOff>
      <xdr:row>132</xdr:row>
      <xdr:rowOff>94028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620484</xdr:colOff>
      <xdr:row>114</xdr:row>
      <xdr:rowOff>185053</xdr:rowOff>
    </xdr:from>
    <xdr:to>
      <xdr:col>35</xdr:col>
      <xdr:colOff>163199</xdr:colOff>
      <xdr:row>132</xdr:row>
      <xdr:rowOff>94024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95</xdr:row>
      <xdr:rowOff>185056</xdr:rowOff>
    </xdr:from>
    <xdr:to>
      <xdr:col>25</xdr:col>
      <xdr:colOff>163200</xdr:colOff>
      <xdr:row>113</xdr:row>
      <xdr:rowOff>94028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620484</xdr:colOff>
      <xdr:row>95</xdr:row>
      <xdr:rowOff>185054</xdr:rowOff>
    </xdr:from>
    <xdr:to>
      <xdr:col>35</xdr:col>
      <xdr:colOff>163199</xdr:colOff>
      <xdr:row>113</xdr:row>
      <xdr:rowOff>94026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-1</xdr:rowOff>
    </xdr:from>
    <xdr:to>
      <xdr:col>24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-1</xdr:rowOff>
    </xdr:from>
    <xdr:to>
      <xdr:col>24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606014</xdr:colOff>
      <xdr:row>7</xdr:row>
      <xdr:rowOff>4481</xdr:rowOff>
    </xdr:from>
    <xdr:to>
      <xdr:col>32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1120</xdr:colOff>
      <xdr:row>23</xdr:row>
      <xdr:rowOff>-1</xdr:rowOff>
    </xdr:from>
    <xdr:to>
      <xdr:col>32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1345</xdr:colOff>
      <xdr:row>12</xdr:row>
      <xdr:rowOff>0</xdr:rowOff>
    </xdr:from>
    <xdr:to>
      <xdr:col>8</xdr:col>
      <xdr:colOff>145204</xdr:colOff>
      <xdr:row>28</xdr:row>
      <xdr:rowOff>11294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8964</xdr:colOff>
      <xdr:row>29</xdr:row>
      <xdr:rowOff>16583</xdr:rowOff>
    </xdr:from>
    <xdr:to>
      <xdr:col>8</xdr:col>
      <xdr:colOff>152823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11654</xdr:colOff>
      <xdr:row>11</xdr:row>
      <xdr:rowOff>174811</xdr:rowOff>
    </xdr:from>
    <xdr:to>
      <xdr:col>21</xdr:col>
      <xdr:colOff>424454</xdr:colOff>
      <xdr:row>28</xdr:row>
      <xdr:rowOff>6811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8965</xdr:colOff>
      <xdr:row>29</xdr:row>
      <xdr:rowOff>13893</xdr:rowOff>
    </xdr:from>
    <xdr:to>
      <xdr:col>21</xdr:col>
      <xdr:colOff>421765</xdr:colOff>
      <xdr:row>45</xdr:row>
      <xdr:rowOff>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</xdr:row>
      <xdr:rowOff>0</xdr:rowOff>
    </xdr:from>
    <xdr:to>
      <xdr:col>25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24</xdr:row>
      <xdr:rowOff>177799</xdr:rowOff>
    </xdr:from>
    <xdr:to>
      <xdr:col>25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1494</xdr:colOff>
      <xdr:row>7</xdr:row>
      <xdr:rowOff>4482</xdr:rowOff>
    </xdr:from>
    <xdr:to>
      <xdr:col>34</xdr:col>
      <xdr:colOff>503194</xdr:colOff>
      <xdr:row>23</xdr:row>
      <xdr:rowOff>39682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CAF0E2F4-FC1B-4052-BA52-B763884DB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24</xdr:row>
      <xdr:rowOff>177799</xdr:rowOff>
    </xdr:from>
    <xdr:to>
      <xdr:col>34</xdr:col>
      <xdr:colOff>501700</xdr:colOff>
      <xdr:row>41</xdr:row>
      <xdr:rowOff>35199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4C586923-1600-4973-9A61-DA8A9362D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2:AB70"/>
  <sheetViews>
    <sheetView topLeftCell="M42" zoomScaleNormal="100" workbookViewId="0">
      <selection activeCell="T52" sqref="T52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10.5546875" style="2" customWidth="1"/>
    <col min="7" max="9" width="8.88671875" style="2"/>
    <col min="10" max="10" width="14.109375" style="2" customWidth="1"/>
    <col min="11" max="11" width="9.44140625" style="2" customWidth="1"/>
    <col min="12" max="15" width="8.88671875" style="2"/>
    <col min="16" max="16" width="11.21875" style="2" customWidth="1"/>
    <col min="17" max="17" width="12" style="2" bestFit="1" customWidth="1"/>
    <col min="18" max="19" width="8.88671875" style="2"/>
    <col min="20" max="20" width="12" style="2" bestFit="1" customWidth="1"/>
    <col min="21" max="23" width="8.88671875" style="2"/>
    <col min="24" max="24" width="8.109375" style="2" customWidth="1"/>
    <col min="25" max="25" width="9" style="2" bestFit="1" customWidth="1"/>
    <col min="26" max="26" width="13" style="2" bestFit="1" customWidth="1"/>
    <col min="27" max="27" width="9" style="2" bestFit="1" customWidth="1"/>
    <col min="28" max="16384" width="8.88671875" style="2"/>
  </cols>
  <sheetData>
    <row r="2" spans="2:28" x14ac:dyDescent="0.3">
      <c r="B2" s="3" t="s">
        <v>18</v>
      </c>
      <c r="C2" s="1"/>
      <c r="E2" s="3" t="s">
        <v>17</v>
      </c>
      <c r="F2" s="1"/>
      <c r="H2" s="3" t="s">
        <v>20</v>
      </c>
      <c r="I2" s="1"/>
    </row>
    <row r="4" spans="2:28" x14ac:dyDescent="0.3">
      <c r="F4" s="39" t="s">
        <v>15</v>
      </c>
      <c r="G4" s="39"/>
      <c r="H4" s="39"/>
      <c r="I4" s="39"/>
      <c r="J4" s="42" t="s">
        <v>16</v>
      </c>
      <c r="K4" s="43"/>
      <c r="L4" s="43"/>
      <c r="M4" s="44"/>
    </row>
    <row r="5" spans="2:28" ht="16.2" x14ac:dyDescent="0.3">
      <c r="B5" s="3" t="s">
        <v>8</v>
      </c>
      <c r="C5" s="3" t="s">
        <v>9</v>
      </c>
      <c r="D5" s="3" t="s">
        <v>37</v>
      </c>
      <c r="E5" s="3" t="s">
        <v>36</v>
      </c>
      <c r="F5" s="3" t="s">
        <v>43</v>
      </c>
      <c r="G5" s="3" t="s">
        <v>45</v>
      </c>
      <c r="H5" s="3" t="s">
        <v>0</v>
      </c>
      <c r="I5" s="3" t="s">
        <v>1</v>
      </c>
      <c r="J5" s="3" t="s">
        <v>44</v>
      </c>
      <c r="K5" s="3" t="s">
        <v>46</v>
      </c>
      <c r="L5" s="3" t="s">
        <v>0</v>
      </c>
      <c r="M5" s="3" t="s">
        <v>1</v>
      </c>
    </row>
    <row r="6" spans="2:28" ht="15.6" x14ac:dyDescent="0.3">
      <c r="B6" s="1">
        <v>499</v>
      </c>
      <c r="C6" s="1">
        <f>2*PI()*B6</f>
        <v>3135.3094682826136</v>
      </c>
      <c r="D6" s="1">
        <v>0.40300000000000002</v>
      </c>
      <c r="E6" s="1">
        <f>D6*SQRT(2)</f>
        <v>0.56992806563635734</v>
      </c>
      <c r="F6" s="1">
        <v>0.27650000000000002</v>
      </c>
      <c r="G6" s="1">
        <f t="shared" ref="G6:G29" si="0">F6*SQRT(2)</f>
        <v>0.39103004999616087</v>
      </c>
      <c r="H6" s="1">
        <f>C6*P$7+Q$7</f>
        <v>0.39424346077034866</v>
      </c>
      <c r="I6" s="1">
        <f>G6-H6</f>
        <v>-3.2134107741877971E-3</v>
      </c>
      <c r="J6" s="1">
        <v>0.28000000000000003</v>
      </c>
      <c r="K6" s="1">
        <f>J6*SQRT(2)</f>
        <v>0.39597979746446665</v>
      </c>
      <c r="L6" s="1">
        <f t="shared" ref="L6:L29" si="1">C6*Z$7+AA$7</f>
        <v>0.39947854751339418</v>
      </c>
      <c r="M6" s="1">
        <f>K6-L6</f>
        <v>-3.4987500489275236E-3</v>
      </c>
      <c r="O6" s="41" t="s">
        <v>70</v>
      </c>
      <c r="P6" s="41"/>
      <c r="Q6" s="41"/>
      <c r="R6" s="41"/>
      <c r="Y6" s="41" t="s">
        <v>71</v>
      </c>
      <c r="Z6" s="41"/>
      <c r="AA6" s="41"/>
      <c r="AB6" s="41"/>
    </row>
    <row r="7" spans="2:28" x14ac:dyDescent="0.3">
      <c r="B7" s="1">
        <v>552</v>
      </c>
      <c r="C7" s="1">
        <f t="shared" ref="C7:C29" si="2">2*PI()*B7</f>
        <v>3468.3182895631317</v>
      </c>
      <c r="D7" s="1">
        <v>0.40400000000000003</v>
      </c>
      <c r="E7" s="1">
        <f t="shared" ref="E7:E29" si="3">D7*SQRT(2)</f>
        <v>0.57134227919873048</v>
      </c>
      <c r="F7" s="1">
        <v>0.30619999999999997</v>
      </c>
      <c r="G7" s="1">
        <f t="shared" si="0"/>
        <v>0.43303219279864169</v>
      </c>
      <c r="H7" s="1">
        <f t="shared" ref="H7:H29" si="4">C7*P$7+Q$7</f>
        <v>0.43415834946854892</v>
      </c>
      <c r="I7" s="1">
        <f t="shared" ref="I7:I29" si="5">G7-H7</f>
        <v>-1.1261566699072301E-3</v>
      </c>
      <c r="J7" s="1">
        <v>0.31</v>
      </c>
      <c r="K7" s="1">
        <f t="shared" ref="K7:K29" si="6">J7*SQRT(2)</f>
        <v>0.43840620433565947</v>
      </c>
      <c r="L7" s="1">
        <f t="shared" si="1"/>
        <v>0.43970621256448528</v>
      </c>
      <c r="M7" s="1">
        <f t="shared" ref="M7:M29" si="7">K7-L7</f>
        <v>-1.3000082288258108E-3</v>
      </c>
      <c r="O7" s="4" t="s">
        <v>3</v>
      </c>
      <c r="P7" s="1">
        <f t="array" ref="P7:Q9">LINEST(G6:G29,C6:C29,1,1)</f>
        <v>1.1986135545813963E-4</v>
      </c>
      <c r="Q7" s="1">
        <v>1.8441018121255537E-2</v>
      </c>
      <c r="R7" s="4" t="s">
        <v>5</v>
      </c>
      <c r="Y7" s="4" t="s">
        <v>3</v>
      </c>
      <c r="Z7" s="1">
        <f t="array" ref="Z7:AA9">LINEST(K6:K29,C6:C29,1,1)</f>
        <v>1.208005989042684E-4</v>
      </c>
      <c r="AA7" s="1">
        <v>2.0731285994631143E-2</v>
      </c>
      <c r="AB7" s="4" t="s">
        <v>5</v>
      </c>
    </row>
    <row r="8" spans="2:28" x14ac:dyDescent="0.3">
      <c r="B8" s="1">
        <v>600</v>
      </c>
      <c r="C8" s="1">
        <f t="shared" si="2"/>
        <v>3769.9111843077517</v>
      </c>
      <c r="D8" s="1">
        <v>0.40799999999999997</v>
      </c>
      <c r="E8" s="1">
        <f t="shared" si="3"/>
        <v>0.57699913344822273</v>
      </c>
      <c r="F8" s="1">
        <v>0.33529999999999999</v>
      </c>
      <c r="G8" s="1">
        <f t="shared" si="0"/>
        <v>0.47418580746369876</v>
      </c>
      <c r="H8" s="1">
        <f t="shared" si="4"/>
        <v>0.4703076826291831</v>
      </c>
      <c r="I8" s="1">
        <f t="shared" si="5"/>
        <v>3.8781248345156616E-3</v>
      </c>
      <c r="J8" s="1">
        <v>0.34</v>
      </c>
      <c r="K8" s="1">
        <f t="shared" si="6"/>
        <v>0.48083261120685239</v>
      </c>
      <c r="L8" s="1">
        <f t="shared" si="1"/>
        <v>0.47613881487490733</v>
      </c>
      <c r="M8" s="1">
        <f t="shared" si="7"/>
        <v>4.6937963319450549E-3</v>
      </c>
      <c r="O8" s="4" t="s">
        <v>2</v>
      </c>
      <c r="P8" s="1">
        <v>4.6971483995484586E-7</v>
      </c>
      <c r="Q8" s="1">
        <v>3.3328483633934037E-3</v>
      </c>
      <c r="R8" s="4" t="s">
        <v>6</v>
      </c>
      <c r="Y8" s="4" t="s">
        <v>2</v>
      </c>
      <c r="Z8" s="1">
        <v>4.6062798044099605E-7</v>
      </c>
      <c r="AA8" s="1">
        <v>3.2683728086886992E-3</v>
      </c>
      <c r="AB8" s="4" t="s">
        <v>6</v>
      </c>
    </row>
    <row r="9" spans="2:28" x14ac:dyDescent="0.3">
      <c r="B9" s="1">
        <v>646</v>
      </c>
      <c r="C9" s="1">
        <f t="shared" si="2"/>
        <v>4058.9377084380126</v>
      </c>
      <c r="D9" s="1">
        <v>0.40100000000000002</v>
      </c>
      <c r="E9" s="1">
        <f t="shared" si="3"/>
        <v>0.56709963851161116</v>
      </c>
      <c r="F9" s="1">
        <v>0.35449999999999998</v>
      </c>
      <c r="G9" s="1">
        <f t="shared" si="0"/>
        <v>0.50133870786126222</v>
      </c>
      <c r="H9" s="1">
        <f t="shared" si="4"/>
        <v>0.50495079357479089</v>
      </c>
      <c r="I9" s="1">
        <f t="shared" si="5"/>
        <v>-3.6120857135286677E-3</v>
      </c>
      <c r="J9" s="1">
        <v>0.35899999999999999</v>
      </c>
      <c r="K9" s="1">
        <f t="shared" si="6"/>
        <v>0.50770266889194116</v>
      </c>
      <c r="L9" s="1">
        <f t="shared" si="1"/>
        <v>0.51105339208906186</v>
      </c>
      <c r="M9" s="1">
        <f t="shared" si="7"/>
        <v>-3.3507231971207085E-3</v>
      </c>
      <c r="O9" s="4" t="s">
        <v>4</v>
      </c>
      <c r="P9" s="1">
        <v>0.99966225714554147</v>
      </c>
      <c r="Q9" s="1">
        <v>5.0142452239357828E-3</v>
      </c>
      <c r="R9" s="4" t="s">
        <v>7</v>
      </c>
      <c r="Y9" s="4" t="s">
        <v>4</v>
      </c>
      <c r="Z9" s="1">
        <v>0.99968022372647714</v>
      </c>
      <c r="AA9" s="1">
        <v>4.9172422382045321E-3</v>
      </c>
      <c r="AB9" s="4" t="s">
        <v>7</v>
      </c>
    </row>
    <row r="10" spans="2:28" x14ac:dyDescent="0.3">
      <c r="B10" s="1">
        <v>697</v>
      </c>
      <c r="C10" s="1">
        <f t="shared" si="2"/>
        <v>4379.380159104172</v>
      </c>
      <c r="D10" s="1">
        <v>0.40100000000000002</v>
      </c>
      <c r="E10" s="1">
        <f t="shared" si="3"/>
        <v>0.56709963851161116</v>
      </c>
      <c r="F10" s="1">
        <v>0.38130000000000003</v>
      </c>
      <c r="G10" s="1">
        <f t="shared" si="0"/>
        <v>0.53923963133286124</v>
      </c>
      <c r="H10" s="1">
        <f t="shared" si="4"/>
        <v>0.54335946005796476</v>
      </c>
      <c r="I10" s="1">
        <f t="shared" si="5"/>
        <v>-4.1198287251035248E-3</v>
      </c>
      <c r="J10" s="1">
        <v>0.38700000000000001</v>
      </c>
      <c r="K10" s="1">
        <f t="shared" si="6"/>
        <v>0.54730064863838779</v>
      </c>
      <c r="L10" s="1">
        <f t="shared" si="1"/>
        <v>0.54976303204388532</v>
      </c>
      <c r="M10" s="1">
        <f t="shared" si="7"/>
        <v>-2.4623834054975369E-3</v>
      </c>
    </row>
    <row r="11" spans="2:28" x14ac:dyDescent="0.3">
      <c r="B11" s="1">
        <v>750</v>
      </c>
      <c r="C11" s="1">
        <f t="shared" si="2"/>
        <v>4712.3889803846896</v>
      </c>
      <c r="D11" s="1">
        <v>0.40600000000000003</v>
      </c>
      <c r="E11" s="1">
        <f t="shared" si="3"/>
        <v>0.57417070632347667</v>
      </c>
      <c r="F11" s="1">
        <v>0.4158</v>
      </c>
      <c r="G11" s="1">
        <f t="shared" si="0"/>
        <v>0.58802999923473298</v>
      </c>
      <c r="H11" s="1">
        <f t="shared" si="4"/>
        <v>0.58327434875616502</v>
      </c>
      <c r="I11" s="1">
        <f t="shared" si="5"/>
        <v>4.7556504785679632E-3</v>
      </c>
      <c r="J11" s="1">
        <v>0.42</v>
      </c>
      <c r="K11" s="1">
        <f t="shared" si="6"/>
        <v>0.59396969619669993</v>
      </c>
      <c r="L11" s="1">
        <f t="shared" si="1"/>
        <v>0.58999069709497642</v>
      </c>
      <c r="M11" s="1">
        <f t="shared" si="7"/>
        <v>3.9789991017235016E-3</v>
      </c>
    </row>
    <row r="12" spans="2:28" x14ac:dyDescent="0.3">
      <c r="B12" s="1">
        <v>796</v>
      </c>
      <c r="C12" s="1">
        <f t="shared" si="2"/>
        <v>5001.415504514951</v>
      </c>
      <c r="D12" s="1">
        <v>0.40799999999999997</v>
      </c>
      <c r="E12" s="1">
        <f t="shared" si="3"/>
        <v>0.57699913344822273</v>
      </c>
      <c r="F12" s="1">
        <v>0.44310000000000005</v>
      </c>
      <c r="G12" s="1">
        <f t="shared" si="0"/>
        <v>0.62663802948751857</v>
      </c>
      <c r="H12" s="1">
        <f t="shared" si="4"/>
        <v>0.61791745970177281</v>
      </c>
      <c r="I12" s="1">
        <f t="shared" si="5"/>
        <v>8.7205697857457576E-3</v>
      </c>
      <c r="J12" s="1">
        <v>0.44900000000000001</v>
      </c>
      <c r="K12" s="1">
        <f t="shared" si="6"/>
        <v>0.6349818895055197</v>
      </c>
      <c r="L12" s="1">
        <f t="shared" si="1"/>
        <v>0.6249052743091309</v>
      </c>
      <c r="M12" s="1">
        <f t="shared" si="7"/>
        <v>1.0076615196388805E-2</v>
      </c>
    </row>
    <row r="13" spans="2:28" x14ac:dyDescent="0.3">
      <c r="B13" s="1">
        <v>847</v>
      </c>
      <c r="C13" s="1">
        <f t="shared" si="2"/>
        <v>5321.8579551811099</v>
      </c>
      <c r="D13" s="1">
        <v>0.40600000000000003</v>
      </c>
      <c r="E13" s="1">
        <f t="shared" si="3"/>
        <v>0.57417070632347667</v>
      </c>
      <c r="F13" s="1">
        <v>0.47010000000000002</v>
      </c>
      <c r="G13" s="1">
        <f t="shared" si="0"/>
        <v>0.66482179567159205</v>
      </c>
      <c r="H13" s="1">
        <f t="shared" si="4"/>
        <v>0.65632612618494668</v>
      </c>
      <c r="I13" s="1">
        <f t="shared" si="5"/>
        <v>8.4956694866453741E-3</v>
      </c>
      <c r="J13" s="1">
        <v>0.47399999999999998</v>
      </c>
      <c r="K13" s="1">
        <f t="shared" si="6"/>
        <v>0.67033722856484712</v>
      </c>
      <c r="L13" s="1">
        <f t="shared" si="1"/>
        <v>0.66361491426395447</v>
      </c>
      <c r="M13" s="1">
        <f t="shared" si="7"/>
        <v>6.7223143008926511E-3</v>
      </c>
    </row>
    <row r="14" spans="2:28" x14ac:dyDescent="0.3">
      <c r="B14" s="1">
        <v>898</v>
      </c>
      <c r="C14" s="1">
        <f t="shared" si="2"/>
        <v>5642.3004058472688</v>
      </c>
      <c r="D14" s="1">
        <v>0.40100000000000002</v>
      </c>
      <c r="E14" s="1">
        <f t="shared" si="3"/>
        <v>0.56709963851161116</v>
      </c>
      <c r="F14" s="1">
        <v>0.4879</v>
      </c>
      <c r="G14" s="1">
        <f t="shared" si="0"/>
        <v>0.68999479708183309</v>
      </c>
      <c r="H14" s="1">
        <f t="shared" si="4"/>
        <v>0.69473479266812055</v>
      </c>
      <c r="I14" s="1">
        <f t="shared" si="5"/>
        <v>-4.7399955862874599E-3</v>
      </c>
      <c r="J14" s="1">
        <v>0.49299999999999999</v>
      </c>
      <c r="K14" s="1">
        <f t="shared" si="6"/>
        <v>0.69720728624993589</v>
      </c>
      <c r="L14" s="1">
        <f t="shared" si="1"/>
        <v>0.70232455421877793</v>
      </c>
      <c r="M14" s="1">
        <f t="shared" si="7"/>
        <v>-5.117267968842043E-3</v>
      </c>
    </row>
    <row r="15" spans="2:28" x14ac:dyDescent="0.3">
      <c r="B15" s="1">
        <v>952</v>
      </c>
      <c r="C15" s="1">
        <f t="shared" si="2"/>
        <v>5981.5924124349658</v>
      </c>
      <c r="D15" s="1">
        <v>0.40300000000000002</v>
      </c>
      <c r="E15" s="1">
        <f t="shared" si="3"/>
        <v>0.56992806563635734</v>
      </c>
      <c r="F15" s="1">
        <v>0.52010000000000001</v>
      </c>
      <c r="G15" s="1">
        <f t="shared" si="0"/>
        <v>0.73553247379024678</v>
      </c>
      <c r="H15" s="1">
        <f t="shared" si="4"/>
        <v>0.73540279247383389</v>
      </c>
      <c r="I15" s="1">
        <f t="shared" si="5"/>
        <v>1.2968131641288849E-4</v>
      </c>
      <c r="J15" s="1">
        <v>0.52500000000000002</v>
      </c>
      <c r="K15" s="1">
        <f t="shared" si="6"/>
        <v>0.74246212024587499</v>
      </c>
      <c r="L15" s="1">
        <f t="shared" si="1"/>
        <v>0.74331123181800263</v>
      </c>
      <c r="M15" s="1">
        <f t="shared" si="7"/>
        <v>-8.4911157212763655E-4</v>
      </c>
    </row>
    <row r="16" spans="2:28" x14ac:dyDescent="0.3">
      <c r="B16" s="1">
        <v>1003</v>
      </c>
      <c r="C16" s="1">
        <f t="shared" si="2"/>
        <v>6302.0348631011248</v>
      </c>
      <c r="D16" s="1">
        <v>0.40200000000000002</v>
      </c>
      <c r="E16" s="1">
        <f t="shared" si="3"/>
        <v>0.5685138520739843</v>
      </c>
      <c r="F16" s="1">
        <v>0.54430000000000001</v>
      </c>
      <c r="G16" s="1">
        <f t="shared" si="0"/>
        <v>0.76975644199967574</v>
      </c>
      <c r="H16" s="1">
        <f t="shared" si="4"/>
        <v>0.77381145895700776</v>
      </c>
      <c r="I16" s="1">
        <f t="shared" si="5"/>
        <v>-4.0550169573320138E-3</v>
      </c>
      <c r="J16" s="1">
        <v>0.55000000000000004</v>
      </c>
      <c r="K16" s="1">
        <f t="shared" si="6"/>
        <v>0.77781745930520241</v>
      </c>
      <c r="L16" s="1">
        <f t="shared" si="1"/>
        <v>0.7820208717728262</v>
      </c>
      <c r="M16" s="1">
        <f t="shared" si="7"/>
        <v>-4.2034124676237905E-3</v>
      </c>
    </row>
    <row r="17" spans="2:13" x14ac:dyDescent="0.3">
      <c r="B17" s="1">
        <v>1046</v>
      </c>
      <c r="C17" s="1">
        <f t="shared" si="2"/>
        <v>6572.2118313098472</v>
      </c>
      <c r="D17" s="1">
        <v>0.40200000000000002</v>
      </c>
      <c r="E17" s="1">
        <f t="shared" si="3"/>
        <v>0.5685138520739843</v>
      </c>
      <c r="F17" s="1">
        <v>0.56920000000000004</v>
      </c>
      <c r="G17" s="1">
        <f t="shared" si="0"/>
        <v>0.80497035970276576</v>
      </c>
      <c r="H17" s="1">
        <f t="shared" si="4"/>
        <v>0.80619523658007597</v>
      </c>
      <c r="I17" s="1">
        <f t="shared" si="5"/>
        <v>-1.2248768773102103E-3</v>
      </c>
      <c r="J17" s="1">
        <v>0.57499999999999996</v>
      </c>
      <c r="K17" s="1">
        <f t="shared" si="6"/>
        <v>0.8131727983645296</v>
      </c>
      <c r="L17" s="1">
        <f t="shared" si="1"/>
        <v>0.81465841134257932</v>
      </c>
      <c r="M17" s="1">
        <f t="shared" si="7"/>
        <v>-1.4856129780497218E-3</v>
      </c>
    </row>
    <row r="18" spans="2:13" x14ac:dyDescent="0.3">
      <c r="B18" s="1">
        <v>1099</v>
      </c>
      <c r="C18" s="1">
        <f t="shared" si="2"/>
        <v>6905.2206525903657</v>
      </c>
      <c r="D18" s="1">
        <v>0.40400000000000003</v>
      </c>
      <c r="E18" s="1">
        <f t="shared" si="3"/>
        <v>0.57134227919873048</v>
      </c>
      <c r="F18" s="1">
        <v>0.59929999999999994</v>
      </c>
      <c r="G18" s="1">
        <f t="shared" si="0"/>
        <v>0.84753818793019586</v>
      </c>
      <c r="H18" s="1">
        <f t="shared" si="4"/>
        <v>0.84611012527827623</v>
      </c>
      <c r="I18" s="1">
        <f t="shared" si="5"/>
        <v>1.4280626519196371E-3</v>
      </c>
      <c r="J18" s="1">
        <v>0.60599999999999998</v>
      </c>
      <c r="K18" s="1">
        <f t="shared" si="6"/>
        <v>0.85701341879809567</v>
      </c>
      <c r="L18" s="1">
        <f t="shared" si="1"/>
        <v>0.85488607639367042</v>
      </c>
      <c r="M18" s="1">
        <f t="shared" si="7"/>
        <v>2.1273424044252476E-3</v>
      </c>
    </row>
    <row r="19" spans="2:13" x14ac:dyDescent="0.3">
      <c r="B19" s="1">
        <v>1149</v>
      </c>
      <c r="C19" s="1">
        <f t="shared" si="2"/>
        <v>7219.3799179493444</v>
      </c>
      <c r="D19" s="1">
        <v>0.40300000000000002</v>
      </c>
      <c r="E19" s="1">
        <f t="shared" si="3"/>
        <v>0.56992806563635734</v>
      </c>
      <c r="F19" s="1">
        <v>0.62309999999999999</v>
      </c>
      <c r="G19" s="1">
        <f t="shared" si="0"/>
        <v>0.88119647071467555</v>
      </c>
      <c r="H19" s="1">
        <f t="shared" si="4"/>
        <v>0.88376568065393679</v>
      </c>
      <c r="I19" s="1">
        <f t="shared" si="5"/>
        <v>-2.5692099392612411E-3</v>
      </c>
      <c r="J19" s="1">
        <v>0.63</v>
      </c>
      <c r="K19" s="1">
        <f t="shared" si="6"/>
        <v>0.89095454429504994</v>
      </c>
      <c r="L19" s="1">
        <f t="shared" si="1"/>
        <v>0.89283670380036007</v>
      </c>
      <c r="M19" s="1">
        <f t="shared" si="7"/>
        <v>-1.8821595053101214E-3</v>
      </c>
    </row>
    <row r="20" spans="2:13" x14ac:dyDescent="0.3">
      <c r="B20" s="1">
        <v>1204</v>
      </c>
      <c r="C20" s="1">
        <f t="shared" si="2"/>
        <v>7564.9551098442216</v>
      </c>
      <c r="D20" s="1">
        <v>0.40300000000000002</v>
      </c>
      <c r="E20" s="1">
        <f t="shared" si="3"/>
        <v>0.56992806563635734</v>
      </c>
      <c r="F20" s="1">
        <v>0.65310000000000001</v>
      </c>
      <c r="G20" s="1">
        <f t="shared" si="0"/>
        <v>0.92362287758586847</v>
      </c>
      <c r="H20" s="1">
        <f t="shared" si="4"/>
        <v>0.92518679156716355</v>
      </c>
      <c r="I20" s="1">
        <f t="shared" si="5"/>
        <v>-1.5639139812950731E-3</v>
      </c>
      <c r="J20" s="1">
        <v>0.65900000000000003</v>
      </c>
      <c r="K20" s="1">
        <f t="shared" si="6"/>
        <v>0.93196673760386972</v>
      </c>
      <c r="L20" s="1">
        <f t="shared" si="1"/>
        <v>0.93458239394771869</v>
      </c>
      <c r="M20" s="1">
        <f t="shared" si="7"/>
        <v>-2.6156563438489711E-3</v>
      </c>
    </row>
    <row r="21" spans="2:13" x14ac:dyDescent="0.3">
      <c r="B21" s="1">
        <v>1252</v>
      </c>
      <c r="C21" s="1">
        <f t="shared" si="2"/>
        <v>7866.5480045888416</v>
      </c>
      <c r="D21" s="1">
        <v>0.40699999999999997</v>
      </c>
      <c r="E21" s="1">
        <f t="shared" si="3"/>
        <v>0.5755849198858497</v>
      </c>
      <c r="F21" s="1">
        <v>0.68470000000000009</v>
      </c>
      <c r="G21" s="1">
        <f t="shared" si="0"/>
        <v>0.96831202615685841</v>
      </c>
      <c r="H21" s="1">
        <f t="shared" si="4"/>
        <v>0.96133612472779773</v>
      </c>
      <c r="I21" s="1">
        <f t="shared" si="5"/>
        <v>6.9759014290606824E-3</v>
      </c>
      <c r="J21" s="1">
        <v>0.69099999999999995</v>
      </c>
      <c r="K21" s="1">
        <f t="shared" si="6"/>
        <v>0.97722157159980871</v>
      </c>
      <c r="L21" s="1">
        <f t="shared" si="1"/>
        <v>0.97101499625814081</v>
      </c>
      <c r="M21" s="1">
        <f t="shared" si="7"/>
        <v>6.2065753416679081E-3</v>
      </c>
    </row>
    <row r="22" spans="2:13" x14ac:dyDescent="0.3">
      <c r="B22" s="1">
        <v>1303</v>
      </c>
      <c r="C22" s="1">
        <f t="shared" si="2"/>
        <v>8186.9904552550006</v>
      </c>
      <c r="D22" s="1">
        <v>0.40100000000000002</v>
      </c>
      <c r="E22" s="1">
        <f t="shared" si="3"/>
        <v>0.56709963851161116</v>
      </c>
      <c r="F22" s="1">
        <v>0.70029999999999992</v>
      </c>
      <c r="G22" s="1">
        <f t="shared" si="0"/>
        <v>0.99037375772987846</v>
      </c>
      <c r="H22" s="1">
        <f t="shared" si="4"/>
        <v>0.9997447912109716</v>
      </c>
      <c r="I22" s="1">
        <f t="shared" si="5"/>
        <v>-9.3710334810931384E-3</v>
      </c>
      <c r="J22" s="1">
        <v>0.70699999999999996</v>
      </c>
      <c r="K22" s="1">
        <f t="shared" si="6"/>
        <v>0.99984898859777827</v>
      </c>
      <c r="L22" s="1">
        <f t="shared" si="1"/>
        <v>1.0097246362129644</v>
      </c>
      <c r="M22" s="1">
        <f t="shared" si="7"/>
        <v>-9.8756476151861117E-3</v>
      </c>
    </row>
    <row r="23" spans="2:13" x14ac:dyDescent="0.3">
      <c r="B23" s="1">
        <v>1350</v>
      </c>
      <c r="C23" s="1">
        <f t="shared" si="2"/>
        <v>8482.3001646924422</v>
      </c>
      <c r="D23" s="1">
        <v>0.40400000000000003</v>
      </c>
      <c r="E23" s="1">
        <f t="shared" si="3"/>
        <v>0.57134227919873048</v>
      </c>
      <c r="F23" s="1">
        <v>0.73089999999999999</v>
      </c>
      <c r="G23" s="1">
        <f t="shared" si="0"/>
        <v>1.0336486927384951</v>
      </c>
      <c r="H23" s="1">
        <f t="shared" si="4"/>
        <v>1.0351410132640926</v>
      </c>
      <c r="I23" s="1">
        <f t="shared" si="5"/>
        <v>-1.4923205255974459E-3</v>
      </c>
      <c r="J23" s="1">
        <v>0.73799999999999999</v>
      </c>
      <c r="K23" s="1">
        <f t="shared" si="6"/>
        <v>1.0436896090313441</v>
      </c>
      <c r="L23" s="1">
        <f t="shared" si="1"/>
        <v>1.0453982259752528</v>
      </c>
      <c r="M23" s="1">
        <f t="shared" si="7"/>
        <v>-1.7086169439086696E-3</v>
      </c>
    </row>
    <row r="24" spans="2:13" x14ac:dyDescent="0.3">
      <c r="B24" s="1">
        <v>1400</v>
      </c>
      <c r="C24" s="1">
        <f t="shared" si="2"/>
        <v>8796.45943005142</v>
      </c>
      <c r="D24" s="1">
        <v>0.40400000000000003</v>
      </c>
      <c r="E24" s="1">
        <f t="shared" si="3"/>
        <v>0.57134227919873048</v>
      </c>
      <c r="F24" s="1">
        <v>0.75860000000000005</v>
      </c>
      <c r="G24" s="1">
        <f t="shared" si="0"/>
        <v>1.0728224084162301</v>
      </c>
      <c r="H24" s="1">
        <f t="shared" si="4"/>
        <v>1.0727965686397531</v>
      </c>
      <c r="I24" s="1">
        <f t="shared" si="5"/>
        <v>2.5839776476965781E-5</v>
      </c>
      <c r="J24" s="1">
        <v>0.76600000000000001</v>
      </c>
      <c r="K24" s="1">
        <f t="shared" si="6"/>
        <v>1.0832875887777909</v>
      </c>
      <c r="L24" s="1">
        <f t="shared" si="1"/>
        <v>1.0833488533819422</v>
      </c>
      <c r="M24" s="1">
        <f t="shared" si="7"/>
        <v>-6.1264604151345381E-5</v>
      </c>
    </row>
    <row r="25" spans="2:13" x14ac:dyDescent="0.3">
      <c r="B25" s="1">
        <v>1448</v>
      </c>
      <c r="C25" s="1">
        <f t="shared" si="2"/>
        <v>9098.0523247960409</v>
      </c>
      <c r="D25" s="1">
        <v>0.40100000000000002</v>
      </c>
      <c r="E25" s="1">
        <f t="shared" si="3"/>
        <v>0.56709963851161116</v>
      </c>
      <c r="F25" s="1">
        <v>0.77749999999999997</v>
      </c>
      <c r="G25" s="1">
        <f t="shared" si="0"/>
        <v>1.0995510447450814</v>
      </c>
      <c r="H25" s="1">
        <f t="shared" si="4"/>
        <v>1.1089459018003873</v>
      </c>
      <c r="I25" s="1">
        <f t="shared" si="5"/>
        <v>-9.3948570553059607E-3</v>
      </c>
      <c r="J25" s="1">
        <v>0.78600000000000003</v>
      </c>
      <c r="K25" s="1">
        <f t="shared" si="6"/>
        <v>1.1115718600252529</v>
      </c>
      <c r="L25" s="1">
        <f t="shared" si="1"/>
        <v>1.1197814556923644</v>
      </c>
      <c r="M25" s="1">
        <f t="shared" si="7"/>
        <v>-8.2095956671115466E-3</v>
      </c>
    </row>
    <row r="26" spans="2:13" x14ac:dyDescent="0.3">
      <c r="B26" s="1">
        <v>1500</v>
      </c>
      <c r="C26" s="1">
        <f t="shared" si="2"/>
        <v>9424.7779607693792</v>
      </c>
      <c r="D26" s="1">
        <v>0.40500000000000003</v>
      </c>
      <c r="E26" s="1">
        <f t="shared" si="3"/>
        <v>0.57275649276110352</v>
      </c>
      <c r="F26" s="1">
        <v>0.81420000000000003</v>
      </c>
      <c r="G26" s="1">
        <f t="shared" si="0"/>
        <v>1.1514526824841742</v>
      </c>
      <c r="H26" s="1">
        <f t="shared" si="4"/>
        <v>1.1481076793910745</v>
      </c>
      <c r="I26" s="1">
        <f t="shared" si="5"/>
        <v>3.3450030930997077E-3</v>
      </c>
      <c r="J26" s="1">
        <v>0.82199999999999995</v>
      </c>
      <c r="K26" s="1">
        <f t="shared" si="6"/>
        <v>1.1624835482706841</v>
      </c>
      <c r="L26" s="1">
        <f t="shared" si="1"/>
        <v>1.1592501081953217</v>
      </c>
      <c r="M26" s="1">
        <f t="shared" si="7"/>
        <v>3.2334400753624148E-3</v>
      </c>
    </row>
    <row r="27" spans="2:13" x14ac:dyDescent="0.3">
      <c r="B27" s="1">
        <v>1552</v>
      </c>
      <c r="C27" s="1">
        <f t="shared" si="2"/>
        <v>9751.5035967427175</v>
      </c>
      <c r="D27" s="1">
        <v>0.40500000000000003</v>
      </c>
      <c r="E27" s="1">
        <f t="shared" si="3"/>
        <v>0.57275649276110352</v>
      </c>
      <c r="F27" s="1">
        <v>0.84029999999999994</v>
      </c>
      <c r="G27" s="1">
        <f t="shared" si="0"/>
        <v>1.1883636564621118</v>
      </c>
      <c r="H27" s="1">
        <f t="shared" si="4"/>
        <v>1.1872694569817615</v>
      </c>
      <c r="I27" s="1">
        <f t="shared" si="5"/>
        <v>1.0941994803503885E-3</v>
      </c>
      <c r="J27" s="1">
        <v>0.84899999999999998</v>
      </c>
      <c r="K27" s="1">
        <f t="shared" si="6"/>
        <v>1.2006673144547577</v>
      </c>
      <c r="L27" s="1">
        <f t="shared" si="1"/>
        <v>1.1987187606982788</v>
      </c>
      <c r="M27" s="1">
        <f t="shared" si="7"/>
        <v>1.9485537564789546E-3</v>
      </c>
    </row>
    <row r="28" spans="2:13" x14ac:dyDescent="0.3">
      <c r="B28" s="1">
        <v>1600</v>
      </c>
      <c r="C28" s="1">
        <f t="shared" si="2"/>
        <v>10053.096491487338</v>
      </c>
      <c r="D28" s="1">
        <v>0.40500000000000003</v>
      </c>
      <c r="E28" s="1">
        <f t="shared" si="3"/>
        <v>0.57275649276110352</v>
      </c>
      <c r="F28" s="1">
        <v>0.86660000000000004</v>
      </c>
      <c r="G28" s="1">
        <f>F28*SQRT(2)</f>
        <v>1.2255574731525243</v>
      </c>
      <c r="H28" s="1">
        <f t="shared" si="4"/>
        <v>1.2234187901423959</v>
      </c>
      <c r="I28" s="1">
        <f t="shared" si="5"/>
        <v>2.1386830101284282E-3</v>
      </c>
      <c r="J28" s="1">
        <v>0.875</v>
      </c>
      <c r="K28" s="1">
        <f t="shared" si="6"/>
        <v>1.2374368670764582</v>
      </c>
      <c r="L28" s="1">
        <f t="shared" si="1"/>
        <v>1.235151363008701</v>
      </c>
      <c r="M28" s="1">
        <f t="shared" si="7"/>
        <v>2.2855040677571825E-3</v>
      </c>
    </row>
    <row r="29" spans="2:13" x14ac:dyDescent="0.3">
      <c r="B29" s="1">
        <v>1650</v>
      </c>
      <c r="C29" s="1">
        <f t="shared" si="2"/>
        <v>10367.255756846318</v>
      </c>
      <c r="D29" s="1">
        <v>0.40500000000000003</v>
      </c>
      <c r="E29" s="1">
        <f t="shared" si="3"/>
        <v>0.57275649276110352</v>
      </c>
      <c r="F29" s="1">
        <v>0.89560000000000006</v>
      </c>
      <c r="G29" s="1">
        <f t="shared" si="0"/>
        <v>1.2665696664613442</v>
      </c>
      <c r="H29" s="1">
        <f t="shared" si="4"/>
        <v>1.2610743455180564</v>
      </c>
      <c r="I29" s="1">
        <f t="shared" si="5"/>
        <v>5.4953209432877514E-3</v>
      </c>
      <c r="J29" s="1">
        <v>0.90400000000000003</v>
      </c>
      <c r="K29" s="1">
        <f t="shared" si="6"/>
        <v>1.2784490603852781</v>
      </c>
      <c r="L29" s="1">
        <f t="shared" si="1"/>
        <v>1.2731019904153908</v>
      </c>
      <c r="M29" s="1">
        <f t="shared" si="7"/>
        <v>5.3470699698872082E-3</v>
      </c>
    </row>
    <row r="32" spans="2:13" ht="15.6" x14ac:dyDescent="0.3">
      <c r="J32" s="4" t="s">
        <v>61</v>
      </c>
      <c r="K32" s="1">
        <f>AVERAGE(E6:E29)</f>
        <v>0.57110657693833489</v>
      </c>
    </row>
    <row r="33" spans="10:20" ht="15.6" x14ac:dyDescent="0.3">
      <c r="J33" s="4" t="s">
        <v>62</v>
      </c>
      <c r="K33" s="1">
        <f>_xlfn.STDEV.P(E6:E29)/SQRT(24)</f>
        <v>6.1614091702274164E-4</v>
      </c>
    </row>
    <row r="46" spans="10:20" x14ac:dyDescent="0.3">
      <c r="J46" s="3" t="s">
        <v>47</v>
      </c>
    </row>
    <row r="47" spans="10:20" ht="15.6" x14ac:dyDescent="0.3">
      <c r="J47" s="1">
        <f t="shared" ref="J47:J70" si="8">K6-G6</f>
        <v>4.9497474683057874E-3</v>
      </c>
      <c r="P47" s="38" t="s">
        <v>51</v>
      </c>
      <c r="Q47" s="38"/>
      <c r="R47" s="38"/>
      <c r="S47" s="38"/>
      <c r="T47" s="38"/>
    </row>
    <row r="48" spans="10:20" x14ac:dyDescent="0.3">
      <c r="J48" s="1">
        <f t="shared" si="8"/>
        <v>5.3740115370177755E-3</v>
      </c>
      <c r="P48" s="39" t="s">
        <v>52</v>
      </c>
      <c r="Q48" s="39"/>
      <c r="S48" s="40" t="s">
        <v>16</v>
      </c>
      <c r="T48" s="40"/>
    </row>
    <row r="49" spans="10:20" ht="15.6" x14ac:dyDescent="0.3">
      <c r="J49" s="1">
        <f t="shared" si="8"/>
        <v>6.6468037431536287E-3</v>
      </c>
      <c r="P49" s="30" t="s">
        <v>53</v>
      </c>
      <c r="Q49" s="33">
        <f>4*PI()*10^-7</f>
        <v>1.2566370614359173E-6</v>
      </c>
      <c r="S49" s="29" t="s">
        <v>53</v>
      </c>
      <c r="T49" s="33">
        <f>Q49</f>
        <v>1.2566370614359173E-6</v>
      </c>
    </row>
    <row r="50" spans="10:20" ht="15.6" x14ac:dyDescent="0.3">
      <c r="J50" s="1">
        <f t="shared" si="8"/>
        <v>6.3639610306789329E-3</v>
      </c>
      <c r="P50" s="30" t="s">
        <v>54</v>
      </c>
      <c r="Q50" s="1">
        <f>(P7*Q54)/(Q55*T56*T55*K32)</f>
        <v>1.0917999077141359E-6</v>
      </c>
      <c r="S50" s="29" t="s">
        <v>54</v>
      </c>
      <c r="T50" s="1">
        <f>(Z7*Q54)/(Q55*T56*T55*K32)</f>
        <v>1.1003553416476577E-6</v>
      </c>
    </row>
    <row r="51" spans="10:20" ht="15.6" x14ac:dyDescent="0.3">
      <c r="J51" s="1">
        <f t="shared" si="8"/>
        <v>8.0610173055265522E-3</v>
      </c>
      <c r="P51" s="30" t="s">
        <v>56</v>
      </c>
      <c r="Q51" s="1">
        <f>4.4*10^-9</f>
        <v>4.4000000000000005E-9</v>
      </c>
      <c r="S51" s="29" t="s">
        <v>55</v>
      </c>
      <c r="T51" s="1">
        <f>4.4*10^-9</f>
        <v>4.4000000000000005E-9</v>
      </c>
    </row>
    <row r="52" spans="10:20" x14ac:dyDescent="0.3">
      <c r="J52" s="1">
        <f t="shared" si="8"/>
        <v>5.9396969619669449E-3</v>
      </c>
      <c r="P52" s="30" t="s">
        <v>57</v>
      </c>
      <c r="Q52" s="35">
        <f>ABS(Q49-Q50)/Q49</f>
        <v>0.13117323910010062</v>
      </c>
      <c r="S52" s="29" t="s">
        <v>57</v>
      </c>
      <c r="T52" s="35">
        <f>ABS(T49-T50)/T49</f>
        <v>0.12436504109601997</v>
      </c>
    </row>
    <row r="53" spans="10:20" x14ac:dyDescent="0.3">
      <c r="J53" s="1">
        <f t="shared" si="8"/>
        <v>8.3438600180011369E-3</v>
      </c>
    </row>
    <row r="54" spans="10:20" x14ac:dyDescent="0.3">
      <c r="J54" s="1">
        <f t="shared" si="8"/>
        <v>5.5154328932550678E-3</v>
      </c>
      <c r="P54" s="31" t="s">
        <v>21</v>
      </c>
      <c r="Q54" s="1">
        <v>0.75</v>
      </c>
      <c r="R54" s="37" t="s">
        <v>59</v>
      </c>
      <c r="S54" s="37"/>
      <c r="T54" s="1">
        <v>4.1000000000000002E-2</v>
      </c>
    </row>
    <row r="55" spans="10:20" ht="16.2" x14ac:dyDescent="0.3">
      <c r="J55" s="1">
        <f t="shared" si="8"/>
        <v>7.2124891681027981E-3</v>
      </c>
      <c r="P55" s="31" t="s">
        <v>19</v>
      </c>
      <c r="Q55" s="1">
        <v>364</v>
      </c>
      <c r="R55" s="37" t="s">
        <v>60</v>
      </c>
      <c r="S55" s="37"/>
      <c r="T55" s="25">
        <f>T54^2*PI()/4</f>
        <v>1.3202543126711107E-3</v>
      </c>
    </row>
    <row r="56" spans="10:20" x14ac:dyDescent="0.3">
      <c r="J56" s="1">
        <f t="shared" si="8"/>
        <v>6.9296464556282134E-3</v>
      </c>
      <c r="R56" s="37" t="s">
        <v>58</v>
      </c>
      <c r="S56" s="37"/>
      <c r="T56" s="1">
        <v>300</v>
      </c>
    </row>
    <row r="57" spans="10:20" x14ac:dyDescent="0.3">
      <c r="J57" s="1">
        <f t="shared" si="8"/>
        <v>8.0610173055266632E-3</v>
      </c>
    </row>
    <row r="58" spans="10:20" x14ac:dyDescent="0.3">
      <c r="J58" s="1">
        <f t="shared" si="8"/>
        <v>8.2024386617638445E-3</v>
      </c>
    </row>
    <row r="59" spans="10:20" x14ac:dyDescent="0.3">
      <c r="J59" s="1">
        <f t="shared" si="8"/>
        <v>9.4752308678998087E-3</v>
      </c>
    </row>
    <row r="60" spans="10:20" x14ac:dyDescent="0.3">
      <c r="J60" s="1">
        <f t="shared" si="8"/>
        <v>9.7580735803743934E-3</v>
      </c>
    </row>
    <row r="61" spans="10:20" x14ac:dyDescent="0.3">
      <c r="J61" s="1">
        <f t="shared" si="8"/>
        <v>8.3438600180012479E-3</v>
      </c>
    </row>
    <row r="62" spans="10:20" x14ac:dyDescent="0.3">
      <c r="J62" s="1">
        <f t="shared" si="8"/>
        <v>8.9095454429503063E-3</v>
      </c>
    </row>
    <row r="63" spans="10:20" x14ac:dyDescent="0.3">
      <c r="J63" s="1">
        <f t="shared" si="8"/>
        <v>9.4752308678998087E-3</v>
      </c>
    </row>
    <row r="64" spans="10:20" x14ac:dyDescent="0.3">
      <c r="J64" s="1">
        <f t="shared" si="8"/>
        <v>1.0040916292848978E-2</v>
      </c>
    </row>
    <row r="65" spans="10:10" x14ac:dyDescent="0.3">
      <c r="J65" s="1">
        <f t="shared" si="8"/>
        <v>1.0465180361560744E-2</v>
      </c>
    </row>
    <row r="66" spans="10:10" x14ac:dyDescent="0.3">
      <c r="J66" s="1">
        <f t="shared" si="8"/>
        <v>1.2020815280171515E-2</v>
      </c>
    </row>
    <row r="67" spans="10:10" x14ac:dyDescent="0.3">
      <c r="J67" s="1">
        <f t="shared" si="8"/>
        <v>1.1030865786509914E-2</v>
      </c>
    </row>
    <row r="68" spans="10:10" x14ac:dyDescent="0.3">
      <c r="J68" s="1">
        <f t="shared" si="8"/>
        <v>1.2303657992645878E-2</v>
      </c>
    </row>
    <row r="69" spans="10:10" x14ac:dyDescent="0.3">
      <c r="J69" s="1">
        <f t="shared" si="8"/>
        <v>1.187939392393389E-2</v>
      </c>
    </row>
    <row r="70" spans="10:10" x14ac:dyDescent="0.3">
      <c r="J70" s="1">
        <f t="shared" si="8"/>
        <v>1.187939392393389E-2</v>
      </c>
    </row>
  </sheetData>
  <mergeCells count="10">
    <mergeCell ref="O6:R6"/>
    <mergeCell ref="Y6:AB6"/>
    <mergeCell ref="F4:I4"/>
    <mergeCell ref="J4:M4"/>
    <mergeCell ref="R56:S56"/>
    <mergeCell ref="P47:T47"/>
    <mergeCell ref="P48:Q48"/>
    <mergeCell ref="S48:T48"/>
    <mergeCell ref="R54:S54"/>
    <mergeCell ref="R55:S55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V147"/>
  <sheetViews>
    <sheetView topLeftCell="J130" zoomScaleNormal="100" workbookViewId="0">
      <selection activeCell="M142" sqref="M142"/>
    </sheetView>
  </sheetViews>
  <sheetFormatPr defaultRowHeight="14.4" x14ac:dyDescent="0.3"/>
  <cols>
    <col min="1" max="3" width="8.88671875" style="2"/>
    <col min="4" max="4" width="9.88671875" style="2" customWidth="1"/>
    <col min="5" max="6" width="9.21875" style="2" customWidth="1"/>
    <col min="7" max="7" width="9.88671875" style="2" customWidth="1"/>
    <col min="8" max="8" width="10.21875" style="2" customWidth="1"/>
    <col min="9" max="9" width="10.6640625" style="2" customWidth="1"/>
    <col min="10" max="10" width="13" style="2" bestFit="1" customWidth="1"/>
    <col min="11" max="11" width="8.88671875" style="2"/>
    <col min="12" max="12" width="13.33203125" style="2" customWidth="1"/>
    <col min="13" max="13" width="10.33203125" style="2" customWidth="1"/>
    <col min="14" max="25" width="8.88671875" style="2"/>
    <col min="26" max="26" width="9.77734375" style="2" customWidth="1"/>
    <col min="27" max="27" width="9" style="2" bestFit="1" customWidth="1"/>
    <col min="28" max="35" width="8.88671875" style="2"/>
    <col min="36" max="36" width="10.21875" style="2" customWidth="1"/>
    <col min="37" max="38" width="8.88671875" style="2"/>
    <col min="39" max="40" width="10.88671875" style="2" customWidth="1"/>
    <col min="41" max="43" width="8.88671875" style="2"/>
    <col min="44" max="44" width="14" style="2" customWidth="1"/>
    <col min="45" max="45" width="9.77734375" style="2" customWidth="1"/>
    <col min="46" max="16384" width="8.88671875" style="2"/>
  </cols>
  <sheetData>
    <row r="1" spans="1:74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7"/>
      <c r="AN1" s="15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7"/>
    </row>
    <row r="2" spans="1:74" ht="15.6" x14ac:dyDescent="0.3">
      <c r="A2" s="18"/>
      <c r="D2" s="50" t="s">
        <v>29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S2" s="41" t="s">
        <v>10</v>
      </c>
      <c r="T2" s="41"/>
      <c r="U2" s="41"/>
      <c r="V2" s="41"/>
      <c r="AC2" s="41" t="s">
        <v>11</v>
      </c>
      <c r="AD2" s="41"/>
      <c r="AE2" s="41"/>
      <c r="AF2" s="41"/>
      <c r="AM2" s="19"/>
      <c r="AN2" s="18"/>
      <c r="AQ2" s="50" t="s">
        <v>28</v>
      </c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F2" s="41" t="s">
        <v>10</v>
      </c>
      <c r="BG2" s="41"/>
      <c r="BH2" s="41"/>
      <c r="BI2" s="41"/>
      <c r="BO2" s="41" t="s">
        <v>11</v>
      </c>
      <c r="BP2" s="41"/>
      <c r="BQ2" s="41"/>
      <c r="BR2" s="41"/>
      <c r="BV2" s="19"/>
    </row>
    <row r="3" spans="1:74" x14ac:dyDescent="0.3">
      <c r="A3" s="18"/>
      <c r="H3" s="39" t="s">
        <v>15</v>
      </c>
      <c r="I3" s="39"/>
      <c r="J3" s="39"/>
      <c r="K3" s="39"/>
      <c r="L3" s="40" t="s">
        <v>14</v>
      </c>
      <c r="M3" s="40"/>
      <c r="N3" s="40"/>
      <c r="O3" s="40"/>
      <c r="S3" s="4" t="s">
        <v>3</v>
      </c>
      <c r="T3" s="1">
        <f t="array" ref="T3:U5">LINEST(I5:I18,G5:G18,1,1)</f>
        <v>2.0569168522726002</v>
      </c>
      <c r="U3" s="1">
        <v>-1.9138154832750498E-2</v>
      </c>
      <c r="V3" s="4" t="s">
        <v>5</v>
      </c>
      <c r="AC3" s="4" t="s">
        <v>3</v>
      </c>
      <c r="AD3" s="1">
        <f t="array" ref="AD3:AE5">LINEST(M5:M18,G5:G18,1,1)</f>
        <v>2.0588004291285094</v>
      </c>
      <c r="AE3" s="1">
        <v>9.9441503352100113E-3</v>
      </c>
      <c r="AF3" s="4" t="s">
        <v>5</v>
      </c>
      <c r="AM3" s="19"/>
      <c r="AN3" s="18"/>
      <c r="AU3" s="51" t="s">
        <v>15</v>
      </c>
      <c r="AV3" s="52"/>
      <c r="AW3" s="52"/>
      <c r="AX3" s="53"/>
      <c r="AY3" s="49" t="s">
        <v>14</v>
      </c>
      <c r="AZ3" s="49"/>
      <c r="BA3" s="49"/>
      <c r="BB3" s="49"/>
      <c r="BF3" s="4" t="s">
        <v>3</v>
      </c>
      <c r="BG3" s="1">
        <f t="array" ref="BG3:BH5">LINEST(AV5:AV17,AT5:AT17,1,1)</f>
        <v>1.8560098755304553</v>
      </c>
      <c r="BH3" s="1">
        <v>-5.9278915393391807E-2</v>
      </c>
      <c r="BI3" s="4" t="s">
        <v>5</v>
      </c>
      <c r="BO3" s="4" t="s">
        <v>3</v>
      </c>
      <c r="BP3" s="1">
        <f t="array" ref="BP3:BQ5">LINEST(AZ5:AZ17,AT5:AT17,1,1)</f>
        <v>1.8949176675281203</v>
      </c>
      <c r="BQ3" s="1">
        <v>-5.0383473473315732E-2</v>
      </c>
      <c r="BR3" s="4" t="s">
        <v>5</v>
      </c>
      <c r="BV3" s="19"/>
    </row>
    <row r="4" spans="1:74" ht="16.2" x14ac:dyDescent="0.3">
      <c r="A4" s="18"/>
      <c r="D4" s="3" t="s">
        <v>8</v>
      </c>
      <c r="E4" s="3" t="s">
        <v>9</v>
      </c>
      <c r="F4" s="3" t="s">
        <v>26</v>
      </c>
      <c r="G4" s="3" t="s">
        <v>31</v>
      </c>
      <c r="H4" s="23" t="s">
        <v>33</v>
      </c>
      <c r="I4" s="23" t="s">
        <v>32</v>
      </c>
      <c r="J4" s="23" t="s">
        <v>0</v>
      </c>
      <c r="K4" s="23" t="s">
        <v>1</v>
      </c>
      <c r="L4" s="24" t="s">
        <v>22</v>
      </c>
      <c r="M4" s="23" t="s">
        <v>23</v>
      </c>
      <c r="N4" s="23" t="s">
        <v>0</v>
      </c>
      <c r="O4" s="23" t="s">
        <v>1</v>
      </c>
      <c r="S4" s="4" t="s">
        <v>2</v>
      </c>
      <c r="T4" s="1">
        <v>3.1949145292599096E-2</v>
      </c>
      <c r="U4" s="1">
        <v>1.8750404054763192E-2</v>
      </c>
      <c r="V4" s="4" t="s">
        <v>6</v>
      </c>
      <c r="AC4" s="4" t="s">
        <v>2</v>
      </c>
      <c r="AD4" s="1">
        <v>2.4072986318655079E-2</v>
      </c>
      <c r="AE4" s="1">
        <v>1.4128021771653752E-2</v>
      </c>
      <c r="AF4" s="4" t="s">
        <v>6</v>
      </c>
      <c r="AM4" s="19"/>
      <c r="AN4" s="18"/>
      <c r="AQ4" s="3" t="s">
        <v>8</v>
      </c>
      <c r="AR4" s="3" t="s">
        <v>9</v>
      </c>
      <c r="AS4" s="3" t="s">
        <v>26</v>
      </c>
      <c r="AT4" s="3" t="s">
        <v>31</v>
      </c>
      <c r="AU4" s="3" t="s">
        <v>33</v>
      </c>
      <c r="AV4" s="3" t="s">
        <v>32</v>
      </c>
      <c r="AW4" s="3" t="s">
        <v>0</v>
      </c>
      <c r="AX4" s="3" t="s">
        <v>1</v>
      </c>
      <c r="AY4" s="5" t="s">
        <v>22</v>
      </c>
      <c r="AZ4" s="3" t="s">
        <v>23</v>
      </c>
      <c r="BA4" s="3" t="s">
        <v>0</v>
      </c>
      <c r="BB4" s="3" t="s">
        <v>1</v>
      </c>
      <c r="BF4" s="4" t="s">
        <v>2</v>
      </c>
      <c r="BG4" s="1">
        <v>1.8268398517575203E-2</v>
      </c>
      <c r="BH4" s="1">
        <v>1.0344600014045822E-2</v>
      </c>
      <c r="BI4" s="4" t="s">
        <v>6</v>
      </c>
      <c r="BO4" s="4" t="s">
        <v>2</v>
      </c>
      <c r="BP4" s="1">
        <v>2.3215211311644401E-2</v>
      </c>
      <c r="BQ4" s="1">
        <v>1.3145765077845982E-2</v>
      </c>
      <c r="BR4" s="4" t="s">
        <v>6</v>
      </c>
      <c r="BV4" s="19"/>
    </row>
    <row r="5" spans="1:74" x14ac:dyDescent="0.3">
      <c r="A5" s="18"/>
      <c r="D5" s="1">
        <v>1501</v>
      </c>
      <c r="E5" s="1">
        <f t="shared" ref="E5:E18" si="0">2*PI()*D5</f>
        <v>9431.0611460765595</v>
      </c>
      <c r="F5" s="1">
        <v>0.308</v>
      </c>
      <c r="G5" s="1">
        <f t="shared" ref="G5:G18" si="1">F5*SQRT(2)</f>
        <v>0.43557777721091329</v>
      </c>
      <c r="H5" s="1">
        <v>0.63239999999999996</v>
      </c>
      <c r="I5" s="1">
        <f t="shared" ref="I5:I18" si="2">H5*SQRT(2)</f>
        <v>0.89434865684474529</v>
      </c>
      <c r="J5" s="1">
        <f t="shared" ref="J5:J18" si="3">G5*T$3+U$3</f>
        <v>0.87680911558781716</v>
      </c>
      <c r="K5" s="1">
        <f>I5-J5</f>
        <v>1.7539541256928137E-2</v>
      </c>
      <c r="L5" s="12">
        <v>1.84</v>
      </c>
      <c r="M5" s="12">
        <f>L5/2</f>
        <v>0.92</v>
      </c>
      <c r="N5" s="1">
        <f t="shared" ref="N5:N18" si="4">G5*AD$3+AE$3</f>
        <v>0.90671186497588052</v>
      </c>
      <c r="O5" s="12">
        <f t="shared" ref="O5:O18" si="5">M5-N5</f>
        <v>1.3288135024119518E-2</v>
      </c>
      <c r="S5" s="4" t="s">
        <v>4</v>
      </c>
      <c r="T5" s="1">
        <v>0.99711323956182729</v>
      </c>
      <c r="U5" s="1">
        <v>1.0209282122496003E-2</v>
      </c>
      <c r="V5" s="4" t="s">
        <v>7</v>
      </c>
      <c r="AC5" s="4" t="s">
        <v>4</v>
      </c>
      <c r="AD5" s="1">
        <v>0.99836204959469066</v>
      </c>
      <c r="AE5" s="1">
        <v>7.692472102377881E-3</v>
      </c>
      <c r="AF5" s="4" t="s">
        <v>7</v>
      </c>
      <c r="AM5" s="19"/>
      <c r="AN5" s="18"/>
      <c r="AQ5" s="1">
        <v>1302</v>
      </c>
      <c r="AR5" s="1">
        <f>2*PI()*AQ5</f>
        <v>8180.7072699478213</v>
      </c>
      <c r="AS5" s="1">
        <v>0.498</v>
      </c>
      <c r="AT5" s="1">
        <f t="shared" ref="AT5:AT17" si="6">AS5*SQRT(2)</f>
        <v>0.70427835406180139</v>
      </c>
      <c r="AU5" s="1">
        <v>0.88570000000000004</v>
      </c>
      <c r="AV5" s="1">
        <f t="shared" ref="AV5:AV17" si="7">AU5*SQRT(2)</f>
        <v>1.2525689521938503</v>
      </c>
      <c r="AW5" s="1">
        <f t="shared" ref="AW5:AW17" si="8">AT5*BG$3+BH$3</f>
        <v>1.2478686648676462</v>
      </c>
      <c r="AX5" s="1">
        <f>AV5-AW5</f>
        <v>4.700287326204089E-3</v>
      </c>
      <c r="AY5" s="12">
        <v>2.58</v>
      </c>
      <c r="AZ5" s="12">
        <f>AY5/2</f>
        <v>1.29</v>
      </c>
      <c r="BA5" s="1">
        <f t="shared" ref="BA5:BA17" si="9">AT5*BP$3+BQ$3</f>
        <v>1.2841660224960165</v>
      </c>
      <c r="BB5" s="12">
        <f>AZ5-BA5</f>
        <v>5.8339775039835118E-3</v>
      </c>
      <c r="BF5" s="4" t="s">
        <v>4</v>
      </c>
      <c r="BG5" s="1">
        <v>0.99893543914034943</v>
      </c>
      <c r="BH5" s="1">
        <v>5.7049356353866456E-3</v>
      </c>
      <c r="BI5" s="4" t="s">
        <v>7</v>
      </c>
      <c r="BO5" s="4" t="s">
        <v>4</v>
      </c>
      <c r="BP5" s="1">
        <v>0.99835168264397656</v>
      </c>
      <c r="BQ5" s="1">
        <v>7.2497480371591138E-3</v>
      </c>
      <c r="BR5" s="4" t="s">
        <v>7</v>
      </c>
      <c r="BV5" s="19"/>
    </row>
    <row r="6" spans="1:74" x14ac:dyDescent="0.3">
      <c r="A6" s="18"/>
      <c r="D6" s="1">
        <v>1501</v>
      </c>
      <c r="E6" s="1">
        <f t="shared" si="0"/>
        <v>9431.0611460765595</v>
      </c>
      <c r="F6" s="1">
        <v>0.32</v>
      </c>
      <c r="G6" s="1">
        <f t="shared" si="1"/>
        <v>0.45254833995939048</v>
      </c>
      <c r="H6" s="1">
        <v>0.65459999999999996</v>
      </c>
      <c r="I6" s="1">
        <f t="shared" si="2"/>
        <v>0.92574419792942797</v>
      </c>
      <c r="J6" s="1">
        <f t="shared" si="3"/>
        <v>0.91171615209770951</v>
      </c>
      <c r="K6" s="1">
        <f t="shared" ref="K6:K18" si="10">I6-J6</f>
        <v>1.4028045831718461E-2</v>
      </c>
      <c r="L6" s="12">
        <v>1.9</v>
      </c>
      <c r="M6" s="12">
        <f t="shared" ref="M6:M18" si="11">L6/2</f>
        <v>0.95</v>
      </c>
      <c r="N6" s="1">
        <f t="shared" si="4"/>
        <v>0.94165086684499766</v>
      </c>
      <c r="O6" s="1">
        <f t="shared" si="5"/>
        <v>8.3491331550022974E-3</v>
      </c>
      <c r="AM6" s="19"/>
      <c r="AN6" s="18"/>
      <c r="AQ6" s="1">
        <v>1302</v>
      </c>
      <c r="AR6" s="1">
        <f t="shared" ref="AR6:AR17" si="12">2*PI()*AQ6</f>
        <v>8180.7072699478213</v>
      </c>
      <c r="AS6" s="1">
        <v>0.48</v>
      </c>
      <c r="AT6" s="1">
        <f t="shared" si="6"/>
        <v>0.67882250993908566</v>
      </c>
      <c r="AU6" s="1">
        <v>0.85040000000000004</v>
      </c>
      <c r="AV6" s="1">
        <f t="shared" si="7"/>
        <v>1.2026472134420803</v>
      </c>
      <c r="AW6" s="1">
        <f t="shared" si="8"/>
        <v>1.2006223667859217</v>
      </c>
      <c r="AX6" s="1">
        <f t="shared" ref="AX6:AX17" si="13">AV6-AW6</f>
        <v>2.024846656158541E-3</v>
      </c>
      <c r="AY6" s="12">
        <v>2.46</v>
      </c>
      <c r="AZ6" s="12">
        <f t="shared" ref="AZ6:AZ17" si="14">AY6/2</f>
        <v>1.23</v>
      </c>
      <c r="BA6" s="1">
        <f t="shared" si="9"/>
        <v>1.2359292937260407</v>
      </c>
      <c r="BB6" s="12">
        <f t="shared" ref="BB6:BB17" si="15">AZ6-BA6</f>
        <v>-5.9292937260406742E-3</v>
      </c>
      <c r="BV6" s="19"/>
    </row>
    <row r="7" spans="1:74" x14ac:dyDescent="0.3">
      <c r="A7" s="18"/>
      <c r="D7" s="1">
        <v>1501</v>
      </c>
      <c r="E7" s="1">
        <f t="shared" si="0"/>
        <v>9431.0611460765595</v>
      </c>
      <c r="F7" s="1">
        <v>0.34399999999999997</v>
      </c>
      <c r="G7" s="1">
        <f t="shared" si="1"/>
        <v>0.48648946545634469</v>
      </c>
      <c r="H7" s="1">
        <v>0.69110000000000005</v>
      </c>
      <c r="I7" s="1">
        <f t="shared" si="2"/>
        <v>0.97736299295604612</v>
      </c>
      <c r="J7" s="1">
        <f t="shared" si="3"/>
        <v>0.98153022511749399</v>
      </c>
      <c r="K7" s="1">
        <f t="shared" si="10"/>
        <v>-4.1672321614478758E-3</v>
      </c>
      <c r="L7" s="12">
        <v>2.02</v>
      </c>
      <c r="M7" s="12">
        <f t="shared" si="11"/>
        <v>1.01</v>
      </c>
      <c r="N7" s="1">
        <f t="shared" si="4"/>
        <v>1.0115288705832315</v>
      </c>
      <c r="O7" s="1">
        <f t="shared" si="5"/>
        <v>-1.5288705832314786E-3</v>
      </c>
      <c r="AM7" s="19"/>
      <c r="AN7" s="18"/>
      <c r="AQ7" s="1">
        <v>1302</v>
      </c>
      <c r="AR7" s="1">
        <f t="shared" si="12"/>
        <v>8180.7072699478213</v>
      </c>
      <c r="AS7" s="1">
        <v>0.46700000000000003</v>
      </c>
      <c r="AT7" s="1">
        <f t="shared" si="6"/>
        <v>0.66043773362823543</v>
      </c>
      <c r="AU7" s="1">
        <v>0.82809999999999995</v>
      </c>
      <c r="AV7" s="1">
        <f t="shared" si="7"/>
        <v>1.17111025100116</v>
      </c>
      <c r="AW7" s="1">
        <f t="shared" si="8"/>
        <v>1.1665000403935655</v>
      </c>
      <c r="AX7" s="1">
        <f t="shared" si="13"/>
        <v>4.6102106075944782E-3</v>
      </c>
      <c r="AY7" s="12">
        <v>2.41</v>
      </c>
      <c r="AZ7" s="12">
        <f t="shared" si="14"/>
        <v>1.2050000000000001</v>
      </c>
      <c r="BA7" s="1">
        <f t="shared" si="9"/>
        <v>1.2010916562810581</v>
      </c>
      <c r="BB7" s="12">
        <f t="shared" si="15"/>
        <v>3.9083437189419978E-3</v>
      </c>
      <c r="BV7" s="19"/>
    </row>
    <row r="8" spans="1:74" x14ac:dyDescent="0.3">
      <c r="A8" s="18"/>
      <c r="D8" s="1">
        <v>1501</v>
      </c>
      <c r="E8" s="1">
        <f t="shared" si="0"/>
        <v>9431.0611460765595</v>
      </c>
      <c r="F8" s="1">
        <v>0.35699999999999998</v>
      </c>
      <c r="G8" s="1">
        <f t="shared" si="1"/>
        <v>0.50487424176719498</v>
      </c>
      <c r="H8" s="1">
        <v>0.71550000000000002</v>
      </c>
      <c r="I8" s="1">
        <f t="shared" si="2"/>
        <v>1.0118698038779497</v>
      </c>
      <c r="J8" s="1">
        <f t="shared" si="3"/>
        <v>1.0193461813365439</v>
      </c>
      <c r="K8" s="1">
        <f t="shared" si="10"/>
        <v>-7.4763774585941967E-3</v>
      </c>
      <c r="L8" s="12">
        <v>2.08</v>
      </c>
      <c r="M8" s="12">
        <f t="shared" si="11"/>
        <v>1.04</v>
      </c>
      <c r="N8" s="1">
        <f t="shared" si="4"/>
        <v>1.0493794559414418</v>
      </c>
      <c r="O8" s="1">
        <f t="shared" si="5"/>
        <v>-9.3794559414417389E-3</v>
      </c>
      <c r="AM8" s="19"/>
      <c r="AN8" s="18"/>
      <c r="AQ8" s="1">
        <v>1302</v>
      </c>
      <c r="AR8" s="1">
        <f t="shared" si="12"/>
        <v>8180.7072699478213</v>
      </c>
      <c r="AS8" s="1">
        <v>0.439</v>
      </c>
      <c r="AT8" s="1">
        <f t="shared" si="6"/>
        <v>0.6208397538817888</v>
      </c>
      <c r="AU8" s="1">
        <v>0.77380000000000004</v>
      </c>
      <c r="AV8" s="1">
        <f t="shared" si="7"/>
        <v>1.094318454564301</v>
      </c>
      <c r="AW8" s="1">
        <f t="shared" si="8"/>
        <v>1.0930057989331057</v>
      </c>
      <c r="AX8" s="1">
        <f t="shared" si="13"/>
        <v>1.3126556311953141E-3</v>
      </c>
      <c r="AY8" s="12">
        <v>2.2599999999999998</v>
      </c>
      <c r="AZ8" s="12">
        <f t="shared" si="14"/>
        <v>1.1299999999999999</v>
      </c>
      <c r="BA8" s="1">
        <f t="shared" si="9"/>
        <v>1.1260567448610959</v>
      </c>
      <c r="BB8" s="12">
        <f t="shared" si="15"/>
        <v>3.9432551389040338E-3</v>
      </c>
      <c r="BV8" s="19"/>
    </row>
    <row r="9" spans="1:74" x14ac:dyDescent="0.3">
      <c r="A9" s="18"/>
      <c r="D9" s="1">
        <v>1501</v>
      </c>
      <c r="E9" s="1">
        <f t="shared" si="0"/>
        <v>9431.0611460765595</v>
      </c>
      <c r="F9" s="1">
        <v>0.372</v>
      </c>
      <c r="G9" s="1">
        <f t="shared" si="1"/>
        <v>0.52608744520279138</v>
      </c>
      <c r="H9" s="1">
        <v>0.74339999999999995</v>
      </c>
      <c r="I9" s="1">
        <f t="shared" si="2"/>
        <v>1.0513263622681588</v>
      </c>
      <c r="J9" s="1">
        <f t="shared" si="3"/>
        <v>1.0629799769739092</v>
      </c>
      <c r="K9" s="1">
        <f t="shared" si="10"/>
        <v>-1.1653614705750437E-2</v>
      </c>
      <c r="L9" s="12">
        <v>2.1800000000000002</v>
      </c>
      <c r="M9" s="12">
        <f t="shared" si="11"/>
        <v>1.0900000000000001</v>
      </c>
      <c r="N9" s="1">
        <f t="shared" si="4"/>
        <v>1.0930532082778381</v>
      </c>
      <c r="O9" s="1">
        <f t="shared" si="5"/>
        <v>-3.0532082778380598E-3</v>
      </c>
      <c r="AM9" s="19"/>
      <c r="AN9" s="18"/>
      <c r="AQ9" s="1">
        <v>1302</v>
      </c>
      <c r="AR9" s="1">
        <f t="shared" si="12"/>
        <v>8180.7072699478213</v>
      </c>
      <c r="AS9" s="1">
        <v>0.42099999999999999</v>
      </c>
      <c r="AT9" s="1">
        <f t="shared" si="6"/>
        <v>0.59538390975907307</v>
      </c>
      <c r="AU9" s="1">
        <v>0.73729999999999996</v>
      </c>
      <c r="AV9" s="1">
        <f t="shared" si="7"/>
        <v>1.042699659537683</v>
      </c>
      <c r="AW9" s="1">
        <f t="shared" si="8"/>
        <v>1.0457595008513811</v>
      </c>
      <c r="AX9" s="1">
        <f t="shared" si="13"/>
        <v>-3.0598413136981861E-3</v>
      </c>
      <c r="AY9" s="12">
        <v>2.16</v>
      </c>
      <c r="AZ9" s="12">
        <f t="shared" si="14"/>
        <v>1.08</v>
      </c>
      <c r="BA9" s="1">
        <f t="shared" si="9"/>
        <v>1.0778200160911198</v>
      </c>
      <c r="BB9" s="12">
        <f t="shared" si="15"/>
        <v>2.1799839088803008E-3</v>
      </c>
      <c r="BV9" s="19"/>
    </row>
    <row r="10" spans="1:74" x14ac:dyDescent="0.3">
      <c r="A10" s="18"/>
      <c r="D10" s="1">
        <v>1501</v>
      </c>
      <c r="E10" s="1">
        <f t="shared" si="0"/>
        <v>9431.0611460765595</v>
      </c>
      <c r="F10" s="1">
        <v>0.39300000000000002</v>
      </c>
      <c r="G10" s="1">
        <f t="shared" si="1"/>
        <v>0.55578593001262644</v>
      </c>
      <c r="H10" s="1">
        <v>0.78510000000000002</v>
      </c>
      <c r="I10" s="1">
        <f t="shared" si="2"/>
        <v>1.1102990678191171</v>
      </c>
      <c r="J10" s="1">
        <f t="shared" si="3"/>
        <v>1.1240672908662208</v>
      </c>
      <c r="K10" s="1">
        <f t="shared" si="10"/>
        <v>-1.3768223047103678E-2</v>
      </c>
      <c r="L10" s="12">
        <v>2.29</v>
      </c>
      <c r="M10" s="12">
        <f t="shared" si="11"/>
        <v>1.145</v>
      </c>
      <c r="N10" s="1">
        <f t="shared" si="4"/>
        <v>1.154196461548793</v>
      </c>
      <c r="O10" s="1">
        <f t="shared" si="5"/>
        <v>-9.1964615487929446E-3</v>
      </c>
      <c r="AM10" s="19"/>
      <c r="AN10" s="18"/>
      <c r="AQ10" s="1">
        <v>1302</v>
      </c>
      <c r="AR10" s="1">
        <f t="shared" si="12"/>
        <v>8180.7072699478213</v>
      </c>
      <c r="AS10" s="1">
        <v>0.41</v>
      </c>
      <c r="AT10" s="1">
        <f t="shared" si="6"/>
        <v>0.57982756057296903</v>
      </c>
      <c r="AU10" s="1">
        <v>0.7167</v>
      </c>
      <c r="AV10" s="1">
        <f t="shared" si="7"/>
        <v>1.0135668601527974</v>
      </c>
      <c r="AW10" s="1">
        <f t="shared" si="8"/>
        <v>1.0168867631347718</v>
      </c>
      <c r="AX10" s="1">
        <f t="shared" si="13"/>
        <v>-3.3199029819743764E-3</v>
      </c>
      <c r="AY10" s="12">
        <v>2.1</v>
      </c>
      <c r="AZ10" s="12">
        <f t="shared" si="14"/>
        <v>1.05</v>
      </c>
      <c r="BA10" s="1">
        <f t="shared" si="9"/>
        <v>1.0483420151761347</v>
      </c>
      <c r="BB10" s="12">
        <f t="shared" si="15"/>
        <v>1.6579848238653661E-3</v>
      </c>
      <c r="BV10" s="19"/>
    </row>
    <row r="11" spans="1:74" x14ac:dyDescent="0.3">
      <c r="A11" s="18"/>
      <c r="D11" s="1">
        <v>1501</v>
      </c>
      <c r="E11" s="1">
        <f t="shared" si="0"/>
        <v>9431.0611460765595</v>
      </c>
      <c r="F11" s="1">
        <v>0.41199999999999998</v>
      </c>
      <c r="G11" s="1">
        <f t="shared" si="1"/>
        <v>0.58265598769771521</v>
      </c>
      <c r="H11" s="1">
        <v>0.82720000000000005</v>
      </c>
      <c r="I11" s="1">
        <f t="shared" si="2"/>
        <v>1.1698374587950244</v>
      </c>
      <c r="J11" s="1">
        <f t="shared" si="3"/>
        <v>1.1793367653402167</v>
      </c>
      <c r="K11" s="1">
        <f t="shared" si="10"/>
        <v>-9.4993065451922654E-3</v>
      </c>
      <c r="L11" s="12">
        <v>2.4</v>
      </c>
      <c r="M11" s="12">
        <f t="shared" si="11"/>
        <v>1.2</v>
      </c>
      <c r="N11" s="1">
        <f t="shared" si="4"/>
        <v>1.2095165478415615</v>
      </c>
      <c r="O11" s="1">
        <f t="shared" si="5"/>
        <v>-9.516547841561529E-3</v>
      </c>
      <c r="AM11" s="19"/>
      <c r="AN11" s="18"/>
      <c r="AQ11" s="1">
        <v>1302</v>
      </c>
      <c r="AR11" s="1">
        <f t="shared" si="12"/>
        <v>8180.7072699478213</v>
      </c>
      <c r="AS11" s="1">
        <v>0.39500000000000002</v>
      </c>
      <c r="AT11" s="1">
        <f t="shared" si="6"/>
        <v>0.55861435713737262</v>
      </c>
      <c r="AU11" s="1">
        <v>0.68769999999999998</v>
      </c>
      <c r="AV11" s="1">
        <f t="shared" si="7"/>
        <v>0.97255466684397751</v>
      </c>
      <c r="AW11" s="1">
        <f t="shared" si="8"/>
        <v>0.97751484806666833</v>
      </c>
      <c r="AX11" s="1">
        <f t="shared" si="13"/>
        <v>-4.9601812226908182E-3</v>
      </c>
      <c r="AY11" s="12">
        <v>2.0099999999999998</v>
      </c>
      <c r="AZ11" s="12">
        <f t="shared" si="14"/>
        <v>1.0049999999999999</v>
      </c>
      <c r="BA11" s="1">
        <f t="shared" si="9"/>
        <v>1.0081447412011548</v>
      </c>
      <c r="BB11" s="12">
        <f t="shared" si="15"/>
        <v>-3.1447412011549325E-3</v>
      </c>
      <c r="BV11" s="19"/>
    </row>
    <row r="12" spans="1:74" x14ac:dyDescent="0.3">
      <c r="A12" s="18"/>
      <c r="D12" s="1">
        <v>1501</v>
      </c>
      <c r="E12" s="1">
        <f t="shared" si="0"/>
        <v>9431.0611460765595</v>
      </c>
      <c r="F12" s="1">
        <v>0.42799999999999999</v>
      </c>
      <c r="G12" s="1">
        <f t="shared" si="1"/>
        <v>0.60528340469568476</v>
      </c>
      <c r="H12" s="1">
        <v>0.86240000000000006</v>
      </c>
      <c r="I12" s="1">
        <f t="shared" si="2"/>
        <v>1.2196177761905573</v>
      </c>
      <c r="J12" s="1">
        <f t="shared" si="3"/>
        <v>1.2258794806867399</v>
      </c>
      <c r="K12" s="1">
        <f t="shared" si="10"/>
        <v>-6.2617044961825741E-3</v>
      </c>
      <c r="L12" s="12">
        <v>2.5</v>
      </c>
      <c r="M12" s="12">
        <f t="shared" si="11"/>
        <v>1.25</v>
      </c>
      <c r="N12" s="1">
        <f t="shared" si="4"/>
        <v>1.256101883667051</v>
      </c>
      <c r="O12" s="1">
        <f t="shared" si="5"/>
        <v>-6.1018836670510002E-3</v>
      </c>
      <c r="AM12" s="19"/>
      <c r="AN12" s="18"/>
      <c r="AQ12" s="1">
        <v>1302</v>
      </c>
      <c r="AR12" s="1">
        <f t="shared" si="12"/>
        <v>8180.7072699478213</v>
      </c>
      <c r="AS12" s="1">
        <v>0.378</v>
      </c>
      <c r="AT12" s="1">
        <f t="shared" si="6"/>
        <v>0.53457272657702992</v>
      </c>
      <c r="AU12" s="1">
        <v>0.65459999999999996</v>
      </c>
      <c r="AV12" s="1">
        <f t="shared" si="7"/>
        <v>0.92574419792942797</v>
      </c>
      <c r="AW12" s="1">
        <f t="shared" si="8"/>
        <v>0.93289334432281756</v>
      </c>
      <c r="AX12" s="1">
        <f t="shared" si="13"/>
        <v>-7.1491463933895938E-3</v>
      </c>
      <c r="AY12" s="12">
        <v>1.9</v>
      </c>
      <c r="AZ12" s="12">
        <f t="shared" si="14"/>
        <v>0.95</v>
      </c>
      <c r="BA12" s="1">
        <f t="shared" si="9"/>
        <v>0.96258783069617748</v>
      </c>
      <c r="BB12" s="12">
        <f t="shared" si="15"/>
        <v>-1.2587830696177527E-2</v>
      </c>
      <c r="BV12" s="19"/>
    </row>
    <row r="13" spans="1:74" x14ac:dyDescent="0.3">
      <c r="A13" s="18"/>
      <c r="D13" s="1">
        <v>1501</v>
      </c>
      <c r="E13" s="1">
        <f t="shared" si="0"/>
        <v>9431.0611460765595</v>
      </c>
      <c r="F13" s="1">
        <v>0.439</v>
      </c>
      <c r="G13" s="1">
        <f t="shared" si="1"/>
        <v>0.6208397538817888</v>
      </c>
      <c r="H13" s="1">
        <v>0.88680000000000003</v>
      </c>
      <c r="I13" s="1">
        <f t="shared" si="2"/>
        <v>1.2541245871124609</v>
      </c>
      <c r="J13" s="1">
        <f t="shared" si="3"/>
        <v>1.2578775974874743</v>
      </c>
      <c r="K13" s="1">
        <f t="shared" si="10"/>
        <v>-3.7530103750134103E-3</v>
      </c>
      <c r="L13" s="12">
        <v>2.58</v>
      </c>
      <c r="M13" s="12">
        <f t="shared" si="11"/>
        <v>1.29</v>
      </c>
      <c r="N13" s="1">
        <f t="shared" si="4"/>
        <v>1.288129302047075</v>
      </c>
      <c r="O13" s="1">
        <f t="shared" si="5"/>
        <v>1.8706979529250489E-3</v>
      </c>
      <c r="AM13" s="19"/>
      <c r="AN13" s="18"/>
      <c r="AQ13" s="1">
        <v>1302</v>
      </c>
      <c r="AR13" s="1">
        <f t="shared" si="12"/>
        <v>8180.7072699478213</v>
      </c>
      <c r="AS13" s="1">
        <v>0.36299999999999999</v>
      </c>
      <c r="AT13" s="1">
        <f t="shared" si="6"/>
        <v>0.51335952314143352</v>
      </c>
      <c r="AU13" s="1">
        <v>0.62680000000000002</v>
      </c>
      <c r="AV13" s="1">
        <f t="shared" si="7"/>
        <v>0.88642906089545603</v>
      </c>
      <c r="AW13" s="1">
        <f t="shared" si="8"/>
        <v>0.89352142925471412</v>
      </c>
      <c r="AX13" s="1">
        <f t="shared" si="13"/>
        <v>-7.0923683592580833E-3</v>
      </c>
      <c r="AY13" s="12">
        <v>1.84</v>
      </c>
      <c r="AZ13" s="12">
        <f t="shared" si="14"/>
        <v>0.92</v>
      </c>
      <c r="BA13" s="1">
        <f t="shared" si="9"/>
        <v>0.92239055672119752</v>
      </c>
      <c r="BB13" s="12">
        <f t="shared" si="15"/>
        <v>-2.3905567211974788E-3</v>
      </c>
      <c r="BV13" s="19"/>
    </row>
    <row r="14" spans="1:74" x14ac:dyDescent="0.3">
      <c r="A14" s="18"/>
      <c r="D14" s="1">
        <v>1501</v>
      </c>
      <c r="E14" s="1">
        <f t="shared" si="0"/>
        <v>9431.0611460765595</v>
      </c>
      <c r="F14" s="1">
        <v>0.44800000000000001</v>
      </c>
      <c r="G14" s="1">
        <f t="shared" si="1"/>
        <v>0.63356767594314667</v>
      </c>
      <c r="H14" s="1">
        <v>0.90659999999999996</v>
      </c>
      <c r="I14" s="1">
        <f t="shared" si="2"/>
        <v>1.2821260156474481</v>
      </c>
      <c r="J14" s="1">
        <f t="shared" si="3"/>
        <v>1.2840578748698936</v>
      </c>
      <c r="K14" s="1">
        <f t="shared" si="10"/>
        <v>-1.9318592224455422E-3</v>
      </c>
      <c r="L14" s="12">
        <v>2.62</v>
      </c>
      <c r="M14" s="12">
        <f t="shared" si="11"/>
        <v>1.31</v>
      </c>
      <c r="N14" s="1">
        <f t="shared" si="4"/>
        <v>1.3143335534489127</v>
      </c>
      <c r="O14" s="1">
        <f t="shared" si="5"/>
        <v>-4.3335534489126193E-3</v>
      </c>
      <c r="AM14" s="19"/>
      <c r="AN14" s="18"/>
      <c r="AQ14" s="1">
        <v>1302</v>
      </c>
      <c r="AR14" s="1">
        <f t="shared" si="12"/>
        <v>8180.7072699478213</v>
      </c>
      <c r="AS14" s="1">
        <v>0.34599999999999997</v>
      </c>
      <c r="AT14" s="1">
        <f t="shared" si="6"/>
        <v>0.48931789258109087</v>
      </c>
      <c r="AU14" s="1">
        <v>0.59809999999999997</v>
      </c>
      <c r="AV14" s="1">
        <f t="shared" si="7"/>
        <v>0.84584113165534813</v>
      </c>
      <c r="AW14" s="1">
        <f t="shared" si="8"/>
        <v>0.84889992551086335</v>
      </c>
      <c r="AX14" s="1">
        <f t="shared" si="13"/>
        <v>-3.0587938555152183E-3</v>
      </c>
      <c r="AY14" s="12">
        <v>1.74</v>
      </c>
      <c r="AZ14" s="12">
        <f t="shared" si="14"/>
        <v>0.87</v>
      </c>
      <c r="BA14" s="1">
        <f t="shared" si="9"/>
        <v>0.87683364621622029</v>
      </c>
      <c r="BB14" s="12">
        <f t="shared" si="15"/>
        <v>-6.8336462162202904E-3</v>
      </c>
      <c r="BV14" s="19"/>
    </row>
    <row r="15" spans="1:74" x14ac:dyDescent="0.3">
      <c r="A15" s="18"/>
      <c r="D15" s="1">
        <v>1501</v>
      </c>
      <c r="E15" s="1">
        <f t="shared" si="0"/>
        <v>9431.0611460765595</v>
      </c>
      <c r="F15" s="1">
        <v>0.46700000000000003</v>
      </c>
      <c r="G15" s="1">
        <f t="shared" si="1"/>
        <v>0.66043773362823543</v>
      </c>
      <c r="H15" s="1">
        <v>0.95020000000000004</v>
      </c>
      <c r="I15" s="1">
        <f t="shared" si="2"/>
        <v>1.3437857269669151</v>
      </c>
      <c r="J15" s="1">
        <f t="shared" si="3"/>
        <v>1.3393273493438895</v>
      </c>
      <c r="K15" s="1">
        <f t="shared" si="10"/>
        <v>4.4583776230255889E-3</v>
      </c>
      <c r="L15" s="12">
        <v>2.74</v>
      </c>
      <c r="M15" s="12">
        <f t="shared" si="11"/>
        <v>1.37</v>
      </c>
      <c r="N15" s="1">
        <f t="shared" si="4"/>
        <v>1.3696536397416812</v>
      </c>
      <c r="O15" s="1">
        <f t="shared" si="5"/>
        <v>3.4636025831891182E-4</v>
      </c>
      <c r="AM15" s="19"/>
      <c r="AN15" s="18"/>
      <c r="AQ15" s="1">
        <v>1302</v>
      </c>
      <c r="AR15" s="1">
        <f t="shared" si="12"/>
        <v>8180.7072699478213</v>
      </c>
      <c r="AS15" s="1">
        <v>0.32900000000000001</v>
      </c>
      <c r="AT15" s="1">
        <f t="shared" si="6"/>
        <v>0.46527626202074834</v>
      </c>
      <c r="AU15" s="1">
        <v>0.56799999999999995</v>
      </c>
      <c r="AV15" s="1">
        <f t="shared" si="7"/>
        <v>0.80327330342791792</v>
      </c>
      <c r="AW15" s="1">
        <f t="shared" si="8"/>
        <v>0.80427842176701281</v>
      </c>
      <c r="AX15" s="1">
        <f t="shared" si="13"/>
        <v>-1.0051183390948903E-3</v>
      </c>
      <c r="AY15" s="12">
        <v>1.66</v>
      </c>
      <c r="AZ15" s="12">
        <f t="shared" si="14"/>
        <v>0.83</v>
      </c>
      <c r="BA15" s="1">
        <f t="shared" si="9"/>
        <v>0.83127673571124328</v>
      </c>
      <c r="BB15" s="12">
        <f t="shared" si="15"/>
        <v>-1.2767357112433153E-3</v>
      </c>
      <c r="BV15" s="19"/>
    </row>
    <row r="16" spans="1:74" x14ac:dyDescent="0.3">
      <c r="A16" s="18"/>
      <c r="D16" s="1">
        <v>1501</v>
      </c>
      <c r="E16" s="1">
        <f t="shared" si="0"/>
        <v>9431.0611460765595</v>
      </c>
      <c r="F16" s="1">
        <v>0.47799999999999998</v>
      </c>
      <c r="G16" s="1">
        <f t="shared" si="1"/>
        <v>0.67599408281433948</v>
      </c>
      <c r="H16" s="1">
        <v>0.97399999999999998</v>
      </c>
      <c r="I16" s="1">
        <f t="shared" si="2"/>
        <v>1.3774440097513947</v>
      </c>
      <c r="J16" s="1">
        <f t="shared" si="3"/>
        <v>1.3713254661446241</v>
      </c>
      <c r="K16" s="1">
        <f t="shared" si="10"/>
        <v>6.1185436067705545E-3</v>
      </c>
      <c r="L16" s="12">
        <v>2.82</v>
      </c>
      <c r="M16" s="12">
        <f t="shared" si="11"/>
        <v>1.41</v>
      </c>
      <c r="N16" s="1">
        <f t="shared" si="4"/>
        <v>1.4016810581217052</v>
      </c>
      <c r="O16" s="1">
        <f t="shared" si="5"/>
        <v>8.3189418782947389E-3</v>
      </c>
      <c r="AM16" s="19"/>
      <c r="AN16" s="18"/>
      <c r="AQ16" s="1">
        <v>1302</v>
      </c>
      <c r="AR16" s="1">
        <f t="shared" si="12"/>
        <v>8180.7072699478213</v>
      </c>
      <c r="AS16" s="1">
        <v>0.314</v>
      </c>
      <c r="AT16" s="1">
        <f t="shared" si="6"/>
        <v>0.44406305858515188</v>
      </c>
      <c r="AU16" s="1">
        <v>0.54549999999999998</v>
      </c>
      <c r="AV16" s="1">
        <f t="shared" si="7"/>
        <v>0.77145349827452336</v>
      </c>
      <c r="AW16" s="1">
        <f t="shared" si="8"/>
        <v>0.76490650669890925</v>
      </c>
      <c r="AX16" s="1">
        <f t="shared" si="13"/>
        <v>6.5469915756141139E-3</v>
      </c>
      <c r="AY16" s="12">
        <v>1.58</v>
      </c>
      <c r="AZ16" s="12">
        <f t="shared" si="14"/>
        <v>0.79</v>
      </c>
      <c r="BA16" s="1">
        <f t="shared" si="9"/>
        <v>0.79107946173626331</v>
      </c>
      <c r="BB16" s="12">
        <f t="shared" si="15"/>
        <v>-1.0794617362632764E-3</v>
      </c>
      <c r="BV16" s="19"/>
    </row>
    <row r="17" spans="1:74" x14ac:dyDescent="0.3">
      <c r="A17" s="18"/>
      <c r="D17" s="1">
        <v>1501</v>
      </c>
      <c r="E17" s="1">
        <f t="shared" si="0"/>
        <v>9431.0611460765595</v>
      </c>
      <c r="F17" s="1">
        <v>0.48599999999999999</v>
      </c>
      <c r="G17" s="1">
        <f t="shared" si="1"/>
        <v>0.6873077913133242</v>
      </c>
      <c r="H17" s="1">
        <v>0.99039999999999995</v>
      </c>
      <c r="I17" s="1">
        <f t="shared" si="2"/>
        <v>1.4006371121743133</v>
      </c>
      <c r="J17" s="1">
        <f t="shared" si="3"/>
        <v>1.3945968238178856</v>
      </c>
      <c r="K17" s="1">
        <f t="shared" si="10"/>
        <v>6.0402883564276699E-3</v>
      </c>
      <c r="L17" s="12">
        <v>2.86</v>
      </c>
      <c r="M17" s="12">
        <f t="shared" si="11"/>
        <v>1.43</v>
      </c>
      <c r="N17" s="1">
        <f t="shared" si="4"/>
        <v>1.4249737260344499</v>
      </c>
      <c r="O17" s="1">
        <f t="shared" si="5"/>
        <v>5.0262739655499988E-3</v>
      </c>
      <c r="AM17" s="19"/>
      <c r="AN17" s="18"/>
      <c r="AQ17" s="1">
        <v>1302</v>
      </c>
      <c r="AR17" s="1">
        <f t="shared" si="12"/>
        <v>8180.7072699478213</v>
      </c>
      <c r="AS17" s="1">
        <v>0.30399999999999999</v>
      </c>
      <c r="AT17" s="1">
        <f t="shared" si="6"/>
        <v>0.42992092296142093</v>
      </c>
      <c r="AU17" s="1">
        <v>0.52969999999999995</v>
      </c>
      <c r="AV17" s="1">
        <f t="shared" si="7"/>
        <v>0.7491089239890284</v>
      </c>
      <c r="AW17" s="1">
        <f t="shared" si="8"/>
        <v>0.73865856332017354</v>
      </c>
      <c r="AX17" s="1">
        <f t="shared" si="13"/>
        <v>1.0450360668854852E-2</v>
      </c>
      <c r="AY17" s="12">
        <v>1.56</v>
      </c>
      <c r="AZ17" s="12">
        <f t="shared" si="14"/>
        <v>0.78</v>
      </c>
      <c r="BA17" s="1">
        <f t="shared" si="9"/>
        <v>0.76428127908627674</v>
      </c>
      <c r="BB17" s="12">
        <f t="shared" si="15"/>
        <v>1.5718720913723283E-2</v>
      </c>
      <c r="BV17" s="19"/>
    </row>
    <row r="18" spans="1:74" x14ac:dyDescent="0.3">
      <c r="A18" s="18"/>
      <c r="D18" s="1">
        <v>1501</v>
      </c>
      <c r="E18" s="1">
        <f t="shared" si="0"/>
        <v>9431.0611460765595</v>
      </c>
      <c r="F18" s="1">
        <v>0.496</v>
      </c>
      <c r="G18" s="1">
        <f t="shared" si="1"/>
        <v>0.70144992693705521</v>
      </c>
      <c r="H18" s="1">
        <v>1.014</v>
      </c>
      <c r="I18" s="1">
        <f t="shared" si="2"/>
        <v>1.4340125522463185</v>
      </c>
      <c r="J18" s="1">
        <f t="shared" si="3"/>
        <v>1.4236860209094626</v>
      </c>
      <c r="K18" s="1">
        <f t="shared" si="10"/>
        <v>1.0326531336855904E-2</v>
      </c>
      <c r="L18" s="12">
        <v>2.92</v>
      </c>
      <c r="M18" s="12">
        <f t="shared" si="11"/>
        <v>1.46</v>
      </c>
      <c r="N18" s="1">
        <f t="shared" si="4"/>
        <v>1.4540895609253808</v>
      </c>
      <c r="O18" s="1">
        <f t="shared" si="5"/>
        <v>5.9104390746191893E-3</v>
      </c>
      <c r="AM18" s="19"/>
      <c r="AN18" s="18"/>
      <c r="BV18" s="19"/>
    </row>
    <row r="19" spans="1:74" x14ac:dyDescent="0.3">
      <c r="A19" s="18"/>
      <c r="AM19" s="19"/>
      <c r="AN19" s="18"/>
      <c r="BV19" s="19"/>
    </row>
    <row r="20" spans="1:74" x14ac:dyDescent="0.3">
      <c r="A20" s="18"/>
      <c r="AM20" s="19"/>
      <c r="AN20" s="18"/>
      <c r="BV20" s="19"/>
    </row>
    <row r="21" spans="1:74" x14ac:dyDescent="0.3">
      <c r="A21" s="18"/>
      <c r="AM21" s="19"/>
      <c r="AN21" s="18"/>
      <c r="BV21" s="19"/>
    </row>
    <row r="22" spans="1:74" x14ac:dyDescent="0.3">
      <c r="A22" s="18"/>
      <c r="AM22" s="19"/>
      <c r="AN22" s="18"/>
      <c r="BV22" s="19"/>
    </row>
    <row r="23" spans="1:74" x14ac:dyDescent="0.3">
      <c r="A23" s="18"/>
      <c r="AM23" s="19"/>
      <c r="AN23" s="18"/>
      <c r="BV23" s="19"/>
    </row>
    <row r="24" spans="1:74" x14ac:dyDescent="0.3">
      <c r="A24" s="18"/>
      <c r="AM24" s="19"/>
      <c r="AN24" s="18"/>
      <c r="BV24" s="19"/>
    </row>
    <row r="25" spans="1:74" x14ac:dyDescent="0.3">
      <c r="A25" s="18"/>
      <c r="AM25" s="19"/>
      <c r="AN25" s="18"/>
      <c r="BV25" s="19"/>
    </row>
    <row r="26" spans="1:74" x14ac:dyDescent="0.3">
      <c r="A26" s="18"/>
      <c r="AM26" s="19"/>
      <c r="AN26" s="18"/>
      <c r="BV26" s="19"/>
    </row>
    <row r="27" spans="1:74" x14ac:dyDescent="0.3">
      <c r="A27" s="18"/>
      <c r="AM27" s="19"/>
      <c r="AN27" s="18"/>
      <c r="BV27" s="19"/>
    </row>
    <row r="28" spans="1:74" x14ac:dyDescent="0.3">
      <c r="A28" s="18"/>
      <c r="AM28" s="19"/>
      <c r="AN28" s="18"/>
      <c r="BV28" s="19"/>
    </row>
    <row r="29" spans="1:74" x14ac:dyDescent="0.3">
      <c r="A29" s="18"/>
      <c r="AM29" s="19"/>
      <c r="AN29" s="18"/>
      <c r="BV29" s="19"/>
    </row>
    <row r="30" spans="1:74" x14ac:dyDescent="0.3">
      <c r="A30" s="18"/>
      <c r="AM30" s="19"/>
      <c r="AN30" s="18"/>
      <c r="BV30" s="19"/>
    </row>
    <row r="31" spans="1:74" x14ac:dyDescent="0.3">
      <c r="A31" s="18"/>
      <c r="AM31" s="19"/>
      <c r="AN31" s="18"/>
      <c r="BV31" s="19"/>
    </row>
    <row r="32" spans="1:74" x14ac:dyDescent="0.3">
      <c r="A32" s="18"/>
      <c r="AM32" s="19"/>
      <c r="AN32" s="18"/>
      <c r="BV32" s="19"/>
    </row>
    <row r="33" spans="1:74" x14ac:dyDescent="0.3">
      <c r="A33" s="18"/>
      <c r="AM33" s="19"/>
      <c r="AN33" s="18"/>
      <c r="BV33" s="19"/>
    </row>
    <row r="34" spans="1:74" x14ac:dyDescent="0.3">
      <c r="A34" s="18"/>
      <c r="AM34" s="19"/>
      <c r="AN34" s="18"/>
      <c r="BV34" s="19"/>
    </row>
    <row r="35" spans="1:74" x14ac:dyDescent="0.3">
      <c r="A35" s="18"/>
      <c r="AM35" s="19"/>
      <c r="AN35" s="18"/>
      <c r="BV35" s="19"/>
    </row>
    <row r="36" spans="1:74" x14ac:dyDescent="0.3">
      <c r="A36" s="18"/>
      <c r="AM36" s="19"/>
      <c r="AN36" s="18"/>
      <c r="BV36" s="19"/>
    </row>
    <row r="37" spans="1:74" x14ac:dyDescent="0.3">
      <c r="A37" s="18"/>
      <c r="AM37" s="19"/>
      <c r="AN37" s="18"/>
      <c r="BV37" s="19"/>
    </row>
    <row r="38" spans="1:74" x14ac:dyDescent="0.3">
      <c r="A38" s="18"/>
      <c r="AM38" s="19"/>
      <c r="AN38" s="18"/>
      <c r="BV38" s="19"/>
    </row>
    <row r="39" spans="1:74" x14ac:dyDescent="0.3">
      <c r="A39" s="18"/>
      <c r="AM39" s="19"/>
      <c r="AN39" s="18"/>
      <c r="BV39" s="19"/>
    </row>
    <row r="40" spans="1:74" x14ac:dyDescent="0.3">
      <c r="A40" s="18"/>
      <c r="AM40" s="19"/>
      <c r="AN40" s="18"/>
      <c r="BV40" s="19"/>
    </row>
    <row r="41" spans="1:74" x14ac:dyDescent="0.3">
      <c r="A41" s="18"/>
      <c r="AM41" s="19"/>
      <c r="AN41" s="18"/>
      <c r="BV41" s="19"/>
    </row>
    <row r="42" spans="1:74" x14ac:dyDescent="0.3">
      <c r="A42" s="18"/>
      <c r="AM42" s="19"/>
      <c r="AN42" s="18"/>
      <c r="BV42" s="19"/>
    </row>
    <row r="43" spans="1:74" x14ac:dyDescent="0.3">
      <c r="A43" s="18"/>
      <c r="AM43" s="19"/>
      <c r="AN43" s="18"/>
      <c r="BV43" s="19"/>
    </row>
    <row r="44" spans="1:74" x14ac:dyDescent="0.3">
      <c r="A44" s="18"/>
      <c r="AM44" s="19"/>
      <c r="AN44" s="18"/>
      <c r="BV44" s="19"/>
    </row>
    <row r="45" spans="1:74" x14ac:dyDescent="0.3">
      <c r="A45" s="18"/>
      <c r="AM45" s="19"/>
      <c r="AN45" s="18"/>
      <c r="BV45" s="19"/>
    </row>
    <row r="46" spans="1:74" x14ac:dyDescent="0.3">
      <c r="A46" s="18"/>
      <c r="AM46" s="19"/>
      <c r="AN46" s="18"/>
      <c r="BV46" s="19"/>
    </row>
    <row r="47" spans="1:74" x14ac:dyDescent="0.3">
      <c r="A47" s="18"/>
      <c r="AM47" s="19"/>
      <c r="AN47" s="18"/>
      <c r="BV47" s="19"/>
    </row>
    <row r="48" spans="1:74" x14ac:dyDescent="0.3">
      <c r="A48" s="18"/>
      <c r="AM48" s="19"/>
      <c r="AN48" s="18"/>
      <c r="BV48" s="19"/>
    </row>
    <row r="49" spans="1:74" ht="15" thickBot="1" x14ac:dyDescent="0.35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2"/>
      <c r="AN49" s="20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2"/>
    </row>
    <row r="50" spans="1:74" x14ac:dyDescent="0.3">
      <c r="AN50" s="18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7"/>
    </row>
    <row r="51" spans="1:74" x14ac:dyDescent="0.3">
      <c r="AN51" s="18"/>
      <c r="BV51" s="19"/>
    </row>
    <row r="52" spans="1:74" x14ac:dyDescent="0.3">
      <c r="AN52" s="18"/>
      <c r="BV52" s="19"/>
    </row>
    <row r="53" spans="1:74" x14ac:dyDescent="0.3">
      <c r="AN53" s="18"/>
      <c r="BV53" s="19"/>
    </row>
    <row r="54" spans="1:74" x14ac:dyDescent="0.3">
      <c r="AN54" s="18"/>
      <c r="BV54" s="19"/>
    </row>
    <row r="55" spans="1:74" x14ac:dyDescent="0.3">
      <c r="AN55" s="18"/>
      <c r="BV55" s="19"/>
    </row>
    <row r="56" spans="1:74" x14ac:dyDescent="0.3">
      <c r="AN56" s="18"/>
      <c r="BV56" s="19"/>
    </row>
    <row r="57" spans="1:74" x14ac:dyDescent="0.3">
      <c r="AN57" s="18"/>
      <c r="BV57" s="19"/>
    </row>
    <row r="58" spans="1:74" x14ac:dyDescent="0.3">
      <c r="AN58" s="18"/>
      <c r="BV58" s="19"/>
    </row>
    <row r="59" spans="1:74" ht="15.6" x14ac:dyDescent="0.3">
      <c r="D59" s="50" t="s">
        <v>30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AN59" s="18"/>
      <c r="AQ59" s="50" t="s">
        <v>27</v>
      </c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F59" s="41" t="s">
        <v>10</v>
      </c>
      <c r="BG59" s="41"/>
      <c r="BH59" s="41"/>
      <c r="BI59" s="41"/>
      <c r="BO59" s="41" t="s">
        <v>11</v>
      </c>
      <c r="BP59" s="41"/>
      <c r="BQ59" s="41"/>
      <c r="BR59" s="41"/>
      <c r="BV59" s="19"/>
    </row>
    <row r="60" spans="1:74" ht="15.6" x14ac:dyDescent="0.3">
      <c r="H60" s="51" t="s">
        <v>15</v>
      </c>
      <c r="I60" s="52"/>
      <c r="J60" s="52"/>
      <c r="K60" s="53"/>
      <c r="L60" s="49" t="s">
        <v>14</v>
      </c>
      <c r="M60" s="49"/>
      <c r="N60" s="49"/>
      <c r="O60" s="49"/>
      <c r="R60" s="41" t="s">
        <v>10</v>
      </c>
      <c r="S60" s="41"/>
      <c r="T60" s="41"/>
      <c r="U60" s="41"/>
      <c r="X60" s="41" t="s">
        <v>10</v>
      </c>
      <c r="Y60" s="41"/>
      <c r="Z60" s="41"/>
      <c r="AA60" s="41"/>
      <c r="AN60" s="18"/>
      <c r="AU60" s="51" t="s">
        <v>15</v>
      </c>
      <c r="AV60" s="52"/>
      <c r="AW60" s="52"/>
      <c r="AX60" s="53"/>
      <c r="AY60" s="49" t="s">
        <v>14</v>
      </c>
      <c r="AZ60" s="49"/>
      <c r="BA60" s="49"/>
      <c r="BB60" s="49"/>
      <c r="BF60" s="4" t="s">
        <v>3</v>
      </c>
      <c r="BG60" s="14">
        <f t="array" ref="BG60:BH62">LINEST(AV62:AV81,AT62:AT81,1,1)</f>
        <v>2.0119451002590227</v>
      </c>
      <c r="BH60" s="1">
        <v>8.8361325153019088E-4</v>
      </c>
      <c r="BI60" s="4" t="s">
        <v>5</v>
      </c>
      <c r="BO60" s="4" t="s">
        <v>3</v>
      </c>
      <c r="BP60" s="1">
        <f t="array" ref="BP60:BQ62">LINEST(AZ62:AZ81,AT62:AT81,1,1)</f>
        <v>2.0446100989716602</v>
      </c>
      <c r="BQ60" s="1">
        <v>1.4345534469972554E-2</v>
      </c>
      <c r="BR60" s="4" t="s">
        <v>5</v>
      </c>
      <c r="BV60" s="19"/>
    </row>
    <row r="61" spans="1:74" ht="16.2" x14ac:dyDescent="0.3">
      <c r="D61" s="3" t="s">
        <v>8</v>
      </c>
      <c r="E61" s="3" t="s">
        <v>9</v>
      </c>
      <c r="F61" s="3" t="s">
        <v>26</v>
      </c>
      <c r="G61" s="3" t="s">
        <v>31</v>
      </c>
      <c r="H61" s="3" t="s">
        <v>33</v>
      </c>
      <c r="I61" s="3" t="s">
        <v>32</v>
      </c>
      <c r="J61" s="3" t="s">
        <v>0</v>
      </c>
      <c r="K61" s="3" t="s">
        <v>1</v>
      </c>
      <c r="L61" s="5" t="s">
        <v>22</v>
      </c>
      <c r="M61" s="3" t="s">
        <v>23</v>
      </c>
      <c r="N61" s="3" t="s">
        <v>0</v>
      </c>
      <c r="O61" s="3" t="s">
        <v>1</v>
      </c>
      <c r="R61" s="4" t="s">
        <v>3</v>
      </c>
      <c r="S61" s="1">
        <f t="array" ref="S61:T63">LINEST(I62:I65,G62:G65,1,1)</f>
        <v>1.8344644557611889</v>
      </c>
      <c r="T61" s="1">
        <v>-4.8402880529161196E-2</v>
      </c>
      <c r="U61" s="4" t="s">
        <v>5</v>
      </c>
      <c r="X61" s="4" t="s">
        <v>3</v>
      </c>
      <c r="Y61" s="1">
        <f t="array" ref="Y61:Z63">LINEST(M62:M65,G62:G65,1,1)</f>
        <v>1.8528385571148345</v>
      </c>
      <c r="Z61" s="1">
        <v>-2.716791564884935E-2</v>
      </c>
      <c r="AA61" s="4" t="s">
        <v>5</v>
      </c>
      <c r="AN61" s="18"/>
      <c r="AQ61" s="3" t="s">
        <v>8</v>
      </c>
      <c r="AR61" s="3" t="s">
        <v>9</v>
      </c>
      <c r="AS61" s="3" t="s">
        <v>26</v>
      </c>
      <c r="AT61" s="3" t="s">
        <v>31</v>
      </c>
      <c r="AU61" s="3" t="s">
        <v>25</v>
      </c>
      <c r="AV61" s="3" t="s">
        <v>32</v>
      </c>
      <c r="AW61" s="3" t="s">
        <v>0</v>
      </c>
      <c r="AX61" s="3" t="s">
        <v>1</v>
      </c>
      <c r="AY61" s="5" t="s">
        <v>22</v>
      </c>
      <c r="AZ61" s="3" t="s">
        <v>23</v>
      </c>
      <c r="BA61" s="3" t="s">
        <v>0</v>
      </c>
      <c r="BB61" s="3" t="s">
        <v>1</v>
      </c>
      <c r="BF61" s="4" t="s">
        <v>2</v>
      </c>
      <c r="BG61" s="1">
        <v>3.0114964400467292E-2</v>
      </c>
      <c r="BH61" s="1">
        <v>1.7104485913794602E-2</v>
      </c>
      <c r="BI61" s="4" t="s">
        <v>6</v>
      </c>
      <c r="BO61" s="4" t="s">
        <v>2</v>
      </c>
      <c r="BP61" s="1">
        <v>3.2074919895328922E-2</v>
      </c>
      <c r="BQ61" s="1">
        <v>1.8217687666508775E-2</v>
      </c>
      <c r="BR61" s="4" t="s">
        <v>6</v>
      </c>
      <c r="BV61" s="19"/>
    </row>
    <row r="62" spans="1:74" x14ac:dyDescent="0.3">
      <c r="D62" s="1">
        <v>1302</v>
      </c>
      <c r="E62" s="1">
        <f>2*PI()*D62</f>
        <v>8180.7072699478213</v>
      </c>
      <c r="F62" s="1">
        <v>0.47799999999999998</v>
      </c>
      <c r="G62" s="1">
        <f>F62*SQRT(2)</f>
        <v>0.67599408281433948</v>
      </c>
      <c r="H62" s="1">
        <v>0.8448</v>
      </c>
      <c r="I62" s="1">
        <f>H62*SQRT(2)</f>
        <v>1.1947276174927908</v>
      </c>
      <c r="J62" s="1">
        <f>G62*S$61+T$61</f>
        <v>1.1916842366986302</v>
      </c>
      <c r="K62" s="1">
        <f>I62-J62</f>
        <v>3.0433807941605551E-3</v>
      </c>
      <c r="L62" s="12">
        <v>2.46</v>
      </c>
      <c r="M62" s="12">
        <f>L62/2</f>
        <v>1.23</v>
      </c>
      <c r="N62" s="1">
        <f>G62*Y$61+Z$61</f>
        <v>1.2253399853710374</v>
      </c>
      <c r="O62" s="12">
        <f>M62-N62</f>
        <v>4.6600146289625943E-3</v>
      </c>
      <c r="R62" s="4" t="s">
        <v>2</v>
      </c>
      <c r="S62" s="1">
        <v>4.2507302139920163E-2</v>
      </c>
      <c r="T62" s="1">
        <v>2.4220677917410099E-2</v>
      </c>
      <c r="U62" s="4" t="s">
        <v>6</v>
      </c>
      <c r="X62" s="4" t="s">
        <v>2</v>
      </c>
      <c r="Y62" s="1">
        <v>3.5727030039375308E-2</v>
      </c>
      <c r="Z62" s="1">
        <v>2.0357276137661039E-2</v>
      </c>
      <c r="AA62" s="4" t="s">
        <v>6</v>
      </c>
      <c r="AN62" s="18"/>
      <c r="AQ62" s="1">
        <v>1501</v>
      </c>
      <c r="AR62" s="1">
        <f t="shared" ref="AR62:AR81" si="16">2*PI()*AQ62</f>
        <v>9431.0611460765595</v>
      </c>
      <c r="AS62" s="1">
        <v>0.497</v>
      </c>
      <c r="AT62" s="1">
        <f t="shared" ref="AT62:AT81" si="17">AS62*SQRT(2)</f>
        <v>0.70286414049942825</v>
      </c>
      <c r="AU62" s="1">
        <v>1.0111000000000001</v>
      </c>
      <c r="AV62" s="1">
        <f t="shared" ref="AV62:AV81" si="18">AU62*SQRT(2)</f>
        <v>1.4299113329154367</v>
      </c>
      <c r="AW62" s="1">
        <f t="shared" ref="AW62:AW81" si="19">AT62*BG$60+BH$60</f>
        <v>1.4150076768771243</v>
      </c>
      <c r="AX62" s="1">
        <f t="shared" ref="AX62:AX81" si="20">AV62-AW62</f>
        <v>1.4903656038312452E-2</v>
      </c>
      <c r="AY62" s="1">
        <v>2.92</v>
      </c>
      <c r="AZ62" s="1">
        <f t="shared" ref="AZ62:AZ81" si="21">AY62/2</f>
        <v>1.46</v>
      </c>
      <c r="BA62" s="1">
        <f t="shared" ref="BA62:BA81" si="22">AT62*BP$60+BQ$60</f>
        <v>1.4514286543401393</v>
      </c>
      <c r="BB62" s="1">
        <f t="shared" ref="BB62:BB81" si="23">AZ62-BA62</f>
        <v>8.5713456598606186E-3</v>
      </c>
      <c r="BF62" s="4" t="s">
        <v>4</v>
      </c>
      <c r="BG62" s="1">
        <v>0.99598341402394097</v>
      </c>
      <c r="BH62" s="1">
        <v>1.1250408198417088E-2</v>
      </c>
      <c r="BI62" s="4" t="s">
        <v>7</v>
      </c>
      <c r="BO62" s="4" t="s">
        <v>4</v>
      </c>
      <c r="BP62" s="1">
        <v>0.99558975130535743</v>
      </c>
      <c r="BQ62" s="1">
        <v>1.1982612263967364E-2</v>
      </c>
      <c r="BR62" s="4" t="s">
        <v>7</v>
      </c>
      <c r="BV62" s="19"/>
    </row>
    <row r="63" spans="1:74" x14ac:dyDescent="0.3">
      <c r="D63" s="1">
        <v>1302</v>
      </c>
      <c r="E63" s="1">
        <f t="shared" ref="E63:E65" si="24">2*PI()*D63</f>
        <v>8180.7072699478213</v>
      </c>
      <c r="F63" s="1">
        <v>0.44500000000000001</v>
      </c>
      <c r="G63" s="1">
        <f>F63*SQRT(2)</f>
        <v>0.62932503525602734</v>
      </c>
      <c r="H63" s="1">
        <v>0.78156000000000003</v>
      </c>
      <c r="I63" s="1">
        <f>H63*SQRT(2)</f>
        <v>1.1052927518083162</v>
      </c>
      <c r="J63" s="1">
        <f>G63*S$61+T$61</f>
        <v>1.1060715277686781</v>
      </c>
      <c r="K63" s="1">
        <f>I63-J63</f>
        <v>-7.7877596036191044E-4</v>
      </c>
      <c r="L63" s="12">
        <v>2.27</v>
      </c>
      <c r="M63" s="12">
        <f>L63/2</f>
        <v>1.135</v>
      </c>
      <c r="N63" s="1">
        <f>G63*Y$61+Z$61</f>
        <v>1.1388697746311707</v>
      </c>
      <c r="O63" s="1">
        <f>M63-N63</f>
        <v>-3.8697746311706638E-3</v>
      </c>
      <c r="R63" s="4" t="s">
        <v>4</v>
      </c>
      <c r="S63" s="1">
        <v>0.99892731461017292</v>
      </c>
      <c r="T63" s="1">
        <v>8.0908604796679287E-3</v>
      </c>
      <c r="U63" s="4" t="s">
        <v>7</v>
      </c>
      <c r="X63" s="4" t="s">
        <v>4</v>
      </c>
      <c r="Y63" s="1">
        <v>0.99925693665501336</v>
      </c>
      <c r="Z63" s="1">
        <v>6.8003002037153879E-3</v>
      </c>
      <c r="AA63" s="4" t="s">
        <v>7</v>
      </c>
      <c r="AN63" s="18"/>
      <c r="AQ63" s="1">
        <v>1501</v>
      </c>
      <c r="AR63" s="1">
        <f t="shared" si="16"/>
        <v>9431.0611460765595</v>
      </c>
      <c r="AS63" s="1">
        <v>0.48099999999999998</v>
      </c>
      <c r="AT63" s="1">
        <f t="shared" si="17"/>
        <v>0.6802367235014587</v>
      </c>
      <c r="AU63" s="1">
        <v>0.97489999999999999</v>
      </c>
      <c r="AV63" s="1">
        <f t="shared" si="18"/>
        <v>1.3787168019575304</v>
      </c>
      <c r="AW63" s="1">
        <f t="shared" si="19"/>
        <v>1.3694825561165416</v>
      </c>
      <c r="AX63" s="1">
        <f t="shared" si="20"/>
        <v>9.2342458409888639E-3</v>
      </c>
      <c r="AY63" s="1">
        <v>2.82</v>
      </c>
      <c r="AZ63" s="1">
        <f t="shared" si="21"/>
        <v>1.41</v>
      </c>
      <c r="BA63" s="1">
        <f t="shared" si="22"/>
        <v>1.405164409032448</v>
      </c>
      <c r="BB63" s="1">
        <f t="shared" si="23"/>
        <v>4.8355909675519282E-3</v>
      </c>
      <c r="BV63" s="19"/>
    </row>
    <row r="64" spans="1:74" x14ac:dyDescent="0.3">
      <c r="D64" s="1">
        <v>1302</v>
      </c>
      <c r="E64" s="1">
        <f t="shared" si="24"/>
        <v>8180.7072699478213</v>
      </c>
      <c r="F64" s="1">
        <v>0.35599999999999998</v>
      </c>
      <c r="G64" s="1">
        <f>F64*SQRT(2)</f>
        <v>0.50346002820482183</v>
      </c>
      <c r="H64" s="1">
        <v>0.61260000000000003</v>
      </c>
      <c r="I64" s="1">
        <f>H64*SQRT(2)</f>
        <v>0.86634722830975819</v>
      </c>
      <c r="J64" s="1">
        <f>G64*S$61+T$61</f>
        <v>0.87517664610911006</v>
      </c>
      <c r="K64" s="1">
        <f>I64-J64</f>
        <v>-8.8294177993518685E-3</v>
      </c>
      <c r="L64" s="12">
        <v>1.8</v>
      </c>
      <c r="M64" s="12">
        <f>L64/2</f>
        <v>0.9</v>
      </c>
      <c r="N64" s="1">
        <f>G64*Y$61+Z$61</f>
        <v>0.90566223657516665</v>
      </c>
      <c r="O64" s="1">
        <f>M64-N64</f>
        <v>-5.6622365751666237E-3</v>
      </c>
      <c r="AN64" s="18"/>
      <c r="AQ64" s="1">
        <v>1501</v>
      </c>
      <c r="AR64" s="1">
        <f t="shared" si="16"/>
        <v>9431.0611460765595</v>
      </c>
      <c r="AS64" s="1">
        <v>0.47499999999999998</v>
      </c>
      <c r="AT64" s="1">
        <f t="shared" si="17"/>
        <v>0.67175144212722016</v>
      </c>
      <c r="AU64" s="1">
        <v>0.96150000000000002</v>
      </c>
      <c r="AV64" s="1">
        <f t="shared" si="18"/>
        <v>1.359766340221731</v>
      </c>
      <c r="AW64" s="1">
        <f t="shared" si="19"/>
        <v>1.3524106358313233</v>
      </c>
      <c r="AX64" s="1">
        <f t="shared" si="20"/>
        <v>7.3557043904077801E-3</v>
      </c>
      <c r="AY64" s="1">
        <v>2.78</v>
      </c>
      <c r="AZ64" s="1">
        <f t="shared" si="21"/>
        <v>1.39</v>
      </c>
      <c r="BA64" s="1">
        <f t="shared" si="22"/>
        <v>1.3878153170420637</v>
      </c>
      <c r="BB64" s="1">
        <f t="shared" si="23"/>
        <v>2.1846829579361682E-3</v>
      </c>
      <c r="BV64" s="19"/>
    </row>
    <row r="65" spans="4:74" x14ac:dyDescent="0.3">
      <c r="D65" s="1">
        <v>1302</v>
      </c>
      <c r="E65" s="1">
        <f t="shared" si="24"/>
        <v>8180.7072699478213</v>
      </c>
      <c r="F65" s="1">
        <v>0.31</v>
      </c>
      <c r="G65" s="1">
        <f>F65*SQRT(2)</f>
        <v>0.43840620433565947</v>
      </c>
      <c r="H65" s="1">
        <v>0.53910000000000002</v>
      </c>
      <c r="I65" s="1">
        <f>H65*SQRT(2)</f>
        <v>0.76240253147533565</v>
      </c>
      <c r="J65" s="1">
        <f>G65*S$61+T$61</f>
        <v>0.75583771850978287</v>
      </c>
      <c r="K65" s="1">
        <f>I65-J65</f>
        <v>6.5648129655527798E-3</v>
      </c>
      <c r="L65" s="12">
        <v>1.58</v>
      </c>
      <c r="M65" s="12">
        <f>L65/2</f>
        <v>0.79</v>
      </c>
      <c r="N65" s="1">
        <f>G65*Y$61+Z$61</f>
        <v>0.78512800342262523</v>
      </c>
      <c r="O65" s="1">
        <f>M65-N65</f>
        <v>4.8719965773748042E-3</v>
      </c>
      <c r="AN65" s="18"/>
      <c r="AQ65" s="1">
        <v>1501</v>
      </c>
      <c r="AR65" s="1">
        <f t="shared" si="16"/>
        <v>9431.0611460765595</v>
      </c>
      <c r="AS65" s="1">
        <v>0.46200000000000002</v>
      </c>
      <c r="AT65" s="1">
        <f t="shared" si="17"/>
        <v>0.65336666581637004</v>
      </c>
      <c r="AU65" s="1">
        <v>0.93489999999999995</v>
      </c>
      <c r="AV65" s="1">
        <f t="shared" si="18"/>
        <v>1.3221482594626066</v>
      </c>
      <c r="AW65" s="1">
        <f t="shared" si="19"/>
        <v>1.3154214752133502</v>
      </c>
      <c r="AX65" s="1">
        <f t="shared" si="20"/>
        <v>6.7267842492564345E-3</v>
      </c>
      <c r="AY65" s="1">
        <v>2.74</v>
      </c>
      <c r="AZ65" s="1">
        <f t="shared" si="21"/>
        <v>1.37</v>
      </c>
      <c r="BA65" s="1">
        <f t="shared" si="22"/>
        <v>1.3502256177295646</v>
      </c>
      <c r="BB65" s="1">
        <f t="shared" si="23"/>
        <v>1.9774382270435487E-2</v>
      </c>
      <c r="BV65" s="19"/>
    </row>
    <row r="66" spans="4:74" x14ac:dyDescent="0.3">
      <c r="AN66" s="18"/>
      <c r="AQ66" s="1">
        <v>1501</v>
      </c>
      <c r="AR66" s="1">
        <f t="shared" si="16"/>
        <v>9431.0611460765595</v>
      </c>
      <c r="AS66" s="1">
        <v>0.45300000000000001</v>
      </c>
      <c r="AT66" s="1">
        <f t="shared" si="17"/>
        <v>0.64063874375501217</v>
      </c>
      <c r="AU66" s="1">
        <v>0.9143</v>
      </c>
      <c r="AV66" s="1">
        <f t="shared" si="18"/>
        <v>1.2930154600777208</v>
      </c>
      <c r="AW66" s="1">
        <f t="shared" si="19"/>
        <v>1.2898135947855225</v>
      </c>
      <c r="AX66" s="1">
        <f t="shared" si="20"/>
        <v>3.201865292198347E-3</v>
      </c>
      <c r="AY66" s="1">
        <v>2.66</v>
      </c>
      <c r="AZ66" s="1">
        <f t="shared" si="21"/>
        <v>1.33</v>
      </c>
      <c r="BA66" s="1">
        <f t="shared" si="22"/>
        <v>1.3242019797439881</v>
      </c>
      <c r="BB66" s="1">
        <f t="shared" si="23"/>
        <v>5.7980202560119487E-3</v>
      </c>
      <c r="BV66" s="19"/>
    </row>
    <row r="67" spans="4:74" x14ac:dyDescent="0.3">
      <c r="AN67" s="18"/>
      <c r="AQ67" s="1">
        <v>1501</v>
      </c>
      <c r="AR67" s="1">
        <f t="shared" si="16"/>
        <v>9431.0611460765595</v>
      </c>
      <c r="AS67" s="1">
        <v>0.44400000000000001</v>
      </c>
      <c r="AT67" s="1">
        <f t="shared" si="17"/>
        <v>0.6279108216936542</v>
      </c>
      <c r="AU67" s="1">
        <v>0.89419999999999999</v>
      </c>
      <c r="AV67" s="1">
        <f t="shared" si="18"/>
        <v>1.2645897674740216</v>
      </c>
      <c r="AW67" s="1">
        <f t="shared" si="19"/>
        <v>1.2642057143576946</v>
      </c>
      <c r="AX67" s="1">
        <f t="shared" si="20"/>
        <v>3.8405311632705441E-4</v>
      </c>
      <c r="AY67" s="13">
        <v>2.6</v>
      </c>
      <c r="AZ67" s="1">
        <f t="shared" si="21"/>
        <v>1.3</v>
      </c>
      <c r="BA67" s="1">
        <f t="shared" si="22"/>
        <v>1.2981783417584114</v>
      </c>
      <c r="BB67" s="1">
        <f t="shared" si="23"/>
        <v>1.8216582415886418E-3</v>
      </c>
      <c r="BV67" s="19"/>
    </row>
    <row r="68" spans="4:74" x14ac:dyDescent="0.3">
      <c r="AN68" s="18"/>
      <c r="AQ68" s="1">
        <v>1501</v>
      </c>
      <c r="AR68" s="1">
        <f t="shared" si="16"/>
        <v>9431.0611460765595</v>
      </c>
      <c r="AS68" s="1">
        <v>0.43099999999999999</v>
      </c>
      <c r="AT68" s="1">
        <f t="shared" si="17"/>
        <v>0.60952604538280397</v>
      </c>
      <c r="AU68" s="1">
        <v>0.86409999999999998</v>
      </c>
      <c r="AV68" s="1">
        <f t="shared" si="18"/>
        <v>1.2220219392465914</v>
      </c>
      <c r="AW68" s="1">
        <f t="shared" si="19"/>
        <v>1.2272165537397213</v>
      </c>
      <c r="AX68" s="1">
        <f t="shared" si="20"/>
        <v>-5.1946144931298566E-3</v>
      </c>
      <c r="AY68" s="13">
        <v>2.5</v>
      </c>
      <c r="AZ68" s="1">
        <f t="shared" si="21"/>
        <v>1.25</v>
      </c>
      <c r="BA68" s="1">
        <f t="shared" si="22"/>
        <v>1.2605886424459121</v>
      </c>
      <c r="BB68" s="1">
        <f t="shared" si="23"/>
        <v>-1.0588642445912066E-2</v>
      </c>
      <c r="BV68" s="19"/>
    </row>
    <row r="69" spans="4:74" x14ac:dyDescent="0.3">
      <c r="AN69" s="18"/>
      <c r="AQ69" s="1">
        <v>1501</v>
      </c>
      <c r="AR69" s="1">
        <f t="shared" si="16"/>
        <v>9431.0611460765595</v>
      </c>
      <c r="AS69" s="1">
        <v>0.42</v>
      </c>
      <c r="AT69" s="1">
        <f t="shared" si="17"/>
        <v>0.59396969619669993</v>
      </c>
      <c r="AU69" s="1">
        <v>0.84219999999999995</v>
      </c>
      <c r="AV69" s="1">
        <f t="shared" si="18"/>
        <v>1.1910506622306207</v>
      </c>
      <c r="AW69" s="1">
        <f t="shared" si="19"/>
        <v>1.1959180332168209</v>
      </c>
      <c r="AX69" s="1">
        <f t="shared" si="20"/>
        <v>-4.8673709862001591E-3</v>
      </c>
      <c r="AY69" s="13">
        <v>2.46</v>
      </c>
      <c r="AZ69" s="1">
        <f t="shared" si="21"/>
        <v>1.23</v>
      </c>
      <c r="BA69" s="1">
        <f t="shared" si="22"/>
        <v>1.2287819737968741</v>
      </c>
      <c r="BB69" s="1">
        <f t="shared" si="23"/>
        <v>1.2180262031258327E-3</v>
      </c>
      <c r="BV69" s="19"/>
    </row>
    <row r="70" spans="4:74" x14ac:dyDescent="0.3">
      <c r="AN70" s="18"/>
      <c r="AQ70" s="1">
        <v>1501</v>
      </c>
      <c r="AR70" s="1">
        <f t="shared" si="16"/>
        <v>9431.0611460765595</v>
      </c>
      <c r="AS70" s="1">
        <v>0.41099999999999998</v>
      </c>
      <c r="AT70" s="1">
        <f t="shared" si="17"/>
        <v>0.58124177413534206</v>
      </c>
      <c r="AU70" s="1">
        <v>0.82199999999999995</v>
      </c>
      <c r="AV70" s="1">
        <f t="shared" si="18"/>
        <v>1.1624835482706841</v>
      </c>
      <c r="AW70" s="1">
        <f t="shared" si="19"/>
        <v>1.1703101527889932</v>
      </c>
      <c r="AX70" s="1">
        <f t="shared" si="20"/>
        <v>-7.8266045183090771E-3</v>
      </c>
      <c r="AY70" s="13">
        <v>2.38</v>
      </c>
      <c r="AZ70" s="1">
        <f t="shared" si="21"/>
        <v>1.19</v>
      </c>
      <c r="BA70" s="1">
        <f t="shared" si="22"/>
        <v>1.2027583358112977</v>
      </c>
      <c r="BB70" s="1">
        <f t="shared" si="23"/>
        <v>-1.2758335811297705E-2</v>
      </c>
      <c r="BV70" s="19"/>
    </row>
    <row r="71" spans="4:74" x14ac:dyDescent="0.3">
      <c r="AN71" s="18"/>
      <c r="AQ71" s="1">
        <v>1501</v>
      </c>
      <c r="AR71" s="1">
        <f t="shared" si="16"/>
        <v>9431.0611460765595</v>
      </c>
      <c r="AS71" s="1">
        <v>0.40100000000000002</v>
      </c>
      <c r="AT71" s="1">
        <f t="shared" si="17"/>
        <v>0.56709963851161116</v>
      </c>
      <c r="AU71" s="1">
        <v>0.8</v>
      </c>
      <c r="AV71" s="1">
        <f t="shared" si="18"/>
        <v>1.1313708498984762</v>
      </c>
      <c r="AW71" s="1">
        <f t="shared" si="19"/>
        <v>1.1418569523136293</v>
      </c>
      <c r="AX71" s="1">
        <f t="shared" si="20"/>
        <v>-1.048610241515302E-2</v>
      </c>
      <c r="AY71" s="13">
        <v>2.34</v>
      </c>
      <c r="AZ71" s="1">
        <f t="shared" si="21"/>
        <v>1.17</v>
      </c>
      <c r="BA71" s="1">
        <f t="shared" si="22"/>
        <v>1.1738431824939906</v>
      </c>
      <c r="BB71" s="1">
        <f t="shared" si="23"/>
        <v>-3.8431824939906267E-3</v>
      </c>
      <c r="BV71" s="19"/>
    </row>
    <row r="72" spans="4:74" x14ac:dyDescent="0.3">
      <c r="AN72" s="18"/>
      <c r="AQ72" s="1">
        <v>1501</v>
      </c>
      <c r="AR72" s="1">
        <f t="shared" si="16"/>
        <v>9431.0611460765595</v>
      </c>
      <c r="AS72" s="1">
        <v>0.39500000000000002</v>
      </c>
      <c r="AT72" s="1">
        <f t="shared" si="17"/>
        <v>0.55861435713737262</v>
      </c>
      <c r="AU72" s="1">
        <v>0.78739999999999999</v>
      </c>
      <c r="AV72" s="1">
        <f t="shared" si="18"/>
        <v>1.1135517590125752</v>
      </c>
      <c r="AW72" s="1">
        <f t="shared" si="19"/>
        <v>1.124785032028411</v>
      </c>
      <c r="AX72" s="1">
        <f t="shared" si="20"/>
        <v>-1.1233273015835765E-2</v>
      </c>
      <c r="AY72" s="13">
        <v>2.2999999999999998</v>
      </c>
      <c r="AZ72" s="1">
        <f t="shared" si="21"/>
        <v>1.1499999999999999</v>
      </c>
      <c r="BA72" s="1">
        <f t="shared" si="22"/>
        <v>1.1564940905036063</v>
      </c>
      <c r="BB72" s="1">
        <f t="shared" si="23"/>
        <v>-6.4940905036063867E-3</v>
      </c>
      <c r="BV72" s="19"/>
    </row>
    <row r="73" spans="4:74" x14ac:dyDescent="0.3">
      <c r="AN73" s="18"/>
      <c r="AQ73" s="1">
        <v>1501</v>
      </c>
      <c r="AR73" s="1">
        <f t="shared" si="16"/>
        <v>9431.0611460765595</v>
      </c>
      <c r="AS73" s="1">
        <v>0.38300000000000001</v>
      </c>
      <c r="AT73" s="1">
        <f t="shared" si="17"/>
        <v>0.54164379438889543</v>
      </c>
      <c r="AU73" s="1">
        <v>0.76180000000000003</v>
      </c>
      <c r="AV73" s="1">
        <f t="shared" si="18"/>
        <v>1.0773478918158239</v>
      </c>
      <c r="AW73" s="1">
        <f t="shared" si="19"/>
        <v>1.0906411914579739</v>
      </c>
      <c r="AX73" s="1">
        <f t="shared" si="20"/>
        <v>-1.329329964214998E-2</v>
      </c>
      <c r="AY73" s="13">
        <v>2.2000000000000002</v>
      </c>
      <c r="AZ73" s="1">
        <f t="shared" si="21"/>
        <v>1.1000000000000001</v>
      </c>
      <c r="BA73" s="1">
        <f t="shared" si="22"/>
        <v>1.1217959065228376</v>
      </c>
      <c r="BB73" s="1">
        <f t="shared" si="23"/>
        <v>-2.1795906522837472E-2</v>
      </c>
      <c r="BV73" s="19"/>
    </row>
    <row r="74" spans="4:74" x14ac:dyDescent="0.3">
      <c r="AN74" s="18"/>
      <c r="AQ74" s="1">
        <v>1501</v>
      </c>
      <c r="AR74" s="1">
        <f t="shared" si="16"/>
        <v>9431.0611460765595</v>
      </c>
      <c r="AS74" s="1">
        <v>0.374</v>
      </c>
      <c r="AT74" s="1">
        <f t="shared" si="17"/>
        <v>0.52891587232753756</v>
      </c>
      <c r="AU74" s="1">
        <v>0.74529999999999996</v>
      </c>
      <c r="AV74" s="1">
        <f t="shared" si="18"/>
        <v>1.0540133680366677</v>
      </c>
      <c r="AW74" s="1">
        <f t="shared" si="19"/>
        <v>1.0650333110301462</v>
      </c>
      <c r="AX74" s="1">
        <f t="shared" si="20"/>
        <v>-1.1019942993478526E-2</v>
      </c>
      <c r="AY74" s="13">
        <v>2.1800000000000002</v>
      </c>
      <c r="AZ74" s="1">
        <f t="shared" si="21"/>
        <v>1.0900000000000001</v>
      </c>
      <c r="BA74" s="1">
        <f t="shared" si="22"/>
        <v>1.0957722685372611</v>
      </c>
      <c r="BB74" s="1">
        <f t="shared" si="23"/>
        <v>-5.7722685372609828E-3</v>
      </c>
      <c r="BV74" s="19"/>
    </row>
    <row r="75" spans="4:74" x14ac:dyDescent="0.3">
      <c r="AN75" s="18"/>
      <c r="AQ75" s="1">
        <v>1501</v>
      </c>
      <c r="AR75" s="1">
        <f t="shared" si="16"/>
        <v>9431.0611460765595</v>
      </c>
      <c r="AS75" s="1">
        <v>0.36699999999999999</v>
      </c>
      <c r="AT75" s="1">
        <f t="shared" si="17"/>
        <v>0.51901637739092588</v>
      </c>
      <c r="AU75" s="1">
        <v>0.73270000000000002</v>
      </c>
      <c r="AV75" s="1">
        <f t="shared" si="18"/>
        <v>1.0361942771507668</v>
      </c>
      <c r="AW75" s="1">
        <f t="shared" si="19"/>
        <v>1.0451160706973914</v>
      </c>
      <c r="AX75" s="1">
        <f t="shared" si="20"/>
        <v>-8.9217935466245901E-3</v>
      </c>
      <c r="AY75" s="13">
        <v>2.14</v>
      </c>
      <c r="AZ75" s="1">
        <f t="shared" si="21"/>
        <v>1.07</v>
      </c>
      <c r="BA75" s="1">
        <f t="shared" si="22"/>
        <v>1.075531661215146</v>
      </c>
      <c r="BB75" s="1">
        <f t="shared" si="23"/>
        <v>-5.5316612151459221E-3</v>
      </c>
      <c r="BV75" s="19"/>
    </row>
    <row r="76" spans="4:74" x14ac:dyDescent="0.3">
      <c r="AN76" s="18"/>
      <c r="AQ76" s="1">
        <v>1501</v>
      </c>
      <c r="AR76" s="1">
        <f t="shared" si="16"/>
        <v>9431.0611460765595</v>
      </c>
      <c r="AS76" s="1">
        <v>0.35399999999999998</v>
      </c>
      <c r="AT76" s="1">
        <f t="shared" si="17"/>
        <v>0.50063160108007565</v>
      </c>
      <c r="AU76" s="1">
        <v>0.70760000000000001</v>
      </c>
      <c r="AV76" s="1">
        <f t="shared" si="18"/>
        <v>1.0006975167352021</v>
      </c>
      <c r="AW76" s="1">
        <f t="shared" si="19"/>
        <v>1.0081269100794181</v>
      </c>
      <c r="AX76" s="1">
        <f t="shared" si="20"/>
        <v>-7.4293933442159954E-3</v>
      </c>
      <c r="AY76" s="13">
        <v>2.06</v>
      </c>
      <c r="AZ76" s="1">
        <f t="shared" si="21"/>
        <v>1.03</v>
      </c>
      <c r="BA76" s="1">
        <f t="shared" si="22"/>
        <v>1.0379419619026466</v>
      </c>
      <c r="BB76" s="1">
        <f t="shared" si="23"/>
        <v>-7.9419619026466215E-3</v>
      </c>
      <c r="BV76" s="19"/>
    </row>
    <row r="77" spans="4:74" x14ac:dyDescent="0.3">
      <c r="AN77" s="18"/>
      <c r="AQ77" s="1">
        <v>1501</v>
      </c>
      <c r="AR77" s="1">
        <f t="shared" si="16"/>
        <v>9431.0611460765595</v>
      </c>
      <c r="AS77" s="1">
        <v>0.34399999999999997</v>
      </c>
      <c r="AT77" s="1">
        <f t="shared" si="17"/>
        <v>0.48648946545634469</v>
      </c>
      <c r="AU77" s="1">
        <v>0.68830000000000002</v>
      </c>
      <c r="AV77" s="1">
        <f t="shared" si="18"/>
        <v>0.97340319498140138</v>
      </c>
      <c r="AW77" s="1">
        <f t="shared" si="19"/>
        <v>0.97967370960405398</v>
      </c>
      <c r="AX77" s="1">
        <f t="shared" si="20"/>
        <v>-6.270514622652601E-3</v>
      </c>
      <c r="AY77" s="13">
        <v>2</v>
      </c>
      <c r="AZ77" s="1">
        <f t="shared" si="21"/>
        <v>1</v>
      </c>
      <c r="BA77" s="1">
        <f t="shared" si="22"/>
        <v>1.0090268085853396</v>
      </c>
      <c r="BB77" s="1">
        <f t="shared" si="23"/>
        <v>-9.0268085853395519E-3</v>
      </c>
      <c r="BV77" s="19"/>
    </row>
    <row r="78" spans="4:74" x14ac:dyDescent="0.3">
      <c r="AN78" s="18"/>
      <c r="AQ78" s="1">
        <v>1501</v>
      </c>
      <c r="AR78" s="1">
        <f t="shared" si="16"/>
        <v>9431.0611460765595</v>
      </c>
      <c r="AS78" s="1">
        <v>0.33300000000000002</v>
      </c>
      <c r="AT78" s="1">
        <f t="shared" si="17"/>
        <v>0.4709331162702407</v>
      </c>
      <c r="AU78" s="1">
        <v>0.66790000000000005</v>
      </c>
      <c r="AV78" s="1">
        <f t="shared" si="18"/>
        <v>0.9445532383089903</v>
      </c>
      <c r="AW78" s="1">
        <f t="shared" si="19"/>
        <v>0.94837518908115359</v>
      </c>
      <c r="AX78" s="1">
        <f t="shared" si="20"/>
        <v>-3.8219507721632962E-3</v>
      </c>
      <c r="AY78" s="13">
        <v>1.94</v>
      </c>
      <c r="AZ78" s="1">
        <f t="shared" si="21"/>
        <v>0.97</v>
      </c>
      <c r="BA78" s="1">
        <f t="shared" si="22"/>
        <v>0.97722013993630175</v>
      </c>
      <c r="BB78" s="1">
        <f t="shared" si="23"/>
        <v>-7.2201399363017726E-3</v>
      </c>
      <c r="BV78" s="19"/>
    </row>
    <row r="79" spans="4:74" x14ac:dyDescent="0.3">
      <c r="AN79" s="18"/>
      <c r="AQ79" s="1">
        <v>1501</v>
      </c>
      <c r="AR79" s="1">
        <f t="shared" si="16"/>
        <v>9431.0611460765595</v>
      </c>
      <c r="AS79" s="1">
        <v>0.31900000000000001</v>
      </c>
      <c r="AT79" s="1">
        <f t="shared" si="17"/>
        <v>0.45113412639701733</v>
      </c>
      <c r="AU79" s="1">
        <v>0.64610000000000001</v>
      </c>
      <c r="AV79" s="1">
        <f t="shared" si="18"/>
        <v>0.91372338264925679</v>
      </c>
      <c r="AW79" s="1">
        <f t="shared" si="19"/>
        <v>0.90854070841564383</v>
      </c>
      <c r="AX79" s="1">
        <f t="shared" si="20"/>
        <v>5.1826742336129605E-3</v>
      </c>
      <c r="AY79" s="13">
        <v>1.88</v>
      </c>
      <c r="AZ79" s="1">
        <f t="shared" si="21"/>
        <v>0.94</v>
      </c>
      <c r="BA79" s="1">
        <f t="shared" si="22"/>
        <v>0.93673892529207159</v>
      </c>
      <c r="BB79" s="1">
        <f t="shared" si="23"/>
        <v>3.2610747079283575E-3</v>
      </c>
      <c r="BV79" s="19"/>
    </row>
    <row r="80" spans="4:74" x14ac:dyDescent="0.3">
      <c r="AN80" s="18"/>
      <c r="AQ80" s="1">
        <v>1501</v>
      </c>
      <c r="AR80" s="1">
        <f t="shared" si="16"/>
        <v>9431.0611460765595</v>
      </c>
      <c r="AS80" s="1">
        <v>0.307</v>
      </c>
      <c r="AT80" s="1">
        <f t="shared" si="17"/>
        <v>0.4341635636485402</v>
      </c>
      <c r="AU80" s="1">
        <v>0.62980000000000003</v>
      </c>
      <c r="AV80" s="1">
        <f t="shared" si="18"/>
        <v>0.89067170158257536</v>
      </c>
      <c r="AW80" s="1">
        <f t="shared" si="19"/>
        <v>0.87439686784520698</v>
      </c>
      <c r="AX80" s="1">
        <f t="shared" si="20"/>
        <v>1.6274833737368377E-2</v>
      </c>
      <c r="AY80" s="13">
        <v>1.84</v>
      </c>
      <c r="AZ80" s="1">
        <f t="shared" si="21"/>
        <v>0.92</v>
      </c>
      <c r="BA80" s="1">
        <f t="shared" si="22"/>
        <v>0.90204074131130307</v>
      </c>
      <c r="BB80" s="1">
        <f t="shared" si="23"/>
        <v>1.7959258688696966E-2</v>
      </c>
      <c r="BV80" s="19"/>
    </row>
    <row r="81" spans="4:74" x14ac:dyDescent="0.3">
      <c r="AN81" s="18"/>
      <c r="AQ81" s="1">
        <v>1501</v>
      </c>
      <c r="AR81" s="1">
        <f t="shared" si="16"/>
        <v>9431.0611460765595</v>
      </c>
      <c r="AS81" s="1">
        <v>0.29399999999999998</v>
      </c>
      <c r="AT81" s="1">
        <f t="shared" si="17"/>
        <v>0.41577878733768997</v>
      </c>
      <c r="AU81" s="1">
        <v>0.61129999999999995</v>
      </c>
      <c r="AV81" s="1">
        <f t="shared" si="18"/>
        <v>0.86450875067867294</v>
      </c>
      <c r="AW81" s="1">
        <f t="shared" si="19"/>
        <v>0.83740770722723368</v>
      </c>
      <c r="AX81" s="1">
        <f t="shared" si="20"/>
        <v>2.7101043451439266E-2</v>
      </c>
      <c r="AY81" s="13">
        <v>1.78</v>
      </c>
      <c r="AZ81" s="1">
        <f t="shared" si="21"/>
        <v>0.89</v>
      </c>
      <c r="BA81" s="1">
        <f t="shared" si="22"/>
        <v>0.86445104199880374</v>
      </c>
      <c r="BB81" s="1">
        <f t="shared" si="23"/>
        <v>2.5548958001196276E-2</v>
      </c>
      <c r="BV81" s="19"/>
    </row>
    <row r="82" spans="4:74" x14ac:dyDescent="0.3">
      <c r="AN82" s="18"/>
      <c r="BV82" s="19"/>
    </row>
    <row r="83" spans="4:74" x14ac:dyDescent="0.3">
      <c r="AN83" s="18"/>
      <c r="BV83" s="19"/>
    </row>
    <row r="84" spans="4:74" x14ac:dyDescent="0.3">
      <c r="AN84" s="18"/>
      <c r="BV84" s="19"/>
    </row>
    <row r="85" spans="4:74" x14ac:dyDescent="0.3">
      <c r="AN85" s="18"/>
      <c r="BV85" s="19"/>
    </row>
    <row r="86" spans="4:74" x14ac:dyDescent="0.3">
      <c r="AN86" s="18"/>
      <c r="BV86" s="19"/>
    </row>
    <row r="87" spans="4:74" x14ac:dyDescent="0.3">
      <c r="AN87" s="18"/>
      <c r="BV87" s="19"/>
    </row>
    <row r="88" spans="4:74" x14ac:dyDescent="0.3">
      <c r="AN88" s="18"/>
      <c r="BV88" s="19"/>
    </row>
    <row r="89" spans="4:74" x14ac:dyDescent="0.3">
      <c r="AN89" s="18"/>
      <c r="BV89" s="19"/>
    </row>
    <row r="90" spans="4:74" x14ac:dyDescent="0.3">
      <c r="AN90" s="18"/>
      <c r="BV90" s="19"/>
    </row>
    <row r="91" spans="4:74" ht="15.6" x14ac:dyDescent="0.3">
      <c r="D91" s="50" t="s">
        <v>34</v>
      </c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T91" s="41" t="s">
        <v>10</v>
      </c>
      <c r="U91" s="41"/>
      <c r="V91" s="41"/>
      <c r="W91" s="41"/>
      <c r="AD91" s="41" t="s">
        <v>10</v>
      </c>
      <c r="AE91" s="41"/>
      <c r="AF91" s="41"/>
      <c r="AG91" s="41"/>
      <c r="AN91" s="18"/>
      <c r="BV91" s="19"/>
    </row>
    <row r="92" spans="4:74" x14ac:dyDescent="0.3">
      <c r="H92" s="39" t="s">
        <v>15</v>
      </c>
      <c r="I92" s="39"/>
      <c r="J92" s="39"/>
      <c r="K92" s="39"/>
      <c r="L92" s="40" t="s">
        <v>14</v>
      </c>
      <c r="M92" s="40"/>
      <c r="N92" s="40"/>
      <c r="O92" s="40"/>
      <c r="T92" s="4" t="s">
        <v>3</v>
      </c>
      <c r="U92" s="1">
        <f t="array" ref="U92:V94">LINEST(I94:I113,G94:G113,1,1)</f>
        <v>2.2113284075702979</v>
      </c>
      <c r="V92" s="1">
        <v>-0.12127697371437463</v>
      </c>
      <c r="W92" s="4" t="s">
        <v>5</v>
      </c>
      <c r="AD92" s="4" t="s">
        <v>3</v>
      </c>
      <c r="AE92" s="1">
        <f t="array" ref="AE92:AF94">LINEST(M94:M113,G94:G113,1,1)</f>
        <v>2.1794523648412683</v>
      </c>
      <c r="AF92" s="1">
        <v>-6.8453815771531756E-2</v>
      </c>
      <c r="AG92" s="4" t="s">
        <v>5</v>
      </c>
      <c r="AN92" s="18"/>
      <c r="BV92" s="19"/>
    </row>
    <row r="93" spans="4:74" ht="16.2" x14ac:dyDescent="0.3">
      <c r="D93" s="3" t="s">
        <v>8</v>
      </c>
      <c r="E93" s="3" t="s">
        <v>40</v>
      </c>
      <c r="F93" s="3" t="s">
        <v>26</v>
      </c>
      <c r="G93" s="3" t="s">
        <v>31</v>
      </c>
      <c r="H93" s="23" t="s">
        <v>33</v>
      </c>
      <c r="I93" s="23" t="s">
        <v>32</v>
      </c>
      <c r="J93" s="23" t="s">
        <v>0</v>
      </c>
      <c r="K93" s="23" t="s">
        <v>1</v>
      </c>
      <c r="L93" s="24" t="s">
        <v>22</v>
      </c>
      <c r="M93" s="23" t="s">
        <v>23</v>
      </c>
      <c r="N93" s="23" t="s">
        <v>0</v>
      </c>
      <c r="O93" s="23" t="s">
        <v>1</v>
      </c>
      <c r="T93" s="4" t="s">
        <v>2</v>
      </c>
      <c r="U93" s="1">
        <v>1.5093280260651334E-2</v>
      </c>
      <c r="V93" s="1">
        <v>9.5425812700893863E-3</v>
      </c>
      <c r="W93" s="4" t="s">
        <v>6</v>
      </c>
      <c r="AD93" s="4" t="s">
        <v>2</v>
      </c>
      <c r="AE93" s="1">
        <v>2.6208570025918657E-2</v>
      </c>
      <c r="AF93" s="1">
        <v>1.6570116311771497E-2</v>
      </c>
      <c r="AG93" s="4" t="s">
        <v>6</v>
      </c>
      <c r="AN93" s="18"/>
      <c r="BV93" s="19"/>
    </row>
    <row r="94" spans="4:74" x14ac:dyDescent="0.3">
      <c r="D94" s="1">
        <v>1501</v>
      </c>
      <c r="E94" s="1">
        <f t="shared" ref="E94:E113" si="25">2*PI()*D94</f>
        <v>9431.0611460765595</v>
      </c>
      <c r="F94" s="1">
        <v>0.39300000000000002</v>
      </c>
      <c r="G94" s="1">
        <f t="shared" ref="G94:G113" si="26">F94*SQRT(2)</f>
        <v>0.55578593001262644</v>
      </c>
      <c r="H94" s="1">
        <v>0.78510000000000002</v>
      </c>
      <c r="I94" s="1">
        <f t="shared" ref="I94:I113" si="27">H94*SQRT(2)</f>
        <v>1.1102990678191171</v>
      </c>
      <c r="J94" s="1">
        <f t="shared" ref="J94:J113" si="28">G94*U$92+V$92</f>
        <v>1.1077482418504236</v>
      </c>
      <c r="K94" s="1">
        <f>I94-J94</f>
        <v>2.5508259686934931E-3</v>
      </c>
      <c r="L94" s="13">
        <v>2.29</v>
      </c>
      <c r="M94" s="13">
        <f t="shared" ref="M94:M113" si="29">L94/2</f>
        <v>1.145</v>
      </c>
      <c r="N94" s="1">
        <f t="shared" ref="N94:N113" si="30">G94*AE$92+AF$92</f>
        <v>1.1428551437399905</v>
      </c>
      <c r="O94" s="13">
        <f>M94-N94</f>
        <v>2.1448562600094867E-3</v>
      </c>
      <c r="T94" s="4" t="s">
        <v>4</v>
      </c>
      <c r="U94" s="1">
        <v>0.9991621442412334</v>
      </c>
      <c r="V94" s="1">
        <v>3.139587326573579E-3</v>
      </c>
      <c r="W94" s="4" t="s">
        <v>7</v>
      </c>
      <c r="AD94" s="4" t="s">
        <v>4</v>
      </c>
      <c r="AE94" s="1">
        <v>0.99740381629393904</v>
      </c>
      <c r="AF94" s="1">
        <v>5.4517038629109454E-3</v>
      </c>
      <c r="AG94" s="4" t="s">
        <v>7</v>
      </c>
      <c r="AN94" s="18"/>
      <c r="BV94" s="19"/>
    </row>
    <row r="95" spans="4:74" x14ac:dyDescent="0.3">
      <c r="D95" s="1">
        <v>1501</v>
      </c>
      <c r="E95" s="1">
        <f t="shared" si="25"/>
        <v>9431.0611460765595</v>
      </c>
      <c r="F95" s="1">
        <v>0.41199999999999998</v>
      </c>
      <c r="G95" s="1">
        <f t="shared" si="26"/>
        <v>0.58265598769771521</v>
      </c>
      <c r="H95" s="1">
        <v>0.82720000000000005</v>
      </c>
      <c r="I95" s="1">
        <f t="shared" si="27"/>
        <v>1.1698374587950244</v>
      </c>
      <c r="J95" s="1">
        <f t="shared" si="28"/>
        <v>1.1671667637225129</v>
      </c>
      <c r="K95" s="1">
        <f t="shared" ref="K95:K113" si="31">I95-J95</f>
        <v>2.6706950725114975E-3</v>
      </c>
      <c r="L95" s="13">
        <v>2.4</v>
      </c>
      <c r="M95" s="13">
        <f t="shared" si="29"/>
        <v>1.2</v>
      </c>
      <c r="N95" s="1">
        <f t="shared" si="30"/>
        <v>1.2014171545051786</v>
      </c>
      <c r="O95" s="13">
        <f t="shared" ref="O95:O113" si="32">M95-N95</f>
        <v>-1.4171545051786527E-3</v>
      </c>
      <c r="AN95" s="18"/>
      <c r="BV95" s="19"/>
    </row>
    <row r="96" spans="4:74" x14ac:dyDescent="0.3">
      <c r="D96" s="1">
        <v>1501</v>
      </c>
      <c r="E96" s="1">
        <f t="shared" si="25"/>
        <v>9431.0611460765595</v>
      </c>
      <c r="F96" s="1">
        <v>0.42799999999999999</v>
      </c>
      <c r="G96" s="1">
        <f t="shared" si="26"/>
        <v>0.60528340469568476</v>
      </c>
      <c r="H96" s="1">
        <v>0.86240000000000006</v>
      </c>
      <c r="I96" s="1">
        <f t="shared" si="27"/>
        <v>1.2196177761905573</v>
      </c>
      <c r="J96" s="1">
        <f t="shared" si="28"/>
        <v>1.217203413720062</v>
      </c>
      <c r="K96" s="1">
        <f t="shared" si="31"/>
        <v>2.4143624704953126E-3</v>
      </c>
      <c r="L96" s="13">
        <v>2.5</v>
      </c>
      <c r="M96" s="13">
        <f t="shared" si="29"/>
        <v>1.25</v>
      </c>
      <c r="N96" s="1">
        <f t="shared" si="30"/>
        <v>1.2507325319916529</v>
      </c>
      <c r="O96" s="13">
        <f t="shared" si="32"/>
        <v>-7.3253199165290717E-4</v>
      </c>
      <c r="AN96" s="18"/>
      <c r="BV96" s="19"/>
    </row>
    <row r="97" spans="4:74" x14ac:dyDescent="0.3">
      <c r="D97" s="1">
        <v>1501</v>
      </c>
      <c r="E97" s="1">
        <f t="shared" si="25"/>
        <v>9431.0611460765595</v>
      </c>
      <c r="F97" s="1">
        <v>0.439</v>
      </c>
      <c r="G97" s="1">
        <f t="shared" si="26"/>
        <v>0.6208397538817888</v>
      </c>
      <c r="H97" s="1">
        <v>0.88680000000000003</v>
      </c>
      <c r="I97" s="1">
        <f t="shared" si="27"/>
        <v>1.2541245871124609</v>
      </c>
      <c r="J97" s="1">
        <f t="shared" si="28"/>
        <v>1.251603610593377</v>
      </c>
      <c r="K97" s="1">
        <f t="shared" si="31"/>
        <v>2.5209765190838951E-3</v>
      </c>
      <c r="L97" s="13">
        <v>2.58</v>
      </c>
      <c r="M97" s="13">
        <f t="shared" si="29"/>
        <v>1.29</v>
      </c>
      <c r="N97" s="1">
        <f t="shared" si="30"/>
        <v>1.2846368540136037</v>
      </c>
      <c r="O97" s="13">
        <f t="shared" si="32"/>
        <v>5.3631459863963116E-3</v>
      </c>
      <c r="AN97" s="18"/>
      <c r="BV97" s="19"/>
    </row>
    <row r="98" spans="4:74" x14ac:dyDescent="0.3">
      <c r="D98" s="1">
        <v>1501</v>
      </c>
      <c r="E98" s="1">
        <f t="shared" si="25"/>
        <v>9431.0611460765595</v>
      </c>
      <c r="F98" s="1">
        <v>0.44800000000000001</v>
      </c>
      <c r="G98" s="1">
        <f t="shared" si="26"/>
        <v>0.63356767594314667</v>
      </c>
      <c r="H98" s="1">
        <v>0.90659999999999996</v>
      </c>
      <c r="I98" s="1">
        <f t="shared" si="27"/>
        <v>1.2821260156474481</v>
      </c>
      <c r="J98" s="1">
        <f t="shared" si="28"/>
        <v>1.2797492262169985</v>
      </c>
      <c r="K98" s="1">
        <f t="shared" si="31"/>
        <v>2.3767894304496107E-3</v>
      </c>
      <c r="L98" s="13">
        <v>2.62</v>
      </c>
      <c r="M98" s="13">
        <f t="shared" si="29"/>
        <v>1.31</v>
      </c>
      <c r="N98" s="1">
        <f t="shared" si="30"/>
        <v>1.3123767538497455</v>
      </c>
      <c r="O98" s="13">
        <f t="shared" si="32"/>
        <v>-2.3767538497454499E-3</v>
      </c>
      <c r="AN98" s="18"/>
      <c r="BV98" s="19"/>
    </row>
    <row r="99" spans="4:74" x14ac:dyDescent="0.3">
      <c r="D99" s="1">
        <v>1501</v>
      </c>
      <c r="E99" s="1">
        <f t="shared" si="25"/>
        <v>9431.0611460765595</v>
      </c>
      <c r="F99" s="1">
        <v>0.46700000000000003</v>
      </c>
      <c r="G99" s="1">
        <f t="shared" si="26"/>
        <v>0.66043773362823543</v>
      </c>
      <c r="H99" s="1">
        <v>0.95020000000000004</v>
      </c>
      <c r="I99" s="1">
        <f t="shared" si="27"/>
        <v>1.3437857269669151</v>
      </c>
      <c r="J99" s="1">
        <f t="shared" si="28"/>
        <v>1.3391677480890878</v>
      </c>
      <c r="K99" s="1">
        <f t="shared" si="31"/>
        <v>4.6179788778273334E-3</v>
      </c>
      <c r="L99" s="13">
        <v>2.74</v>
      </c>
      <c r="M99" s="13">
        <f t="shared" si="29"/>
        <v>1.37</v>
      </c>
      <c r="N99" s="1">
        <f t="shared" si="30"/>
        <v>1.3709387646149336</v>
      </c>
      <c r="O99" s="13">
        <f t="shared" si="32"/>
        <v>-9.3876461493347385E-4</v>
      </c>
      <c r="AN99" s="18"/>
      <c r="BV99" s="19"/>
    </row>
    <row r="100" spans="4:74" x14ac:dyDescent="0.3">
      <c r="D100" s="1">
        <v>1501</v>
      </c>
      <c r="E100" s="1">
        <f t="shared" si="25"/>
        <v>9431.0611460765595</v>
      </c>
      <c r="F100" s="1">
        <v>0.47799999999999998</v>
      </c>
      <c r="G100" s="1">
        <f t="shared" si="26"/>
        <v>0.67599408281433948</v>
      </c>
      <c r="H100" s="1">
        <v>0.97399999999999998</v>
      </c>
      <c r="I100" s="1">
        <f t="shared" si="27"/>
        <v>1.3774440097513947</v>
      </c>
      <c r="J100" s="1">
        <f t="shared" si="28"/>
        <v>1.3735679449624028</v>
      </c>
      <c r="K100" s="1">
        <f t="shared" si="31"/>
        <v>3.8760647889919397E-3</v>
      </c>
      <c r="L100" s="13">
        <v>2.82</v>
      </c>
      <c r="M100" s="13">
        <f t="shared" si="29"/>
        <v>1.41</v>
      </c>
      <c r="N100" s="1">
        <f t="shared" si="30"/>
        <v>1.4048430866368846</v>
      </c>
      <c r="O100" s="13">
        <f t="shared" si="32"/>
        <v>5.1569133631153008E-3</v>
      </c>
      <c r="AN100" s="18"/>
      <c r="BV100" s="19"/>
    </row>
    <row r="101" spans="4:74" x14ac:dyDescent="0.3">
      <c r="D101" s="1">
        <v>1501</v>
      </c>
      <c r="E101" s="1">
        <f t="shared" si="25"/>
        <v>9431.0611460765595</v>
      </c>
      <c r="F101" s="1">
        <v>0.48599999999999999</v>
      </c>
      <c r="G101" s="1">
        <f t="shared" si="26"/>
        <v>0.6873077913133242</v>
      </c>
      <c r="H101" s="1">
        <v>0.99039999999999995</v>
      </c>
      <c r="I101" s="1">
        <f t="shared" si="27"/>
        <v>1.4006371121743133</v>
      </c>
      <c r="J101" s="1">
        <f t="shared" si="28"/>
        <v>1.3985862699611773</v>
      </c>
      <c r="K101" s="1">
        <f t="shared" si="31"/>
        <v>2.050842213136006E-3</v>
      </c>
      <c r="L101" s="13">
        <v>2.86</v>
      </c>
      <c r="M101" s="13">
        <f t="shared" si="29"/>
        <v>1.43</v>
      </c>
      <c r="N101" s="1">
        <f t="shared" si="30"/>
        <v>1.4295007753801217</v>
      </c>
      <c r="O101" s="13">
        <f t="shared" si="32"/>
        <v>4.9922461987828015E-4</v>
      </c>
      <c r="AN101" s="18"/>
      <c r="BV101" s="19"/>
    </row>
    <row r="102" spans="4:74" x14ac:dyDescent="0.3">
      <c r="D102" s="1">
        <v>1501</v>
      </c>
      <c r="E102" s="1">
        <f t="shared" si="25"/>
        <v>9431.0611460765595</v>
      </c>
      <c r="F102" s="1">
        <v>0.496</v>
      </c>
      <c r="G102" s="1">
        <f t="shared" si="26"/>
        <v>0.70144992693705521</v>
      </c>
      <c r="H102" s="1">
        <v>1.014</v>
      </c>
      <c r="I102" s="1">
        <f t="shared" si="27"/>
        <v>1.4340125522463185</v>
      </c>
      <c r="J102" s="1">
        <f t="shared" si="28"/>
        <v>1.4298591762096455</v>
      </c>
      <c r="K102" s="1">
        <f t="shared" si="31"/>
        <v>4.1533760366729844E-3</v>
      </c>
      <c r="L102" s="13">
        <v>2.92</v>
      </c>
      <c r="M102" s="13">
        <f t="shared" si="29"/>
        <v>1.46</v>
      </c>
      <c r="N102" s="1">
        <f t="shared" si="30"/>
        <v>1.460322886309168</v>
      </c>
      <c r="O102" s="13">
        <f t="shared" si="32"/>
        <v>-3.2288630916799121E-4</v>
      </c>
      <c r="AN102" s="18"/>
      <c r="BV102" s="19"/>
    </row>
    <row r="103" spans="4:74" x14ac:dyDescent="0.3">
      <c r="D103" s="1">
        <v>1501</v>
      </c>
      <c r="E103" s="1">
        <f t="shared" si="25"/>
        <v>9431.0611460765595</v>
      </c>
      <c r="F103" s="1">
        <v>0.497</v>
      </c>
      <c r="G103" s="1">
        <f t="shared" si="26"/>
        <v>0.70286414049942825</v>
      </c>
      <c r="H103" s="1">
        <v>1.0111000000000001</v>
      </c>
      <c r="I103" s="1">
        <f t="shared" si="27"/>
        <v>1.4299113329154367</v>
      </c>
      <c r="J103" s="1">
        <f t="shared" si="28"/>
        <v>1.4329864668344923</v>
      </c>
      <c r="K103" s="1">
        <f t="shared" si="31"/>
        <v>-3.0751339190555615E-3</v>
      </c>
      <c r="L103" s="13">
        <v>2.92</v>
      </c>
      <c r="M103" s="13">
        <f t="shared" si="29"/>
        <v>1.46</v>
      </c>
      <c r="N103" s="1">
        <f t="shared" si="30"/>
        <v>1.4634050974020725</v>
      </c>
      <c r="O103" s="13">
        <f t="shared" si="32"/>
        <v>-3.40509740207251E-3</v>
      </c>
      <c r="AN103" s="18"/>
      <c r="BV103" s="19"/>
    </row>
    <row r="104" spans="4:74" x14ac:dyDescent="0.3">
      <c r="D104" s="1">
        <v>1501</v>
      </c>
      <c r="E104" s="1">
        <f t="shared" si="25"/>
        <v>9431.0611460765595</v>
      </c>
      <c r="F104" s="1">
        <v>0.48099999999999998</v>
      </c>
      <c r="G104" s="1">
        <f t="shared" si="26"/>
        <v>0.6802367235014587</v>
      </c>
      <c r="H104" s="1">
        <v>0.97489999999999999</v>
      </c>
      <c r="I104" s="1">
        <f t="shared" si="27"/>
        <v>1.3787168019575304</v>
      </c>
      <c r="J104" s="1">
        <f t="shared" si="28"/>
        <v>1.3829498168369432</v>
      </c>
      <c r="K104" s="1">
        <f t="shared" si="31"/>
        <v>-4.2330148794127442E-3</v>
      </c>
      <c r="L104" s="13">
        <v>2.82</v>
      </c>
      <c r="M104" s="13">
        <f t="shared" si="29"/>
        <v>1.41</v>
      </c>
      <c r="N104" s="1">
        <f t="shared" si="30"/>
        <v>1.4140897199155984</v>
      </c>
      <c r="O104" s="13">
        <f t="shared" si="32"/>
        <v>-4.0897199155984776E-3</v>
      </c>
      <c r="AN104" s="18"/>
      <c r="BV104" s="19"/>
    </row>
    <row r="105" spans="4:74" x14ac:dyDescent="0.3">
      <c r="D105" s="1">
        <v>1501</v>
      </c>
      <c r="E105" s="1">
        <f t="shared" si="25"/>
        <v>9431.0611460765595</v>
      </c>
      <c r="F105" s="1">
        <v>0.47499999999999998</v>
      </c>
      <c r="G105" s="1">
        <f t="shared" si="26"/>
        <v>0.67175144212722016</v>
      </c>
      <c r="H105" s="1">
        <v>0.96150000000000002</v>
      </c>
      <c r="I105" s="1">
        <f t="shared" si="27"/>
        <v>1.359766340221731</v>
      </c>
      <c r="J105" s="1">
        <f t="shared" si="28"/>
        <v>1.3641860730878623</v>
      </c>
      <c r="K105" s="1">
        <f t="shared" si="31"/>
        <v>-4.4197328661312874E-3</v>
      </c>
      <c r="L105" s="13">
        <v>2.78</v>
      </c>
      <c r="M105" s="13">
        <f t="shared" si="29"/>
        <v>1.39</v>
      </c>
      <c r="N105" s="1">
        <f t="shared" si="30"/>
        <v>1.3955964533581706</v>
      </c>
      <c r="O105" s="13">
        <f t="shared" si="32"/>
        <v>-5.5964533581707165E-3</v>
      </c>
      <c r="AN105" s="18"/>
      <c r="BV105" s="19"/>
    </row>
    <row r="106" spans="4:74" x14ac:dyDescent="0.3">
      <c r="D106" s="1">
        <v>1501</v>
      </c>
      <c r="E106" s="1">
        <f t="shared" si="25"/>
        <v>9431.0611460765595</v>
      </c>
      <c r="F106" s="1">
        <v>0.46200000000000002</v>
      </c>
      <c r="G106" s="1">
        <f t="shared" si="26"/>
        <v>0.65336666581637004</v>
      </c>
      <c r="H106" s="1">
        <v>0.93489999999999995</v>
      </c>
      <c r="I106" s="1">
        <f t="shared" si="27"/>
        <v>1.3221482594626066</v>
      </c>
      <c r="J106" s="1">
        <f t="shared" si="28"/>
        <v>1.3235312949648539</v>
      </c>
      <c r="K106" s="1">
        <f t="shared" si="31"/>
        <v>-1.3830355022472762E-3</v>
      </c>
      <c r="L106" s="13">
        <v>2.74</v>
      </c>
      <c r="M106" s="13">
        <f t="shared" si="29"/>
        <v>1.37</v>
      </c>
      <c r="N106" s="1">
        <f t="shared" si="30"/>
        <v>1.3555277091504105</v>
      </c>
      <c r="O106" s="13">
        <f t="shared" si="32"/>
        <v>1.4472290849589564E-2</v>
      </c>
      <c r="AN106" s="18"/>
      <c r="BV106" s="19"/>
    </row>
    <row r="107" spans="4:74" ht="15" thickBot="1" x14ac:dyDescent="0.35">
      <c r="D107" s="1">
        <v>1501</v>
      </c>
      <c r="E107" s="1">
        <f t="shared" si="25"/>
        <v>9431.0611460765595</v>
      </c>
      <c r="F107" s="1">
        <v>0.45300000000000001</v>
      </c>
      <c r="G107" s="1">
        <f t="shared" si="26"/>
        <v>0.64063874375501217</v>
      </c>
      <c r="H107" s="1">
        <v>0.9143</v>
      </c>
      <c r="I107" s="1">
        <f t="shared" si="27"/>
        <v>1.2930154600777208</v>
      </c>
      <c r="J107" s="1">
        <f t="shared" si="28"/>
        <v>1.2953856793412326</v>
      </c>
      <c r="K107" s="1">
        <f t="shared" si="31"/>
        <v>-2.3702192635117747E-3</v>
      </c>
      <c r="L107" s="13">
        <v>2.66</v>
      </c>
      <c r="M107" s="13">
        <f t="shared" si="29"/>
        <v>1.33</v>
      </c>
      <c r="N107" s="1">
        <f t="shared" si="30"/>
        <v>1.3277878093142688</v>
      </c>
      <c r="O107" s="13">
        <f t="shared" si="32"/>
        <v>2.2121906857313078E-3</v>
      </c>
      <c r="AN107" s="20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2"/>
    </row>
    <row r="108" spans="4:74" x14ac:dyDescent="0.3">
      <c r="D108" s="1">
        <v>1501</v>
      </c>
      <c r="E108" s="1">
        <f t="shared" si="25"/>
        <v>9431.0611460765595</v>
      </c>
      <c r="F108" s="1">
        <v>0.44400000000000001</v>
      </c>
      <c r="G108" s="1">
        <f t="shared" si="26"/>
        <v>0.6279108216936542</v>
      </c>
      <c r="H108" s="1">
        <v>0.89419999999999999</v>
      </c>
      <c r="I108" s="1">
        <f t="shared" si="27"/>
        <v>1.2645897674740216</v>
      </c>
      <c r="J108" s="1">
        <f t="shared" si="28"/>
        <v>1.2672400637176109</v>
      </c>
      <c r="K108" s="1">
        <f t="shared" si="31"/>
        <v>-2.6502962435892563E-3</v>
      </c>
      <c r="L108" s="13">
        <v>2.6</v>
      </c>
      <c r="M108" s="13">
        <f t="shared" si="29"/>
        <v>1.3</v>
      </c>
      <c r="N108" s="1">
        <f t="shared" si="30"/>
        <v>1.3000479094781268</v>
      </c>
      <c r="O108" s="13">
        <f t="shared" si="32"/>
        <v>-4.7909478126717531E-5</v>
      </c>
    </row>
    <row r="109" spans="4:74" x14ac:dyDescent="0.3">
      <c r="D109" s="1">
        <v>1501</v>
      </c>
      <c r="E109" s="1">
        <f t="shared" si="25"/>
        <v>9431.0611460765595</v>
      </c>
      <c r="F109" s="1">
        <v>0.43099999999999999</v>
      </c>
      <c r="G109" s="1">
        <f t="shared" si="26"/>
        <v>0.60952604538280397</v>
      </c>
      <c r="H109" s="1">
        <v>0.86409999999999998</v>
      </c>
      <c r="I109" s="1">
        <f t="shared" si="27"/>
        <v>1.2220219392465914</v>
      </c>
      <c r="J109" s="1">
        <f t="shared" si="28"/>
        <v>1.2265852855946024</v>
      </c>
      <c r="K109" s="1">
        <f t="shared" si="31"/>
        <v>-4.5633463480110326E-3</v>
      </c>
      <c r="L109" s="13">
        <v>2.5</v>
      </c>
      <c r="M109" s="13">
        <f t="shared" si="29"/>
        <v>1.25</v>
      </c>
      <c r="N109" s="1">
        <f t="shared" si="30"/>
        <v>1.2599791652703665</v>
      </c>
      <c r="O109" s="13">
        <f t="shared" si="32"/>
        <v>-9.9791652703664635E-3</v>
      </c>
    </row>
    <row r="110" spans="4:74" x14ac:dyDescent="0.3">
      <c r="D110" s="1">
        <v>1501</v>
      </c>
      <c r="E110" s="1">
        <f t="shared" si="25"/>
        <v>9431.0611460765595</v>
      </c>
      <c r="F110" s="1">
        <v>0.42</v>
      </c>
      <c r="G110" s="1">
        <f t="shared" si="26"/>
        <v>0.59396969619669993</v>
      </c>
      <c r="H110" s="1">
        <v>0.84219999999999995</v>
      </c>
      <c r="I110" s="1">
        <f t="shared" si="27"/>
        <v>1.1910506622306207</v>
      </c>
      <c r="J110" s="1">
        <f t="shared" si="28"/>
        <v>1.1921850887212875</v>
      </c>
      <c r="K110" s="1">
        <f t="shared" si="31"/>
        <v>-1.1344264906667512E-3</v>
      </c>
      <c r="L110" s="13">
        <v>2.46</v>
      </c>
      <c r="M110" s="13">
        <f t="shared" si="29"/>
        <v>1.23</v>
      </c>
      <c r="N110" s="1">
        <f t="shared" si="30"/>
        <v>1.2260748432484156</v>
      </c>
      <c r="O110" s="13">
        <f t="shared" si="32"/>
        <v>3.9251567515843355E-3</v>
      </c>
    </row>
    <row r="111" spans="4:74" x14ac:dyDescent="0.3">
      <c r="D111" s="1">
        <v>1501</v>
      </c>
      <c r="E111" s="1">
        <f t="shared" si="25"/>
        <v>9431.0611460765595</v>
      </c>
      <c r="F111" s="1">
        <v>0.41099999999999998</v>
      </c>
      <c r="G111" s="1">
        <f t="shared" si="26"/>
        <v>0.58124177413534206</v>
      </c>
      <c r="H111" s="1">
        <v>0.82199999999999995</v>
      </c>
      <c r="I111" s="1">
        <f t="shared" si="27"/>
        <v>1.1624835482706841</v>
      </c>
      <c r="J111" s="1">
        <f t="shared" si="28"/>
        <v>1.1640394730976662</v>
      </c>
      <c r="K111" s="1">
        <f t="shared" si="31"/>
        <v>-1.5559248269820802E-3</v>
      </c>
      <c r="L111" s="13">
        <v>2.38</v>
      </c>
      <c r="M111" s="13">
        <f t="shared" si="29"/>
        <v>1.19</v>
      </c>
      <c r="N111" s="1">
        <f t="shared" si="30"/>
        <v>1.1983349434122739</v>
      </c>
      <c r="O111" s="13">
        <f t="shared" si="32"/>
        <v>-8.3349434122739208E-3</v>
      </c>
    </row>
    <row r="112" spans="4:74" x14ac:dyDescent="0.3">
      <c r="D112" s="1">
        <v>1501</v>
      </c>
      <c r="E112" s="1">
        <f t="shared" si="25"/>
        <v>9431.0611460765595</v>
      </c>
      <c r="F112" s="1">
        <v>0.40100000000000002</v>
      </c>
      <c r="G112" s="1">
        <f t="shared" si="26"/>
        <v>0.56709963851161116</v>
      </c>
      <c r="H112" s="1">
        <v>0.8</v>
      </c>
      <c r="I112" s="1">
        <f t="shared" si="27"/>
        <v>1.1313708498984762</v>
      </c>
      <c r="J112" s="1">
        <f t="shared" si="28"/>
        <v>1.132766566849198</v>
      </c>
      <c r="K112" s="1">
        <f t="shared" si="31"/>
        <v>-1.3957169507217149E-3</v>
      </c>
      <c r="L112" s="13">
        <v>2.34</v>
      </c>
      <c r="M112" s="13">
        <f t="shared" si="29"/>
        <v>1.17</v>
      </c>
      <c r="N112" s="1">
        <f t="shared" si="30"/>
        <v>1.1675128324832276</v>
      </c>
      <c r="O112" s="13">
        <f t="shared" si="32"/>
        <v>2.4871675167723595E-3</v>
      </c>
    </row>
    <row r="113" spans="4:15" x14ac:dyDescent="0.3">
      <c r="D113" s="1">
        <v>1501</v>
      </c>
      <c r="E113" s="1">
        <f t="shared" si="25"/>
        <v>9431.0611460765595</v>
      </c>
      <c r="F113" s="1">
        <v>0.39500000000000002</v>
      </c>
      <c r="G113" s="1">
        <f t="shared" si="26"/>
        <v>0.55861435713737262</v>
      </c>
      <c r="H113" s="1">
        <v>0.78739999999999999</v>
      </c>
      <c r="I113" s="1">
        <f t="shared" si="27"/>
        <v>1.1135517590125752</v>
      </c>
      <c r="J113" s="1">
        <f t="shared" si="28"/>
        <v>1.1140028231001173</v>
      </c>
      <c r="K113" s="1">
        <f t="shared" si="31"/>
        <v>-4.5106408754214122E-4</v>
      </c>
      <c r="L113" s="13">
        <v>2.2999999999999998</v>
      </c>
      <c r="M113" s="13">
        <f t="shared" si="29"/>
        <v>1.1499999999999999</v>
      </c>
      <c r="N113" s="1">
        <f t="shared" si="30"/>
        <v>1.1490195659257998</v>
      </c>
      <c r="O113" s="13">
        <f t="shared" si="32"/>
        <v>9.8043407420012052E-4</v>
      </c>
    </row>
    <row r="115" spans="4:15" x14ac:dyDescent="0.3">
      <c r="D115" s="4" t="s">
        <v>80</v>
      </c>
      <c r="E115" s="1">
        <v>1</v>
      </c>
    </row>
    <row r="116" spans="4:15" ht="16.2" x14ac:dyDescent="0.3">
      <c r="D116" s="4" t="s">
        <v>81</v>
      </c>
      <c r="E116" s="1">
        <f>ABS(2*PI()*E115)</f>
        <v>6.2831853071795862</v>
      </c>
    </row>
    <row r="138" spans="9:13" ht="15.6" x14ac:dyDescent="0.3">
      <c r="I138" s="38" t="s">
        <v>51</v>
      </c>
      <c r="J138" s="38"/>
      <c r="K138" s="38"/>
      <c r="L138" s="38"/>
      <c r="M138" s="38"/>
    </row>
    <row r="139" spans="9:13" x14ac:dyDescent="0.3">
      <c r="I139" s="39" t="s">
        <v>52</v>
      </c>
      <c r="J139" s="39"/>
      <c r="L139" s="40" t="s">
        <v>16</v>
      </c>
      <c r="M139" s="40"/>
    </row>
    <row r="140" spans="9:13" ht="15.6" x14ac:dyDescent="0.3">
      <c r="I140" s="30" t="s">
        <v>53</v>
      </c>
      <c r="J140" s="33">
        <f>4*PI()*10^-7</f>
        <v>1.2566370614359173E-6</v>
      </c>
      <c r="L140" s="29" t="s">
        <v>53</v>
      </c>
      <c r="M140" s="33">
        <f>J140</f>
        <v>1.2566370614359173E-6</v>
      </c>
    </row>
    <row r="141" spans="9:13" ht="15.6" x14ac:dyDescent="0.3">
      <c r="I141" s="30" t="s">
        <v>54</v>
      </c>
      <c r="J141" s="1">
        <f>(U92*J145)/(J146*M146*M147*E94)</f>
        <v>1.2197581109194996E-6</v>
      </c>
      <c r="L141" s="29" t="s">
        <v>54</v>
      </c>
      <c r="M141" s="1">
        <f>(AE92*J145)/(J146*M146*M147*E94)</f>
        <v>1.2021754391057407E-6</v>
      </c>
    </row>
    <row r="142" spans="9:13" ht="15.6" x14ac:dyDescent="0.3">
      <c r="I142" s="30" t="s">
        <v>56</v>
      </c>
      <c r="J142" s="1">
        <f>8.4*10^-9</f>
        <v>8.4000000000000008E-9</v>
      </c>
      <c r="L142" s="29" t="s">
        <v>55</v>
      </c>
      <c r="M142" s="1">
        <f>1.45*10^-8</f>
        <v>1.4499999999999999E-8</v>
      </c>
    </row>
    <row r="143" spans="9:13" x14ac:dyDescent="0.3">
      <c r="I143" s="30" t="s">
        <v>57</v>
      </c>
      <c r="J143" s="35">
        <f>ABS(J140-J141)/J140</f>
        <v>2.9347336353646392E-2</v>
      </c>
      <c r="L143" s="29" t="s">
        <v>57</v>
      </c>
      <c r="M143" s="35">
        <f>ABS(M140-M141)/M140</f>
        <v>4.3339182013257767E-2</v>
      </c>
    </row>
    <row r="145" spans="9:13" x14ac:dyDescent="0.3">
      <c r="I145" s="31" t="s">
        <v>21</v>
      </c>
      <c r="J145" s="1">
        <v>0.75</v>
      </c>
      <c r="K145" s="37" t="s">
        <v>59</v>
      </c>
      <c r="L145" s="37"/>
      <c r="M145" s="1">
        <v>4.1000000000000002E-2</v>
      </c>
    </row>
    <row r="146" spans="9:13" ht="16.2" x14ac:dyDescent="0.3">
      <c r="I146" s="31" t="s">
        <v>19</v>
      </c>
      <c r="J146" s="1">
        <v>364</v>
      </c>
      <c r="K146" s="37" t="s">
        <v>60</v>
      </c>
      <c r="L146" s="37"/>
      <c r="M146" s="25">
        <f>M145^2*PI()/4</f>
        <v>1.3202543126711107E-3</v>
      </c>
    </row>
    <row r="147" spans="9:13" x14ac:dyDescent="0.3">
      <c r="K147" s="37" t="s">
        <v>58</v>
      </c>
      <c r="L147" s="37"/>
      <c r="M147" s="1">
        <v>300</v>
      </c>
    </row>
  </sheetData>
  <mergeCells count="31">
    <mergeCell ref="BF59:BI59"/>
    <mergeCell ref="BO59:BR59"/>
    <mergeCell ref="AU60:AX60"/>
    <mergeCell ref="AY3:BB3"/>
    <mergeCell ref="BF2:BI2"/>
    <mergeCell ref="BO2:BR2"/>
    <mergeCell ref="D2:O2"/>
    <mergeCell ref="D59:O59"/>
    <mergeCell ref="AQ2:BB2"/>
    <mergeCell ref="D91:O91"/>
    <mergeCell ref="H92:K92"/>
    <mergeCell ref="AY60:BB60"/>
    <mergeCell ref="S2:V2"/>
    <mergeCell ref="AC2:AF2"/>
    <mergeCell ref="L3:O3"/>
    <mergeCell ref="AQ59:BB59"/>
    <mergeCell ref="AU3:AX3"/>
    <mergeCell ref="H3:K3"/>
    <mergeCell ref="H60:K60"/>
    <mergeCell ref="R60:U60"/>
    <mergeCell ref="X60:AA60"/>
    <mergeCell ref="L92:O92"/>
    <mergeCell ref="T91:W91"/>
    <mergeCell ref="AD91:AG91"/>
    <mergeCell ref="I138:M138"/>
    <mergeCell ref="L60:O60"/>
    <mergeCell ref="I139:J139"/>
    <mergeCell ref="L139:M139"/>
    <mergeCell ref="K145:L145"/>
    <mergeCell ref="K146:L146"/>
    <mergeCell ref="K147:L1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F38"/>
  <sheetViews>
    <sheetView zoomScale="115" zoomScaleNormal="115" workbookViewId="0">
      <selection activeCell="G15" sqref="G15"/>
    </sheetView>
  </sheetViews>
  <sheetFormatPr defaultRowHeight="14.4" x14ac:dyDescent="0.3"/>
  <cols>
    <col min="1" max="3" width="8.88671875" style="7"/>
    <col min="4" max="4" width="10.5546875" style="7" customWidth="1"/>
    <col min="5" max="5" width="8.88671875" style="7"/>
    <col min="6" max="6" width="8.77734375" style="7" customWidth="1"/>
    <col min="7" max="7" width="9.88671875" style="7" customWidth="1"/>
    <col min="8" max="8" width="10.21875" style="7" customWidth="1"/>
    <col min="9" max="9" width="12.44140625" style="7" bestFit="1" customWidth="1"/>
    <col min="10" max="11" width="8.88671875" style="7"/>
    <col min="12" max="12" width="9.44140625" style="7" bestFit="1" customWidth="1"/>
    <col min="13" max="13" width="15.33203125" style="7" customWidth="1"/>
    <col min="14" max="18" width="8.88671875" style="7"/>
    <col min="19" max="19" width="12" style="7" bestFit="1" customWidth="1"/>
    <col min="20" max="20" width="9" style="7" bestFit="1" customWidth="1"/>
    <col min="21" max="16384" width="8.88671875" style="7"/>
  </cols>
  <sheetData>
    <row r="2" spans="3:32" x14ac:dyDescent="0.3">
      <c r="I2" s="45" t="s">
        <v>15</v>
      </c>
      <c r="J2" s="46"/>
      <c r="K2" s="46"/>
      <c r="L2" s="47"/>
      <c r="M2" s="40" t="s">
        <v>14</v>
      </c>
      <c r="N2" s="40"/>
      <c r="O2" s="40"/>
      <c r="P2" s="40"/>
      <c r="Z2" s="2"/>
      <c r="AA2" s="2"/>
      <c r="AB2" s="2"/>
      <c r="AC2" s="2"/>
      <c r="AD2" s="2"/>
      <c r="AE2" s="2"/>
      <c r="AF2" s="2"/>
    </row>
    <row r="3" spans="3:32" ht="16.8" x14ac:dyDescent="0.35">
      <c r="C3" s="6" t="s">
        <v>12</v>
      </c>
      <c r="D3" s="6" t="s">
        <v>13</v>
      </c>
      <c r="E3" s="6" t="s">
        <v>8</v>
      </c>
      <c r="F3" s="6" t="s">
        <v>40</v>
      </c>
      <c r="G3" s="6" t="s">
        <v>37</v>
      </c>
      <c r="H3" s="6" t="s">
        <v>36</v>
      </c>
      <c r="I3" s="6" t="s">
        <v>38</v>
      </c>
      <c r="J3" s="6" t="s">
        <v>39</v>
      </c>
      <c r="K3" s="6" t="s">
        <v>0</v>
      </c>
      <c r="L3" s="6" t="s">
        <v>1</v>
      </c>
      <c r="M3" s="11" t="s">
        <v>22</v>
      </c>
      <c r="N3" s="6" t="s">
        <v>39</v>
      </c>
      <c r="O3" s="6" t="s">
        <v>0</v>
      </c>
      <c r="P3" s="6" t="s">
        <v>1</v>
      </c>
      <c r="R3" s="48" t="s">
        <v>41</v>
      </c>
      <c r="S3" s="48"/>
      <c r="T3" s="48"/>
      <c r="U3" s="48"/>
      <c r="Z3" s="41" t="s">
        <v>42</v>
      </c>
      <c r="AA3" s="41"/>
      <c r="AB3" s="41"/>
      <c r="AC3" s="41"/>
      <c r="AD3" s="2"/>
      <c r="AE3" s="2"/>
      <c r="AF3" s="2"/>
    </row>
    <row r="4" spans="3:32" x14ac:dyDescent="0.3">
      <c r="C4" s="8">
        <v>1</v>
      </c>
      <c r="D4" s="8">
        <v>300</v>
      </c>
      <c r="E4" s="8">
        <v>1501</v>
      </c>
      <c r="F4" s="8">
        <f>E4*2*PI()</f>
        <v>9431.0611460765595</v>
      </c>
      <c r="G4" s="8">
        <v>0.498</v>
      </c>
      <c r="H4" s="8">
        <f>G4*SQRT(2)</f>
        <v>0.70427835406180139</v>
      </c>
      <c r="I4" s="8">
        <v>1.0172000000000001</v>
      </c>
      <c r="J4" s="8">
        <f>I4*SQRT(2)</f>
        <v>1.4385380356459125</v>
      </c>
      <c r="K4" s="8">
        <f>S$4*D4+T$4</f>
        <v>1.426828347349463</v>
      </c>
      <c r="L4" s="8">
        <f>K4-J4</f>
        <v>-1.1709688296449583E-2</v>
      </c>
      <c r="M4" s="8">
        <v>2.94</v>
      </c>
      <c r="N4" s="8">
        <f>M4/2</f>
        <v>1.47</v>
      </c>
      <c r="O4" s="8">
        <f>D4*AA$4+AB$4</f>
        <v>1.4689999999999999</v>
      </c>
      <c r="P4" s="8">
        <f>N4-O4</f>
        <v>1.0000000000001119E-3</v>
      </c>
      <c r="R4" s="4" t="s">
        <v>3</v>
      </c>
      <c r="S4" s="8">
        <f t="array" ref="S4:T6">LINEST(J4:J8,D4:D8,1,1)</f>
        <v>4.6889664874042326E-3</v>
      </c>
      <c r="T4" s="8">
        <v>2.0138401128193095E-2</v>
      </c>
      <c r="U4" s="4" t="s">
        <v>5</v>
      </c>
      <c r="Z4" s="4" t="s">
        <v>3</v>
      </c>
      <c r="AA4" s="1">
        <f t="array" ref="AA4:AB6">LINEST(N4:N8,D4:D8,1,1)</f>
        <v>4.6049999999999989E-3</v>
      </c>
      <c r="AB4" s="1">
        <v>8.7500000000000133E-2</v>
      </c>
      <c r="AC4" s="4" t="s">
        <v>5</v>
      </c>
      <c r="AD4" s="2"/>
      <c r="AE4" s="2"/>
      <c r="AF4" s="2"/>
    </row>
    <row r="5" spans="3:32" x14ac:dyDescent="0.3">
      <c r="C5" s="8">
        <v>4</v>
      </c>
      <c r="D5" s="8">
        <v>200</v>
      </c>
      <c r="E5" s="8">
        <v>1501</v>
      </c>
      <c r="F5" s="8">
        <f t="shared" ref="F5:F8" si="0">E5*2*PI()</f>
        <v>9431.0611460765595</v>
      </c>
      <c r="G5" s="8">
        <v>0.498</v>
      </c>
      <c r="H5" s="8">
        <f>G5*SQRT(2)</f>
        <v>0.70427835406180139</v>
      </c>
      <c r="I5" s="8">
        <v>0.68320000000000003</v>
      </c>
      <c r="J5" s="8">
        <f>I5*SQRT(2)</f>
        <v>0.96619070581329869</v>
      </c>
      <c r="K5" s="8">
        <f>S$4*D5+T$4</f>
        <v>0.95793169860903959</v>
      </c>
      <c r="L5" s="8">
        <f>J5-K5</f>
        <v>8.2590072042590945E-3</v>
      </c>
      <c r="M5" s="8">
        <v>2.0099999999999998</v>
      </c>
      <c r="N5" s="8">
        <f t="shared" ref="N5:N8" si="1">M5/2</f>
        <v>1.0049999999999999</v>
      </c>
      <c r="O5" s="8">
        <f>D5*AA$4+AB$4</f>
        <v>1.0085</v>
      </c>
      <c r="P5" s="8">
        <f t="shared" ref="P5:P8" si="2">N5-O5</f>
        <v>-3.5000000000000586E-3</v>
      </c>
      <c r="R5" s="4" t="s">
        <v>2</v>
      </c>
      <c r="S5" s="8">
        <v>3.4887629135077449E-5</v>
      </c>
      <c r="T5" s="8">
        <v>1.157091756661232E-2</v>
      </c>
      <c r="U5" s="4" t="s">
        <v>6</v>
      </c>
      <c r="Z5" s="4" t="s">
        <v>2</v>
      </c>
      <c r="AA5" s="1">
        <v>7.637626158259235E-6</v>
      </c>
      <c r="AB5" s="1">
        <v>2.5331140255949454E-3</v>
      </c>
      <c r="AC5" s="4" t="s">
        <v>6</v>
      </c>
      <c r="AD5" s="2"/>
      <c r="AE5" s="2"/>
      <c r="AF5" s="2"/>
    </row>
    <row r="6" spans="3:32" x14ac:dyDescent="0.3">
      <c r="C6" s="8">
        <v>5</v>
      </c>
      <c r="D6" s="8">
        <v>100</v>
      </c>
      <c r="E6" s="8">
        <v>1501</v>
      </c>
      <c r="F6" s="8">
        <f t="shared" si="0"/>
        <v>9431.0611460765595</v>
      </c>
      <c r="G6" s="8">
        <v>0.496</v>
      </c>
      <c r="H6" s="8">
        <f>G6*SQRT(2)</f>
        <v>0.70144992693705521</v>
      </c>
      <c r="I6" s="8">
        <v>0.33810000000000001</v>
      </c>
      <c r="J6" s="8">
        <f>I6*SQRT(2)</f>
        <v>0.4781456054383435</v>
      </c>
      <c r="K6" s="8">
        <f>S$4*D6+T$4</f>
        <v>0.48903504986861634</v>
      </c>
      <c r="L6" s="8">
        <f>J6-K6</f>
        <v>-1.0889444430272843E-2</v>
      </c>
      <c r="M6" s="8">
        <v>1.1000000000000001</v>
      </c>
      <c r="N6" s="8">
        <f t="shared" si="1"/>
        <v>0.55000000000000004</v>
      </c>
      <c r="O6" s="8">
        <f>D6*AA$4+AB$4</f>
        <v>0.54800000000000004</v>
      </c>
      <c r="P6" s="8">
        <f t="shared" si="2"/>
        <v>2.0000000000000018E-3</v>
      </c>
      <c r="R6" s="4" t="s">
        <v>4</v>
      </c>
      <c r="S6" s="8">
        <v>0.99983395041643675</v>
      </c>
      <c r="T6" s="8">
        <v>1.1032437023009491E-2</v>
      </c>
      <c r="U6" s="4" t="s">
        <v>7</v>
      </c>
      <c r="Z6" s="4" t="s">
        <v>4</v>
      </c>
      <c r="AA6" s="1">
        <v>0.99999174769642851</v>
      </c>
      <c r="AB6" s="1">
        <v>2.4152294576980822E-3</v>
      </c>
      <c r="AC6" s="4" t="s">
        <v>7</v>
      </c>
      <c r="AD6" s="2"/>
      <c r="AE6" s="2"/>
      <c r="AF6" s="2"/>
    </row>
    <row r="7" spans="3:32" x14ac:dyDescent="0.3">
      <c r="C7" s="8">
        <v>7</v>
      </c>
      <c r="D7" s="8">
        <v>400</v>
      </c>
      <c r="E7" s="8">
        <v>1501</v>
      </c>
      <c r="F7" s="8">
        <f t="shared" si="0"/>
        <v>9431.0611460765595</v>
      </c>
      <c r="G7" s="8">
        <v>0.496</v>
      </c>
      <c r="H7" s="8">
        <f>G7*SQRT(2)</f>
        <v>0.70144992693705521</v>
      </c>
      <c r="I7" s="8">
        <v>1.3371999999999999</v>
      </c>
      <c r="J7" s="8">
        <f>I7*SQRT(2)</f>
        <v>1.8910863756053027</v>
      </c>
      <c r="K7" s="8">
        <f>S$4*D7+T$4</f>
        <v>1.8957249960898861</v>
      </c>
      <c r="L7" s="8">
        <f>J7-K7</f>
        <v>-4.6386204845834111E-3</v>
      </c>
      <c r="M7" s="8">
        <v>3.86</v>
      </c>
      <c r="N7" s="8">
        <f t="shared" si="1"/>
        <v>1.93</v>
      </c>
      <c r="O7" s="8">
        <f>D7*AA$4+AB$4</f>
        <v>1.9294999999999998</v>
      </c>
      <c r="P7" s="8">
        <f t="shared" si="2"/>
        <v>5.0000000000016698E-4</v>
      </c>
      <c r="Z7" s="2"/>
      <c r="AA7" s="2"/>
      <c r="AB7" s="2"/>
      <c r="AC7" s="2"/>
      <c r="AD7" s="2"/>
      <c r="AE7" s="2"/>
      <c r="AF7" s="2"/>
    </row>
    <row r="8" spans="3:32" x14ac:dyDescent="0.3">
      <c r="C8" s="8">
        <v>8</v>
      </c>
      <c r="D8" s="8">
        <v>500</v>
      </c>
      <c r="E8" s="8">
        <v>1501</v>
      </c>
      <c r="F8" s="8">
        <f t="shared" si="0"/>
        <v>9431.0611460765595</v>
      </c>
      <c r="G8" s="8">
        <v>0.497</v>
      </c>
      <c r="H8" s="8">
        <f>G8*SQRT(2)</f>
        <v>0.70286414049942825</v>
      </c>
      <c r="I8" s="8">
        <v>1.6689000000000001</v>
      </c>
      <c r="J8" s="8">
        <f>I8*SQRT(2)</f>
        <v>2.3601810142444584</v>
      </c>
      <c r="K8" s="8">
        <f>S$4*D8+T$4</f>
        <v>2.3646216448303092</v>
      </c>
      <c r="L8" s="8">
        <f>J8-K8</f>
        <v>-4.4406305858508688E-3</v>
      </c>
      <c r="M8" s="8">
        <v>4.78</v>
      </c>
      <c r="N8" s="26">
        <f t="shared" si="1"/>
        <v>2.39</v>
      </c>
      <c r="O8" s="26">
        <f>D8*AA$4+AB$4</f>
        <v>2.3899999999999997</v>
      </c>
      <c r="P8" s="8">
        <f t="shared" si="2"/>
        <v>0</v>
      </c>
      <c r="Z8" s="2"/>
      <c r="AA8" s="2"/>
      <c r="AB8" s="2"/>
      <c r="AC8" s="2"/>
      <c r="AD8" s="2"/>
      <c r="AE8" s="2"/>
      <c r="AF8" s="2"/>
    </row>
    <row r="9" spans="3:32" x14ac:dyDescent="0.3">
      <c r="Z9" s="2"/>
      <c r="AA9" s="2"/>
      <c r="AB9" s="2"/>
      <c r="AC9" s="2"/>
      <c r="AD9" s="2"/>
      <c r="AE9" s="2"/>
      <c r="AF9" s="2"/>
    </row>
    <row r="10" spans="3:32" x14ac:dyDescent="0.3">
      <c r="Z10" s="2"/>
      <c r="AA10" s="2"/>
      <c r="AB10" s="2"/>
      <c r="AC10" s="2"/>
      <c r="AD10" s="2"/>
      <c r="AE10" s="2"/>
      <c r="AF10" s="2"/>
    </row>
    <row r="11" spans="3:32" ht="15.6" x14ac:dyDescent="0.3">
      <c r="C11" s="38" t="s">
        <v>51</v>
      </c>
      <c r="D11" s="38"/>
      <c r="E11" s="38"/>
      <c r="F11" s="38"/>
      <c r="G11" s="38"/>
      <c r="I11" s="4" t="s">
        <v>61</v>
      </c>
      <c r="J11" s="1">
        <f>AVERAGE(H4:H8)</f>
        <v>0.70286414049942836</v>
      </c>
      <c r="Z11" s="2"/>
      <c r="AA11" s="2"/>
      <c r="AB11" s="2"/>
      <c r="AC11" s="2"/>
      <c r="AD11" s="2"/>
      <c r="AE11" s="2"/>
      <c r="AF11" s="2"/>
    </row>
    <row r="12" spans="3:32" ht="15.6" x14ac:dyDescent="0.3">
      <c r="C12" s="39" t="s">
        <v>52</v>
      </c>
      <c r="D12" s="39"/>
      <c r="E12" s="2"/>
      <c r="F12" s="40" t="s">
        <v>16</v>
      </c>
      <c r="G12" s="40"/>
      <c r="I12" s="4" t="s">
        <v>62</v>
      </c>
      <c r="J12" s="1">
        <f>_xlfn.STDEV.P(H4:H8)/SQRT(5)</f>
        <v>5.6568542494923597E-4</v>
      </c>
      <c r="Z12" s="2"/>
      <c r="AA12" s="2"/>
      <c r="AB12" s="2"/>
      <c r="AC12" s="2"/>
      <c r="AD12" s="2"/>
      <c r="AE12" s="2"/>
      <c r="AF12" s="2"/>
    </row>
    <row r="13" spans="3:32" ht="15.6" x14ac:dyDescent="0.3">
      <c r="C13" s="30" t="s">
        <v>53</v>
      </c>
      <c r="D13" s="33">
        <f>4*PI()*10^-7</f>
        <v>1.2566370614359173E-6</v>
      </c>
      <c r="E13" s="2"/>
      <c r="F13" s="29" t="s">
        <v>53</v>
      </c>
      <c r="G13" s="33">
        <f>D13</f>
        <v>1.2566370614359173E-6</v>
      </c>
      <c r="Z13" s="2"/>
      <c r="AA13" s="2"/>
      <c r="AB13" s="2"/>
      <c r="AC13" s="2"/>
      <c r="AD13" s="2"/>
      <c r="AE13" s="2"/>
      <c r="AF13" s="2"/>
    </row>
    <row r="14" spans="3:32" ht="15.6" x14ac:dyDescent="0.3">
      <c r="C14" s="30" t="s">
        <v>54</v>
      </c>
      <c r="D14" s="1">
        <f>(S4*D18)/(D19*G19*F4*J11)</f>
        <v>1.1039450756471434E-6</v>
      </c>
      <c r="E14" s="2"/>
      <c r="F14" s="29" t="s">
        <v>54</v>
      </c>
      <c r="G14" s="1">
        <f>(AA4*D18)/(D19*G19*F4*J11)</f>
        <v>1.0841764570105434E-6</v>
      </c>
      <c r="I14" s="4" t="s">
        <v>80</v>
      </c>
      <c r="J14" s="1">
        <v>1</v>
      </c>
      <c r="Z14" s="2"/>
      <c r="AA14" s="2"/>
      <c r="AB14" s="2"/>
      <c r="AC14" s="2"/>
      <c r="AD14" s="2"/>
      <c r="AE14" s="2"/>
      <c r="AF14" s="2"/>
    </row>
    <row r="15" spans="3:32" ht="16.2" x14ac:dyDescent="0.3">
      <c r="C15" s="30" t="s">
        <v>56</v>
      </c>
      <c r="D15" s="1">
        <f>8.3*10^-9</f>
        <v>8.3000000000000015E-9</v>
      </c>
      <c r="E15" s="2"/>
      <c r="F15" s="29" t="s">
        <v>55</v>
      </c>
      <c r="G15" s="1">
        <f>2.1*10^-9</f>
        <v>2.1000000000000002E-9</v>
      </c>
      <c r="I15" s="4" t="s">
        <v>81</v>
      </c>
      <c r="J15" s="1">
        <f>ABS(2*PI()*J14)</f>
        <v>6.2831853071795862</v>
      </c>
      <c r="Z15" s="2"/>
      <c r="AA15" s="2"/>
      <c r="AB15" s="2"/>
      <c r="AC15" s="2"/>
      <c r="AD15" s="2"/>
      <c r="AE15" s="2"/>
      <c r="AF15" s="2"/>
    </row>
    <row r="16" spans="3:32" x14ac:dyDescent="0.3">
      <c r="C16" s="30" t="s">
        <v>57</v>
      </c>
      <c r="D16" s="35">
        <f>ABS(D13-D14)/D13</f>
        <v>0.121508421544004</v>
      </c>
      <c r="E16" s="2"/>
      <c r="F16" s="29" t="s">
        <v>57</v>
      </c>
      <c r="G16" s="35">
        <f>ABS(G13-G14)/G13</f>
        <v>0.13723978841457127</v>
      </c>
      <c r="Z16" s="2"/>
      <c r="AA16" s="2"/>
      <c r="AB16" s="2"/>
      <c r="AC16" s="2"/>
      <c r="AD16" s="2"/>
      <c r="AE16" s="2"/>
      <c r="AF16" s="2"/>
    </row>
    <row r="17" spans="3:32" x14ac:dyDescent="0.3">
      <c r="C17" s="2"/>
      <c r="D17" s="2"/>
      <c r="E17" s="2"/>
      <c r="F17" s="2"/>
      <c r="G17" s="2"/>
      <c r="H17" s="10"/>
      <c r="I17" s="10"/>
      <c r="J17" s="9"/>
      <c r="Z17" s="2"/>
      <c r="AA17" s="2"/>
      <c r="AB17" s="2"/>
      <c r="AC17" s="2"/>
      <c r="AD17" s="2"/>
      <c r="AE17" s="2"/>
      <c r="AF17" s="2"/>
    </row>
    <row r="18" spans="3:32" x14ac:dyDescent="0.3">
      <c r="C18" s="31" t="s">
        <v>21</v>
      </c>
      <c r="D18" s="1">
        <v>0.75</v>
      </c>
      <c r="E18" s="37" t="s">
        <v>59</v>
      </c>
      <c r="F18" s="37"/>
      <c r="G18" s="1">
        <v>4.1000000000000002E-2</v>
      </c>
      <c r="Z18" s="2"/>
      <c r="AA18" s="2"/>
      <c r="AB18" s="2"/>
      <c r="AC18" s="2"/>
      <c r="AD18" s="2"/>
      <c r="AE18" s="2"/>
      <c r="AF18" s="2"/>
    </row>
    <row r="19" spans="3:32" ht="16.2" x14ac:dyDescent="0.3">
      <c r="C19" s="31" t="s">
        <v>19</v>
      </c>
      <c r="D19" s="1">
        <v>364</v>
      </c>
      <c r="E19" s="37" t="s">
        <v>60</v>
      </c>
      <c r="F19" s="37"/>
      <c r="G19" s="62">
        <f>G18^2*PI()/4</f>
        <v>1.3202543126711107E-3</v>
      </c>
      <c r="Z19" s="2"/>
      <c r="AA19" s="2"/>
      <c r="AB19" s="2"/>
      <c r="AC19" s="2"/>
      <c r="AD19" s="2"/>
      <c r="AE19" s="2"/>
      <c r="AF19" s="2"/>
    </row>
    <row r="20" spans="3:32" x14ac:dyDescent="0.3">
      <c r="C20" s="10"/>
      <c r="D20" s="10"/>
      <c r="Z20" s="2"/>
      <c r="AA20" s="2"/>
      <c r="AB20" s="2"/>
      <c r="AC20" s="2"/>
      <c r="AD20" s="2"/>
      <c r="AE20" s="2"/>
      <c r="AF20" s="2"/>
    </row>
    <row r="21" spans="3:32" x14ac:dyDescent="0.3">
      <c r="Z21" s="2"/>
      <c r="AA21" s="2"/>
      <c r="AB21" s="2"/>
      <c r="AC21" s="2"/>
      <c r="AD21" s="2"/>
      <c r="AE21" s="2"/>
      <c r="AF21" s="2"/>
    </row>
    <row r="22" spans="3:32" x14ac:dyDescent="0.3">
      <c r="Z22" s="2"/>
      <c r="AA22" s="2"/>
      <c r="AB22" s="2"/>
      <c r="AC22" s="2"/>
      <c r="AD22" s="2"/>
      <c r="AE22" s="2"/>
      <c r="AF22" s="2"/>
    </row>
    <row r="23" spans="3:32" x14ac:dyDescent="0.3">
      <c r="Z23" s="2"/>
      <c r="AA23" s="2"/>
      <c r="AB23" s="2"/>
      <c r="AC23" s="2"/>
      <c r="AD23" s="2"/>
      <c r="AE23" s="2"/>
      <c r="AF23" s="2"/>
    </row>
    <row r="24" spans="3:32" x14ac:dyDescent="0.3">
      <c r="Z24" s="2"/>
      <c r="AA24" s="2"/>
      <c r="AB24" s="2"/>
      <c r="AC24" s="2"/>
      <c r="AD24" s="2"/>
      <c r="AE24" s="2"/>
      <c r="AF24" s="2"/>
    </row>
    <row r="25" spans="3:32" x14ac:dyDescent="0.3">
      <c r="Z25" s="2"/>
      <c r="AA25" s="2"/>
      <c r="AB25" s="2"/>
      <c r="AC25" s="2"/>
      <c r="AD25" s="2"/>
      <c r="AE25" s="2"/>
      <c r="AF25" s="2"/>
    </row>
    <row r="26" spans="3:32" x14ac:dyDescent="0.3">
      <c r="Z26" s="2"/>
      <c r="AA26" s="2"/>
      <c r="AB26" s="2"/>
      <c r="AC26" s="2"/>
      <c r="AD26" s="2"/>
      <c r="AE26" s="2"/>
      <c r="AF26" s="2"/>
    </row>
    <row r="27" spans="3:32" x14ac:dyDescent="0.3">
      <c r="Z27" s="2"/>
      <c r="AA27" s="2"/>
      <c r="AB27" s="2"/>
      <c r="AC27" s="2"/>
      <c r="AD27" s="2"/>
      <c r="AE27" s="2"/>
      <c r="AF27" s="2"/>
    </row>
    <row r="28" spans="3:32" x14ac:dyDescent="0.3">
      <c r="H28" s="2"/>
      <c r="I28" s="2"/>
      <c r="Z28" s="2"/>
      <c r="AA28" s="2"/>
      <c r="AB28" s="2"/>
      <c r="AC28" s="2"/>
      <c r="AD28" s="2"/>
      <c r="AE28" s="2"/>
      <c r="AF28" s="2"/>
    </row>
    <row r="29" spans="3:32" x14ac:dyDescent="0.3">
      <c r="Z29" s="2"/>
      <c r="AA29" s="2"/>
      <c r="AB29" s="2"/>
      <c r="AC29" s="2"/>
      <c r="AD29" s="2"/>
      <c r="AE29" s="2"/>
      <c r="AF29" s="2"/>
    </row>
    <row r="30" spans="3:32" x14ac:dyDescent="0.3">
      <c r="Z30" s="2"/>
      <c r="AA30" s="2"/>
      <c r="AB30" s="2"/>
      <c r="AC30" s="2"/>
      <c r="AD30" s="2"/>
      <c r="AE30" s="2"/>
      <c r="AF30" s="2"/>
    </row>
    <row r="31" spans="3:32" x14ac:dyDescent="0.3">
      <c r="Z31" s="2"/>
      <c r="AA31" s="2"/>
      <c r="AB31" s="2"/>
      <c r="AC31" s="2"/>
      <c r="AD31" s="2"/>
      <c r="AE31" s="2"/>
      <c r="AF31" s="2"/>
    </row>
    <row r="32" spans="3:32" x14ac:dyDescent="0.3">
      <c r="Z32" s="2"/>
      <c r="AA32" s="2"/>
      <c r="AB32" s="2"/>
      <c r="AC32" s="2"/>
      <c r="AD32" s="2"/>
      <c r="AE32" s="2"/>
      <c r="AF32" s="2"/>
    </row>
    <row r="33" spans="26:32" x14ac:dyDescent="0.3">
      <c r="Z33" s="2"/>
      <c r="AA33" s="2"/>
      <c r="AB33" s="2"/>
      <c r="AC33" s="2"/>
      <c r="AD33" s="2"/>
      <c r="AE33" s="2"/>
      <c r="AF33" s="2"/>
    </row>
    <row r="34" spans="26:32" x14ac:dyDescent="0.3">
      <c r="Z34" s="2"/>
      <c r="AA34" s="2"/>
      <c r="AB34" s="2"/>
      <c r="AC34" s="2"/>
      <c r="AD34" s="2"/>
      <c r="AE34" s="2"/>
      <c r="AF34" s="2"/>
    </row>
    <row r="35" spans="26:32" x14ac:dyDescent="0.3">
      <c r="Z35" s="2"/>
      <c r="AA35" s="2"/>
      <c r="AB35" s="2"/>
      <c r="AC35" s="2"/>
      <c r="AD35" s="2"/>
      <c r="AE35" s="2"/>
      <c r="AF35" s="2"/>
    </row>
    <row r="36" spans="26:32" x14ac:dyDescent="0.3">
      <c r="Z36" s="2"/>
      <c r="AA36" s="2"/>
      <c r="AB36" s="2"/>
      <c r="AC36" s="2"/>
      <c r="AD36" s="2"/>
      <c r="AE36" s="2"/>
      <c r="AF36" s="2"/>
    </row>
    <row r="37" spans="26:32" x14ac:dyDescent="0.3">
      <c r="Z37" s="2"/>
      <c r="AA37" s="2"/>
      <c r="AB37" s="2"/>
      <c r="AC37" s="2"/>
      <c r="AD37" s="2"/>
      <c r="AE37" s="2"/>
      <c r="AF37" s="2"/>
    </row>
    <row r="38" spans="26:32" x14ac:dyDescent="0.3">
      <c r="Z38" s="2"/>
      <c r="AA38" s="2"/>
      <c r="AB38" s="2"/>
      <c r="AC38" s="2"/>
      <c r="AD38" s="2"/>
      <c r="AE38" s="2"/>
      <c r="AF38" s="2"/>
    </row>
  </sheetData>
  <mergeCells count="9">
    <mergeCell ref="E19:F19"/>
    <mergeCell ref="Z3:AC3"/>
    <mergeCell ref="M2:P2"/>
    <mergeCell ref="R3:U3"/>
    <mergeCell ref="I2:L2"/>
    <mergeCell ref="C11:G11"/>
    <mergeCell ref="C12:D12"/>
    <mergeCell ref="F12:G12"/>
    <mergeCell ref="E18:F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E38"/>
  <sheetViews>
    <sheetView topLeftCell="Z1" zoomScaleNormal="100" workbookViewId="0">
      <selection activeCell="AE8" sqref="AE8"/>
    </sheetView>
  </sheetViews>
  <sheetFormatPr defaultRowHeight="14.4" x14ac:dyDescent="0.3"/>
  <cols>
    <col min="1" max="3" width="8.88671875" style="7"/>
    <col min="4" max="4" width="10.5546875" style="7" customWidth="1"/>
    <col min="5" max="5" width="8.88671875" style="7"/>
    <col min="6" max="6" width="8.77734375" style="7" customWidth="1"/>
    <col min="7" max="7" width="9.88671875" style="7" customWidth="1"/>
    <col min="8" max="8" width="10.21875" style="7" customWidth="1"/>
    <col min="9" max="9" width="8.88671875" style="7"/>
    <col min="10" max="10" width="9.88671875" style="7" customWidth="1"/>
    <col min="11" max="11" width="10.6640625" style="7" customWidth="1"/>
    <col min="12" max="12" width="11.33203125" style="7" customWidth="1"/>
    <col min="13" max="13" width="8.88671875" style="7"/>
    <col min="14" max="14" width="15.5546875" style="7" customWidth="1"/>
    <col min="15" max="27" width="8.88671875" style="7"/>
    <col min="28" max="28" width="10" style="7" bestFit="1" customWidth="1"/>
    <col min="29" max="30" width="8.88671875" style="7"/>
    <col min="31" max="31" width="10" style="7" bestFit="1" customWidth="1"/>
    <col min="32" max="16384" width="8.88671875" style="7"/>
  </cols>
  <sheetData>
    <row r="2" spans="2:31" x14ac:dyDescent="0.3">
      <c r="J2" s="39" t="s">
        <v>15</v>
      </c>
      <c r="K2" s="39"/>
      <c r="L2" s="39"/>
      <c r="M2" s="39"/>
      <c r="N2" s="40" t="s">
        <v>14</v>
      </c>
      <c r="O2" s="40"/>
      <c r="P2" s="40"/>
      <c r="Q2" s="40"/>
      <c r="Y2" s="2"/>
      <c r="Z2" s="2"/>
      <c r="AA2" s="2"/>
      <c r="AB2" s="2"/>
      <c r="AC2" s="2"/>
      <c r="AD2" s="2"/>
      <c r="AE2" s="2"/>
    </row>
    <row r="3" spans="2:31" ht="16.8" x14ac:dyDescent="0.35">
      <c r="C3" s="6" t="s">
        <v>12</v>
      </c>
      <c r="D3" s="6" t="s">
        <v>24</v>
      </c>
      <c r="E3" s="6" t="s">
        <v>35</v>
      </c>
      <c r="F3" s="6" t="s">
        <v>8</v>
      </c>
      <c r="G3" s="6" t="s">
        <v>9</v>
      </c>
      <c r="H3" s="6" t="s">
        <v>37</v>
      </c>
      <c r="I3" s="6" t="s">
        <v>36</v>
      </c>
      <c r="J3" s="6" t="s">
        <v>38</v>
      </c>
      <c r="K3" s="6" t="s">
        <v>39</v>
      </c>
      <c r="L3" s="6" t="s">
        <v>0</v>
      </c>
      <c r="M3" s="6" t="s">
        <v>1</v>
      </c>
      <c r="N3" s="11" t="s">
        <v>22</v>
      </c>
      <c r="O3" s="6" t="s">
        <v>39</v>
      </c>
      <c r="P3" s="6" t="s">
        <v>0</v>
      </c>
      <c r="Q3" s="6" t="s">
        <v>1</v>
      </c>
      <c r="S3" s="59" t="s">
        <v>82</v>
      </c>
      <c r="T3" s="8">
        <v>1E-3</v>
      </c>
      <c r="AC3" s="2"/>
      <c r="AD3" s="2"/>
      <c r="AE3" s="2"/>
    </row>
    <row r="4" spans="2:31" ht="15.6" x14ac:dyDescent="0.3">
      <c r="C4" s="8">
        <v>1</v>
      </c>
      <c r="D4" s="8">
        <v>4.1000000000000002E-2</v>
      </c>
      <c r="E4" s="8">
        <f>PI()*D4^2/4</f>
        <v>1.3202543126711107E-3</v>
      </c>
      <c r="F4" s="8">
        <v>1501</v>
      </c>
      <c r="G4" s="8">
        <f>F4*2*PI()</f>
        <v>9431.0611460765595</v>
      </c>
      <c r="H4" s="8">
        <v>0.497</v>
      </c>
      <c r="I4" s="8">
        <f>H4*SQRT(2)</f>
        <v>0.70286414049942825</v>
      </c>
      <c r="J4" s="8">
        <v>1.0104</v>
      </c>
      <c r="K4" s="8">
        <f>J4*SQRT(2)</f>
        <v>1.4289213834217753</v>
      </c>
      <c r="L4" s="8">
        <f>C$9*E4+D$9</f>
        <v>1.4704438063934679</v>
      </c>
      <c r="M4" s="8">
        <f>L4-K4</f>
        <v>4.1522422971692619E-2</v>
      </c>
      <c r="N4" s="8">
        <v>2.9</v>
      </c>
      <c r="O4" s="8">
        <f>N4/2</f>
        <v>1.45</v>
      </c>
      <c r="P4" s="8">
        <f>E4*P$9+Q$9</f>
        <v>1.4893872701099498</v>
      </c>
      <c r="Q4" s="8">
        <f>O4-P4</f>
        <v>-3.9387270109949801E-2</v>
      </c>
      <c r="S4" s="4" t="s">
        <v>80</v>
      </c>
      <c r="T4" s="1">
        <v>1</v>
      </c>
      <c r="AA4" s="38" t="s">
        <v>51</v>
      </c>
      <c r="AB4" s="38"/>
      <c r="AC4" s="38"/>
      <c r="AD4" s="38"/>
      <c r="AE4" s="38"/>
    </row>
    <row r="5" spans="2:31" ht="16.2" x14ac:dyDescent="0.3">
      <c r="C5" s="8">
        <v>2</v>
      </c>
      <c r="D5" s="8">
        <v>3.3000000000000002E-2</v>
      </c>
      <c r="E5" s="8">
        <f t="shared" ref="E5:E6" si="0">PI()*D5^2/4</f>
        <v>8.5529859993982123E-4</v>
      </c>
      <c r="F5" s="8">
        <v>1501</v>
      </c>
      <c r="G5" s="8">
        <f>F5*2*PI()</f>
        <v>9431.0611460765595</v>
      </c>
      <c r="H5" s="8">
        <v>0.497</v>
      </c>
      <c r="I5" s="8">
        <f>H5*SQRT(2)</f>
        <v>0.70286414049942825</v>
      </c>
      <c r="J5" s="8">
        <v>0.66359999999999997</v>
      </c>
      <c r="K5" s="8">
        <f>J5*SQRT(2)</f>
        <v>0.93847211999078595</v>
      </c>
      <c r="L5" s="8">
        <f>C$9*E5+D$9</f>
        <v>0.837430872807852</v>
      </c>
      <c r="M5" s="8">
        <f>K5-L5</f>
        <v>0.10104124718293395</v>
      </c>
      <c r="N5" s="8">
        <v>1.93</v>
      </c>
      <c r="O5" s="8">
        <f>N5/2</f>
        <v>0.96499999999999997</v>
      </c>
      <c r="P5" s="8">
        <f t="shared" ref="P5:P6" si="1">E5*P$9+Q$9</f>
        <v>0.86915446377602934</v>
      </c>
      <c r="Q5" s="8">
        <f>O5-P5</f>
        <v>9.5845536223970629E-2</v>
      </c>
      <c r="S5" s="4" t="s">
        <v>81</v>
      </c>
      <c r="T5" s="1">
        <f>ABS(2*PI()*T4)</f>
        <v>6.2831853071795862</v>
      </c>
      <c r="AA5" s="39" t="s">
        <v>52</v>
      </c>
      <c r="AB5" s="39"/>
      <c r="AC5" s="2"/>
      <c r="AD5" s="40" t="s">
        <v>16</v>
      </c>
      <c r="AE5" s="40"/>
    </row>
    <row r="6" spans="2:31" ht="15.6" x14ac:dyDescent="0.3">
      <c r="C6" s="8">
        <v>3</v>
      </c>
      <c r="D6" s="8">
        <v>2.5999999999999999E-2</v>
      </c>
      <c r="E6" s="8">
        <f t="shared" si="0"/>
        <v>5.3092915845667494E-4</v>
      </c>
      <c r="F6" s="8">
        <v>1501</v>
      </c>
      <c r="G6" s="8">
        <f>F6*2*PI()</f>
        <v>9431.0611460765595</v>
      </c>
      <c r="H6" s="8">
        <v>0.497</v>
      </c>
      <c r="I6" s="8">
        <f>H6*SQRT(2)</f>
        <v>0.70286414049942825</v>
      </c>
      <c r="J6" s="8">
        <v>0.23780000000000001</v>
      </c>
      <c r="K6" s="8">
        <f>J6*SQRT(2)</f>
        <v>0.33629998513232207</v>
      </c>
      <c r="L6" s="8">
        <f>C$9*E6+D$9</f>
        <v>0.39581880934356239</v>
      </c>
      <c r="M6" s="8">
        <f>K6-L6</f>
        <v>-5.9518824211240329E-2</v>
      </c>
      <c r="N6" s="8">
        <v>0.76</v>
      </c>
      <c r="O6" s="8">
        <f>N6/2</f>
        <v>0.38</v>
      </c>
      <c r="P6" s="8">
        <f t="shared" si="1"/>
        <v>0.43645826611402028</v>
      </c>
      <c r="Q6" s="8">
        <f>O6-P6</f>
        <v>-5.6458266114020272E-2</v>
      </c>
      <c r="AA6" s="30" t="s">
        <v>53</v>
      </c>
      <c r="AB6" s="33">
        <f>4*PI()*10^-7</f>
        <v>1.2566370614359173E-6</v>
      </c>
      <c r="AC6" s="2"/>
      <c r="AD6" s="29" t="s">
        <v>53</v>
      </c>
      <c r="AE6" s="33">
        <f>AB6</f>
        <v>1.2566370614359173E-6</v>
      </c>
    </row>
    <row r="7" spans="2:31" ht="15.6" x14ac:dyDescent="0.3">
      <c r="Y7" s="2"/>
      <c r="Z7" s="2"/>
      <c r="AA7" s="30" t="s">
        <v>54</v>
      </c>
      <c r="AB7" s="34">
        <f>(C9*AB11)/(AB12*AE11*G4*I4)</f>
        <v>1.410612322348944E-6</v>
      </c>
      <c r="AC7" s="2"/>
      <c r="AD7" s="29" t="s">
        <v>54</v>
      </c>
      <c r="AE7" s="34">
        <f>(P9*AB11)/(AB12*AE11*G4*I4)</f>
        <v>1.3821329595651333E-6</v>
      </c>
    </row>
    <row r="8" spans="2:31" ht="15.6" x14ac:dyDescent="0.3">
      <c r="B8" s="48" t="s">
        <v>68</v>
      </c>
      <c r="C8" s="48"/>
      <c r="D8" s="48"/>
      <c r="E8" s="48"/>
      <c r="G8" s="10"/>
      <c r="H8" s="10"/>
      <c r="O8" s="41" t="s">
        <v>69</v>
      </c>
      <c r="P8" s="41"/>
      <c r="Q8" s="41"/>
      <c r="R8" s="41"/>
      <c r="Y8" s="2"/>
      <c r="Z8" s="2"/>
      <c r="AA8" s="30" t="s">
        <v>56</v>
      </c>
      <c r="AB8" s="1">
        <f>2.297*10^-7</f>
        <v>2.297E-7</v>
      </c>
      <c r="AC8" s="2"/>
      <c r="AD8" s="29" t="s">
        <v>55</v>
      </c>
      <c r="AE8" s="1">
        <f>2.179*10^-7</f>
        <v>2.1789999999999999E-7</v>
      </c>
    </row>
    <row r="9" spans="2:31" x14ac:dyDescent="0.3">
      <c r="B9" s="4" t="s">
        <v>3</v>
      </c>
      <c r="C9" s="8">
        <f t="array" ref="C9:D11">LINEST(K4:K6,E4:E6,1,1)</f>
        <v>1361.4478029898978</v>
      </c>
      <c r="D9" s="8">
        <v>-0.32701352698055308</v>
      </c>
      <c r="E9" s="4" t="s">
        <v>5</v>
      </c>
      <c r="O9" s="4" t="s">
        <v>3</v>
      </c>
      <c r="P9" s="1">
        <f t="array" ref="P9:Q11">LINEST(O4:O6,E4:E6,1,1)</f>
        <v>1333.9610404838063</v>
      </c>
      <c r="Q9" s="1">
        <v>-0.27178054652403749</v>
      </c>
      <c r="R9" s="4" t="s">
        <v>5</v>
      </c>
      <c r="Y9" s="2"/>
      <c r="Z9" s="2"/>
      <c r="AA9" s="30" t="s">
        <v>57</v>
      </c>
      <c r="AB9" s="35">
        <f>ABS(AB6-AB7)/AB6</f>
        <v>0.12252961944086253</v>
      </c>
      <c r="AC9" s="2"/>
      <c r="AD9" s="29" t="s">
        <v>57</v>
      </c>
      <c r="AE9" s="35">
        <f>ABS(AE6-AE7)/AE6</f>
        <v>9.9866462625108329E-2</v>
      </c>
    </row>
    <row r="10" spans="2:31" x14ac:dyDescent="0.3">
      <c r="B10" s="4" t="s">
        <v>2</v>
      </c>
      <c r="C10" s="8">
        <v>221.71924060261532</v>
      </c>
      <c r="D10" s="8">
        <v>0.21253046649528259</v>
      </c>
      <c r="E10" s="4" t="s">
        <v>6</v>
      </c>
      <c r="G10" s="10"/>
      <c r="H10" s="10"/>
      <c r="O10" s="4" t="s">
        <v>2</v>
      </c>
      <c r="P10" s="1">
        <v>210.31806414913885</v>
      </c>
      <c r="Q10" s="1">
        <v>0.20160179226896557</v>
      </c>
      <c r="R10" s="4" t="s">
        <v>6</v>
      </c>
      <c r="Y10" s="2"/>
      <c r="Z10" s="2"/>
      <c r="AA10" s="2"/>
      <c r="AB10" s="2"/>
      <c r="AC10" s="2"/>
      <c r="AD10" s="2"/>
      <c r="AE10" s="2"/>
    </row>
    <row r="11" spans="2:31" x14ac:dyDescent="0.3">
      <c r="B11" s="4" t="s">
        <v>4</v>
      </c>
      <c r="C11" s="8">
        <v>0.9741633292223274</v>
      </c>
      <c r="D11" s="8">
        <v>0.12440231379364075</v>
      </c>
      <c r="E11" s="4" t="s">
        <v>7</v>
      </c>
      <c r="K11" s="10"/>
      <c r="O11" s="4" t="s">
        <v>4</v>
      </c>
      <c r="P11" s="1">
        <v>0.97574489562508859</v>
      </c>
      <c r="Q11" s="1">
        <v>0.11800533747833708</v>
      </c>
      <c r="R11" s="4" t="s">
        <v>7</v>
      </c>
      <c r="Y11" s="2"/>
      <c r="Z11" s="2"/>
      <c r="AA11" s="31" t="s">
        <v>21</v>
      </c>
      <c r="AB11" s="1">
        <v>0.75</v>
      </c>
      <c r="AC11" s="37" t="s">
        <v>58</v>
      </c>
      <c r="AD11" s="37"/>
      <c r="AE11" s="1">
        <v>300</v>
      </c>
    </row>
    <row r="12" spans="2:31" x14ac:dyDescent="0.3">
      <c r="Y12" s="2"/>
      <c r="Z12" s="2"/>
      <c r="AA12" s="31" t="s">
        <v>19</v>
      </c>
      <c r="AB12" s="1">
        <v>364</v>
      </c>
      <c r="AC12" s="2"/>
      <c r="AD12" s="2"/>
      <c r="AE12" s="2"/>
    </row>
    <row r="13" spans="2:31" x14ac:dyDescent="0.3">
      <c r="Y13" s="2"/>
      <c r="Z13" s="2"/>
      <c r="AA13" s="2"/>
      <c r="AB13" s="2"/>
    </row>
    <row r="14" spans="2:31" x14ac:dyDescent="0.3">
      <c r="Y14" s="2"/>
      <c r="Z14" s="2"/>
      <c r="AA14" s="2"/>
      <c r="AB14" s="2"/>
    </row>
    <row r="15" spans="2:31" x14ac:dyDescent="0.3">
      <c r="Y15" s="2"/>
      <c r="Z15" s="2"/>
      <c r="AA15" s="2"/>
      <c r="AB15" s="2"/>
      <c r="AC15" s="2"/>
      <c r="AD15" s="2"/>
      <c r="AE15" s="2"/>
    </row>
    <row r="16" spans="2:31" x14ac:dyDescent="0.3">
      <c r="Y16" s="2"/>
      <c r="Z16" s="2"/>
      <c r="AA16" s="2"/>
      <c r="AB16" s="2"/>
      <c r="AC16" s="2"/>
      <c r="AD16" s="2"/>
      <c r="AE16" s="2"/>
    </row>
    <row r="17" spans="25:31" x14ac:dyDescent="0.3">
      <c r="Y17" s="2"/>
      <c r="Z17" s="2"/>
      <c r="AA17" s="2"/>
      <c r="AB17" s="2"/>
      <c r="AC17" s="2"/>
      <c r="AD17" s="2"/>
      <c r="AE17" s="2"/>
    </row>
    <row r="18" spans="25:31" x14ac:dyDescent="0.3">
      <c r="Y18" s="2"/>
      <c r="Z18" s="2"/>
      <c r="AA18" s="2"/>
      <c r="AB18" s="2"/>
      <c r="AC18" s="2"/>
      <c r="AD18" s="2"/>
      <c r="AE18" s="2"/>
    </row>
    <row r="19" spans="25:31" x14ac:dyDescent="0.3">
      <c r="Y19" s="2"/>
      <c r="Z19" s="2"/>
      <c r="AA19" s="2"/>
      <c r="AB19" s="2"/>
      <c r="AC19" s="2"/>
      <c r="AD19" s="2"/>
      <c r="AE19" s="2"/>
    </row>
    <row r="20" spans="25:31" x14ac:dyDescent="0.3">
      <c r="Y20" s="2"/>
      <c r="Z20" s="2"/>
      <c r="AA20" s="2"/>
      <c r="AB20" s="2"/>
      <c r="AC20" s="2"/>
      <c r="AD20" s="2"/>
      <c r="AE20" s="2"/>
    </row>
    <row r="21" spans="25:31" x14ac:dyDescent="0.3">
      <c r="Y21" s="2"/>
      <c r="Z21" s="2"/>
      <c r="AA21" s="2"/>
      <c r="AB21" s="2"/>
      <c r="AC21" s="2"/>
      <c r="AD21" s="2"/>
      <c r="AE21" s="2"/>
    </row>
    <row r="22" spans="25:31" x14ac:dyDescent="0.3">
      <c r="Y22" s="2"/>
      <c r="Z22" s="2"/>
      <c r="AA22" s="2"/>
      <c r="AB22" s="2"/>
      <c r="AC22" s="2"/>
      <c r="AD22" s="2"/>
      <c r="AE22" s="2"/>
    </row>
    <row r="23" spans="25:31" x14ac:dyDescent="0.3">
      <c r="Y23" s="2"/>
      <c r="Z23" s="2"/>
      <c r="AA23" s="2"/>
      <c r="AB23" s="2"/>
      <c r="AC23" s="2"/>
      <c r="AD23" s="2"/>
      <c r="AE23" s="2"/>
    </row>
    <row r="24" spans="25:31" x14ac:dyDescent="0.3">
      <c r="Y24" s="2"/>
      <c r="Z24" s="2"/>
      <c r="AA24" s="2"/>
      <c r="AB24" s="2"/>
      <c r="AC24" s="2"/>
      <c r="AD24" s="2"/>
      <c r="AE24" s="2"/>
    </row>
    <row r="25" spans="25:31" x14ac:dyDescent="0.3">
      <c r="Y25" s="2"/>
      <c r="Z25" s="2"/>
      <c r="AA25" s="2"/>
      <c r="AB25" s="2"/>
      <c r="AC25" s="2"/>
      <c r="AD25" s="2"/>
      <c r="AE25" s="2"/>
    </row>
    <row r="26" spans="25:31" x14ac:dyDescent="0.3">
      <c r="Y26" s="2"/>
      <c r="Z26" s="2"/>
      <c r="AA26" s="2"/>
      <c r="AB26" s="2"/>
      <c r="AC26" s="2"/>
      <c r="AD26" s="2"/>
      <c r="AE26" s="2"/>
    </row>
    <row r="27" spans="25:31" x14ac:dyDescent="0.3">
      <c r="Y27" s="2"/>
      <c r="Z27" s="2"/>
      <c r="AA27" s="2"/>
      <c r="AB27" s="2"/>
      <c r="AC27" s="2"/>
      <c r="AD27" s="2"/>
      <c r="AE27" s="2"/>
    </row>
    <row r="28" spans="25:31" x14ac:dyDescent="0.3">
      <c r="Y28" s="2"/>
      <c r="Z28" s="2"/>
      <c r="AA28" s="2"/>
      <c r="AB28" s="2"/>
      <c r="AC28" s="2"/>
      <c r="AD28" s="2"/>
      <c r="AE28" s="2"/>
    </row>
    <row r="29" spans="25:31" x14ac:dyDescent="0.3">
      <c r="Y29" s="2"/>
      <c r="Z29" s="2"/>
      <c r="AA29" s="2"/>
      <c r="AB29" s="2"/>
      <c r="AC29" s="2"/>
      <c r="AD29" s="2"/>
      <c r="AE29" s="2"/>
    </row>
    <row r="30" spans="25:31" x14ac:dyDescent="0.3">
      <c r="Y30" s="2"/>
      <c r="Z30" s="2"/>
      <c r="AA30" s="2"/>
      <c r="AB30" s="2"/>
      <c r="AC30" s="2"/>
      <c r="AD30" s="2"/>
      <c r="AE30" s="2"/>
    </row>
    <row r="31" spans="25:31" x14ac:dyDescent="0.3">
      <c r="Y31" s="2"/>
      <c r="Z31" s="2"/>
      <c r="AA31" s="2"/>
      <c r="AB31" s="2"/>
      <c r="AC31" s="2"/>
      <c r="AD31" s="2"/>
      <c r="AE31" s="2"/>
    </row>
    <row r="32" spans="25:31" x14ac:dyDescent="0.3">
      <c r="Y32" s="2"/>
      <c r="Z32" s="2"/>
      <c r="AA32" s="2"/>
      <c r="AB32" s="2"/>
      <c r="AC32" s="2"/>
      <c r="AD32" s="2"/>
      <c r="AE32" s="2"/>
    </row>
    <row r="33" spans="25:31" x14ac:dyDescent="0.3">
      <c r="Y33" s="2"/>
      <c r="Z33" s="2"/>
      <c r="AA33" s="2"/>
      <c r="AB33" s="2"/>
      <c r="AC33" s="2"/>
      <c r="AD33" s="2"/>
      <c r="AE33" s="2"/>
    </row>
    <row r="34" spans="25:31" x14ac:dyDescent="0.3">
      <c r="Y34" s="2"/>
      <c r="Z34" s="2"/>
      <c r="AA34" s="2"/>
      <c r="AB34" s="2"/>
      <c r="AC34" s="2"/>
      <c r="AD34" s="2"/>
      <c r="AE34" s="2"/>
    </row>
    <row r="35" spans="25:31" x14ac:dyDescent="0.3">
      <c r="Y35" s="2"/>
      <c r="Z35" s="2"/>
      <c r="AA35" s="2"/>
      <c r="AB35" s="2"/>
      <c r="AC35" s="2"/>
      <c r="AD35" s="2"/>
      <c r="AE35" s="2"/>
    </row>
    <row r="36" spans="25:31" x14ac:dyDescent="0.3">
      <c r="Y36" s="2"/>
      <c r="Z36" s="2"/>
      <c r="AA36" s="2"/>
      <c r="AB36" s="2"/>
      <c r="AC36" s="2"/>
      <c r="AD36" s="2"/>
      <c r="AE36" s="2"/>
    </row>
    <row r="37" spans="25:31" x14ac:dyDescent="0.3">
      <c r="Y37" s="2"/>
      <c r="Z37" s="2"/>
      <c r="AA37" s="2"/>
      <c r="AB37" s="2"/>
      <c r="AC37" s="2"/>
      <c r="AD37" s="2"/>
      <c r="AE37" s="2"/>
    </row>
    <row r="38" spans="25:31" x14ac:dyDescent="0.3">
      <c r="Y38" s="2"/>
      <c r="Z38" s="2"/>
      <c r="AA38" s="2"/>
      <c r="AB38" s="2"/>
      <c r="AC38" s="2"/>
      <c r="AD38" s="2"/>
      <c r="AE38" s="2"/>
    </row>
  </sheetData>
  <mergeCells count="8">
    <mergeCell ref="AC11:AD11"/>
    <mergeCell ref="J2:M2"/>
    <mergeCell ref="N2:Q2"/>
    <mergeCell ref="B8:E8"/>
    <mergeCell ref="O8:R8"/>
    <mergeCell ref="AA4:AE4"/>
    <mergeCell ref="AA5:AB5"/>
    <mergeCell ref="AD5:AE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A43"/>
  <sheetViews>
    <sheetView topLeftCell="C2" zoomScale="115" zoomScaleNormal="115" workbookViewId="0">
      <selection activeCell="H16" sqref="H16"/>
    </sheetView>
  </sheetViews>
  <sheetFormatPr defaultColWidth="8.77734375" defaultRowHeight="14.4" x14ac:dyDescent="0.3"/>
  <cols>
    <col min="1" max="4" width="8.77734375" style="7"/>
    <col min="5" max="5" width="12.33203125" style="7" bestFit="1" customWidth="1"/>
    <col min="6" max="6" width="10.44140625" style="7" customWidth="1"/>
    <col min="7" max="7" width="8.77734375" style="7"/>
    <col min="8" max="8" width="9.88671875" style="7" customWidth="1"/>
    <col min="9" max="9" width="9.77734375" style="7" customWidth="1"/>
    <col min="10" max="10" width="13.21875" style="7" customWidth="1"/>
    <col min="11" max="13" width="8.77734375" style="7"/>
    <col min="14" max="14" width="16.44140625" style="7" customWidth="1"/>
    <col min="15" max="21" width="8.77734375" style="7"/>
    <col min="22" max="22" width="9.6640625" style="7" bestFit="1" customWidth="1"/>
    <col min="23" max="16384" width="8.77734375" style="7"/>
  </cols>
  <sheetData>
    <row r="2" spans="3:33" x14ac:dyDescent="0.3">
      <c r="J2" s="39" t="s">
        <v>15</v>
      </c>
      <c r="K2" s="39"/>
      <c r="L2" s="39"/>
      <c r="M2" s="39"/>
      <c r="N2" s="40" t="s">
        <v>14</v>
      </c>
      <c r="O2" s="40"/>
      <c r="P2" s="40"/>
      <c r="Q2" s="40"/>
      <c r="AE2" s="2"/>
    </row>
    <row r="3" spans="3:33" ht="16.8" x14ac:dyDescent="0.35">
      <c r="C3" s="6" t="s">
        <v>49</v>
      </c>
      <c r="D3" s="6" t="s">
        <v>48</v>
      </c>
      <c r="E3" s="6" t="s">
        <v>50</v>
      </c>
      <c r="F3" s="6" t="s">
        <v>8</v>
      </c>
      <c r="G3" s="6" t="s">
        <v>40</v>
      </c>
      <c r="H3" s="6" t="s">
        <v>37</v>
      </c>
      <c r="I3" s="6" t="s">
        <v>36</v>
      </c>
      <c r="J3" s="6" t="s">
        <v>38</v>
      </c>
      <c r="K3" s="6" t="s">
        <v>39</v>
      </c>
      <c r="L3" s="6" t="s">
        <v>0</v>
      </c>
      <c r="M3" s="6" t="s">
        <v>1</v>
      </c>
      <c r="N3" s="11" t="s">
        <v>22</v>
      </c>
      <c r="O3" s="6" t="s">
        <v>39</v>
      </c>
      <c r="P3" s="6" t="s">
        <v>0</v>
      </c>
      <c r="Q3" s="6" t="s">
        <v>1</v>
      </c>
      <c r="U3" s="48" t="s">
        <v>66</v>
      </c>
      <c r="V3" s="48"/>
      <c r="W3" s="48"/>
      <c r="X3" s="48"/>
      <c r="AD3" s="41" t="s">
        <v>67</v>
      </c>
      <c r="AE3" s="41"/>
      <c r="AF3" s="41"/>
      <c r="AG3" s="41"/>
    </row>
    <row r="4" spans="3:33" x14ac:dyDescent="0.3">
      <c r="C4" s="8">
        <v>0</v>
      </c>
      <c r="D4" s="8">
        <f t="shared" ref="D4:D10" si="0">C4*(PI()/180)</f>
        <v>0</v>
      </c>
      <c r="E4" s="8">
        <f t="shared" ref="E4:E9" si="1">COS(D4)</f>
        <v>1</v>
      </c>
      <c r="F4" s="8">
        <v>1496</v>
      </c>
      <c r="G4" s="8">
        <f t="shared" ref="G4:G10" si="2">F4*2*PI()</f>
        <v>9399.6452195406619</v>
      </c>
      <c r="H4" s="8">
        <v>0.495</v>
      </c>
      <c r="I4" s="8">
        <f t="shared" ref="I4:I10" si="3">H4*SQRT(2)</f>
        <v>0.70003571337468207</v>
      </c>
      <c r="J4" s="8">
        <v>0.1183</v>
      </c>
      <c r="K4" s="8">
        <f t="shared" ref="K4:K10" si="4">J4*SQRT(2)</f>
        <v>0.16730146442873717</v>
      </c>
      <c r="L4" s="8">
        <f t="shared" ref="L4:L10" si="5">V$4*E4+W$4</f>
        <v>0.16619688961248241</v>
      </c>
      <c r="M4" s="8">
        <f t="shared" ref="M4:M10" si="6">L4-K4</f>
        <v>-1.1045748162547553E-3</v>
      </c>
      <c r="N4" s="8">
        <v>0.372</v>
      </c>
      <c r="O4" s="8">
        <f t="shared" ref="O4:O10" si="7">N4/2</f>
        <v>0.186</v>
      </c>
      <c r="P4" s="8">
        <f t="shared" ref="P4:P10" si="8">E4*AE$4+AF$4</f>
        <v>0.17775607118145115</v>
      </c>
      <c r="Q4" s="8">
        <f t="shared" ref="Q4:Q10" si="9">O4-P4</f>
        <v>8.2439288185488513E-3</v>
      </c>
      <c r="U4" s="4" t="s">
        <v>3</v>
      </c>
      <c r="V4" s="26">
        <f t="array" ref="V4:W6">LINEST(K4:K10,E4:E10,1,1)</f>
        <v>0.16148758892340295</v>
      </c>
      <c r="W4" s="26">
        <v>4.7093006890794459E-3</v>
      </c>
      <c r="X4" s="4" t="s">
        <v>5</v>
      </c>
      <c r="AD4" s="4" t="s">
        <v>3</v>
      </c>
      <c r="AE4" s="12">
        <f t="array" ref="AE4:AF6">LINEST(O4:O10,E4:E10,1,1)</f>
        <v>0.15332111340295418</v>
      </c>
      <c r="AF4" s="12">
        <v>2.4434957778496968E-2</v>
      </c>
      <c r="AG4" s="4" t="s">
        <v>5</v>
      </c>
    </row>
    <row r="5" spans="3:33" x14ac:dyDescent="0.3">
      <c r="C5" s="8">
        <v>15</v>
      </c>
      <c r="D5" s="8">
        <f t="shared" si="0"/>
        <v>0.26179938779914941</v>
      </c>
      <c r="E5" s="8">
        <f t="shared" si="1"/>
        <v>0.96592582628906831</v>
      </c>
      <c r="F5" s="8">
        <v>1496</v>
      </c>
      <c r="G5" s="8">
        <f t="shared" si="2"/>
        <v>9399.6452195406619</v>
      </c>
      <c r="H5" s="8">
        <v>0.495</v>
      </c>
      <c r="I5" s="8">
        <f t="shared" si="3"/>
        <v>0.70003571337468207</v>
      </c>
      <c r="J5" s="8">
        <v>0.1145</v>
      </c>
      <c r="K5" s="8">
        <f t="shared" si="4"/>
        <v>0.16192745289171939</v>
      </c>
      <c r="L5" s="8">
        <f t="shared" si="5"/>
        <v>0.16069433345534684</v>
      </c>
      <c r="M5" s="8">
        <f t="shared" si="6"/>
        <v>-1.2331194363725539E-3</v>
      </c>
      <c r="N5" s="8">
        <v>0.34</v>
      </c>
      <c r="O5" s="8">
        <f t="shared" si="7"/>
        <v>0.17</v>
      </c>
      <c r="P5" s="8">
        <f t="shared" si="8"/>
        <v>0.17253178092980542</v>
      </c>
      <c r="Q5" s="8">
        <f t="shared" si="9"/>
        <v>-2.5317809298054106E-3</v>
      </c>
      <c r="U5" s="4" t="s">
        <v>2</v>
      </c>
      <c r="V5" s="61">
        <v>2.2647474525146478E-3</v>
      </c>
      <c r="W5" s="26">
        <v>1.6014182813480662E-3</v>
      </c>
      <c r="X5" s="4" t="s">
        <v>6</v>
      </c>
      <c r="AD5" s="4" t="s">
        <v>2</v>
      </c>
      <c r="AE5" s="12">
        <v>5.4876044141283489E-3</v>
      </c>
      <c r="AF5" s="12">
        <v>3.8803222936993871E-3</v>
      </c>
      <c r="AG5" s="4" t="s">
        <v>6</v>
      </c>
    </row>
    <row r="6" spans="3:33" x14ac:dyDescent="0.3">
      <c r="C6" s="8">
        <v>30</v>
      </c>
      <c r="D6" s="8">
        <f t="shared" si="0"/>
        <v>0.52359877559829882</v>
      </c>
      <c r="E6" s="8">
        <f t="shared" si="1"/>
        <v>0.86602540378443871</v>
      </c>
      <c r="F6" s="8">
        <v>1496</v>
      </c>
      <c r="G6" s="8">
        <f t="shared" si="2"/>
        <v>9399.6452195406619</v>
      </c>
      <c r="H6" s="8">
        <v>0.495</v>
      </c>
      <c r="I6" s="8">
        <f t="shared" si="3"/>
        <v>0.70003571337468207</v>
      </c>
      <c r="J6" s="8">
        <v>0.1022</v>
      </c>
      <c r="K6" s="8">
        <f t="shared" si="4"/>
        <v>0.14453262607453032</v>
      </c>
      <c r="L6" s="8">
        <f t="shared" si="5"/>
        <v>0.14456165509264496</v>
      </c>
      <c r="M6" s="8">
        <f t="shared" si="6"/>
        <v>2.9029018114634653E-5</v>
      </c>
      <c r="N6" s="8">
        <v>0.30399999999999999</v>
      </c>
      <c r="O6" s="8">
        <f t="shared" si="7"/>
        <v>0.152</v>
      </c>
      <c r="P6" s="8">
        <f t="shared" si="8"/>
        <v>0.15721493692197008</v>
      </c>
      <c r="Q6" s="8">
        <f t="shared" si="9"/>
        <v>-5.214936921970087E-3</v>
      </c>
      <c r="U6" s="4" t="s">
        <v>4</v>
      </c>
      <c r="V6" s="27">
        <v>0.99901756373167316</v>
      </c>
      <c r="W6" s="26">
        <v>2.1016795013722852E-3</v>
      </c>
      <c r="X6" s="4" t="s">
        <v>7</v>
      </c>
      <c r="AD6" s="4" t="s">
        <v>4</v>
      </c>
      <c r="AE6" s="12">
        <v>0.99363558041455891</v>
      </c>
      <c r="AF6" s="12">
        <v>5.0924820319403919E-3</v>
      </c>
      <c r="AG6" s="4" t="s">
        <v>7</v>
      </c>
    </row>
    <row r="7" spans="3:33" x14ac:dyDescent="0.3">
      <c r="C7" s="8">
        <v>45</v>
      </c>
      <c r="D7" s="8">
        <f t="shared" si="0"/>
        <v>0.78539816339744828</v>
      </c>
      <c r="E7" s="8">
        <f t="shared" si="1"/>
        <v>0.70710678118654757</v>
      </c>
      <c r="F7" s="8">
        <v>1496</v>
      </c>
      <c r="G7" s="8">
        <f t="shared" si="2"/>
        <v>9399.6452195406619</v>
      </c>
      <c r="H7" s="8">
        <v>0.49399999999999999</v>
      </c>
      <c r="I7" s="8">
        <f t="shared" si="3"/>
        <v>0.69862149981230903</v>
      </c>
      <c r="J7" s="8">
        <v>8.3599999999999994E-2</v>
      </c>
      <c r="K7" s="8">
        <f t="shared" si="4"/>
        <v>0.11822825381439074</v>
      </c>
      <c r="L7" s="8">
        <f t="shared" si="5"/>
        <v>0.11889826989428329</v>
      </c>
      <c r="M7" s="8">
        <f t="shared" si="6"/>
        <v>6.7001607989254641E-4</v>
      </c>
      <c r="N7" s="8">
        <v>0.26800000000000002</v>
      </c>
      <c r="O7" s="8">
        <f t="shared" si="7"/>
        <v>0.13400000000000001</v>
      </c>
      <c r="P7" s="8">
        <f t="shared" si="8"/>
        <v>0.13284935676479753</v>
      </c>
      <c r="Q7" s="8">
        <f t="shared" si="9"/>
        <v>1.1506432352024754E-3</v>
      </c>
      <c r="AF7" s="2"/>
      <c r="AG7" s="2"/>
    </row>
    <row r="8" spans="3:33" x14ac:dyDescent="0.3">
      <c r="C8" s="8">
        <v>60</v>
      </c>
      <c r="D8" s="8">
        <f t="shared" si="0"/>
        <v>1.0471975511965976</v>
      </c>
      <c r="E8" s="8">
        <f t="shared" si="1"/>
        <v>0.50000000000000011</v>
      </c>
      <c r="F8" s="8">
        <v>1496</v>
      </c>
      <c r="G8" s="8">
        <f t="shared" si="2"/>
        <v>9399.6452195406619</v>
      </c>
      <c r="H8" s="8">
        <v>0.49299999999999999</v>
      </c>
      <c r="I8" s="8">
        <f t="shared" si="3"/>
        <v>0.69720728624993589</v>
      </c>
      <c r="J8" s="8">
        <v>5.8599999999999999E-2</v>
      </c>
      <c r="K8" s="8">
        <f t="shared" si="4"/>
        <v>8.2872914755063379E-2</v>
      </c>
      <c r="L8" s="8">
        <f t="shared" si="5"/>
        <v>8.5453095150780936E-2</v>
      </c>
      <c r="M8" s="8">
        <f t="shared" si="6"/>
        <v>2.5801803957175573E-3</v>
      </c>
      <c r="N8" s="8">
        <v>0.19600000000000001</v>
      </c>
      <c r="O8" s="8">
        <f t="shared" si="7"/>
        <v>9.8000000000000004E-2</v>
      </c>
      <c r="P8" s="8">
        <f t="shared" si="8"/>
        <v>0.10109551447997407</v>
      </c>
      <c r="Q8" s="8">
        <f t="shared" si="9"/>
        <v>-3.095514479974068E-3</v>
      </c>
      <c r="AF8" s="2"/>
      <c r="AG8" s="2"/>
    </row>
    <row r="9" spans="3:33" x14ac:dyDescent="0.3">
      <c r="C9" s="8">
        <v>75</v>
      </c>
      <c r="D9" s="8">
        <f t="shared" si="0"/>
        <v>1.3089969389957472</v>
      </c>
      <c r="E9" s="8">
        <f t="shared" si="1"/>
        <v>0.25881904510252074</v>
      </c>
      <c r="F9" s="8">
        <v>1496</v>
      </c>
      <c r="G9" s="8">
        <f t="shared" si="2"/>
        <v>9399.6452195406619</v>
      </c>
      <c r="H9" s="8">
        <v>0.49199999999999999</v>
      </c>
      <c r="I9" s="8">
        <f t="shared" si="3"/>
        <v>0.69579307268756285</v>
      </c>
      <c r="J9" s="8">
        <v>3.15E-2</v>
      </c>
      <c r="K9" s="8">
        <f t="shared" si="4"/>
        <v>4.4547727214752496E-2</v>
      </c>
      <c r="L9" s="8">
        <f t="shared" si="5"/>
        <v>4.6505364250143004E-2</v>
      </c>
      <c r="M9" s="8">
        <f t="shared" si="6"/>
        <v>1.9576370353905082E-3</v>
      </c>
      <c r="N9" s="8">
        <v>0.124</v>
      </c>
      <c r="O9" s="8">
        <f t="shared" si="7"/>
        <v>6.2E-2</v>
      </c>
      <c r="P9" s="8">
        <f t="shared" si="8"/>
        <v>6.4117381943504859E-2</v>
      </c>
      <c r="Q9" s="8">
        <f t="shared" si="9"/>
        <v>-2.1173819435048591E-3</v>
      </c>
      <c r="AA9" s="2"/>
      <c r="AB9" s="2"/>
      <c r="AC9" s="2"/>
      <c r="AD9" s="2"/>
      <c r="AE9" s="2"/>
      <c r="AF9" s="2"/>
      <c r="AG9" s="2"/>
    </row>
    <row r="10" spans="3:33" x14ac:dyDescent="0.3">
      <c r="C10" s="8">
        <v>90</v>
      </c>
      <c r="D10" s="8">
        <f t="shared" si="0"/>
        <v>1.5707963267948966</v>
      </c>
      <c r="E10" s="8">
        <v>0</v>
      </c>
      <c r="F10" s="8">
        <v>1496</v>
      </c>
      <c r="G10" s="8">
        <f t="shared" si="2"/>
        <v>9399.6452195406619</v>
      </c>
      <c r="H10" s="8">
        <v>0.49399999999999999</v>
      </c>
      <c r="I10" s="8">
        <f t="shared" si="3"/>
        <v>0.69862149981230903</v>
      </c>
      <c r="J10" s="8">
        <v>5.3800000000000002E-3</v>
      </c>
      <c r="K10" s="8">
        <f t="shared" si="4"/>
        <v>7.6084689655672522E-3</v>
      </c>
      <c r="L10" s="8">
        <f t="shared" si="5"/>
        <v>4.7093006890794459E-3</v>
      </c>
      <c r="M10" s="8">
        <f t="shared" si="6"/>
        <v>-2.8991682764878063E-3</v>
      </c>
      <c r="N10" s="8">
        <v>5.6000000000000001E-2</v>
      </c>
      <c r="O10" s="8">
        <f t="shared" si="7"/>
        <v>2.8000000000000001E-2</v>
      </c>
      <c r="P10" s="8">
        <f t="shared" si="8"/>
        <v>2.4434957778496968E-2</v>
      </c>
      <c r="Q10" s="8">
        <f t="shared" si="9"/>
        <v>3.5650422215030321E-3</v>
      </c>
      <c r="AA10" s="2"/>
      <c r="AB10" s="2"/>
      <c r="AC10" s="2"/>
      <c r="AD10" s="2"/>
      <c r="AE10" s="2"/>
      <c r="AF10" s="2"/>
      <c r="AG10" s="2"/>
    </row>
    <row r="11" spans="3:33" x14ac:dyDescent="0.3">
      <c r="AA11" s="2"/>
      <c r="AB11" s="2"/>
      <c r="AC11" s="2"/>
      <c r="AD11" s="2"/>
      <c r="AE11" s="2"/>
      <c r="AF11" s="2"/>
      <c r="AG11" s="2"/>
    </row>
    <row r="12" spans="3:33" ht="15.6" x14ac:dyDescent="0.3">
      <c r="D12" s="38" t="s">
        <v>51</v>
      </c>
      <c r="E12" s="38"/>
      <c r="F12" s="38"/>
      <c r="G12" s="38"/>
      <c r="H12" s="38"/>
      <c r="J12" s="4" t="s">
        <v>61</v>
      </c>
      <c r="K12" s="1">
        <f>AVERAGE(I4:I10)</f>
        <v>0.69862149981230903</v>
      </c>
      <c r="AA12" s="2"/>
      <c r="AB12" s="2"/>
      <c r="AC12" s="2"/>
      <c r="AD12" s="2"/>
      <c r="AE12" s="2"/>
      <c r="AF12" s="2"/>
      <c r="AG12" s="2"/>
    </row>
    <row r="13" spans="3:33" ht="15.6" x14ac:dyDescent="0.3">
      <c r="D13" s="39" t="s">
        <v>52</v>
      </c>
      <c r="E13" s="39"/>
      <c r="F13" s="2"/>
      <c r="G13" s="40" t="s">
        <v>16</v>
      </c>
      <c r="H13" s="40"/>
      <c r="J13" s="4" t="s">
        <v>62</v>
      </c>
      <c r="K13" s="1">
        <f>_xlfn.STDEV.P(I4:I10)/SQRT(7)</f>
        <v>5.7142857142856377E-4</v>
      </c>
      <c r="AA13" s="2"/>
      <c r="AB13" s="2"/>
      <c r="AC13" s="2"/>
      <c r="AD13" s="2"/>
      <c r="AE13" s="2"/>
      <c r="AF13" s="2"/>
      <c r="AG13" s="2"/>
    </row>
    <row r="14" spans="3:33" ht="15.6" x14ac:dyDescent="0.3">
      <c r="D14" s="30" t="s">
        <v>53</v>
      </c>
      <c r="E14" s="33">
        <f>4*PI()*10^-7</f>
        <v>1.2566370614359173E-6</v>
      </c>
      <c r="F14" s="2"/>
      <c r="G14" s="29" t="s">
        <v>53</v>
      </c>
      <c r="H14" s="33">
        <f>E14</f>
        <v>1.2566370614359173E-6</v>
      </c>
      <c r="K14" s="10"/>
      <c r="L14" s="10"/>
      <c r="AA14" s="2"/>
      <c r="AB14" s="2"/>
      <c r="AC14" s="2"/>
      <c r="AD14" s="2"/>
      <c r="AE14" s="2"/>
      <c r="AF14" s="2"/>
      <c r="AG14" s="2"/>
    </row>
    <row r="15" spans="3:33" ht="15.6" x14ac:dyDescent="0.3">
      <c r="D15" s="30" t="s">
        <v>54</v>
      </c>
      <c r="E15" s="1">
        <f>(V4*E19)/(E20*H21*H20*G4*K12)</f>
        <v>9.5435300249692829E-7</v>
      </c>
      <c r="F15" s="2"/>
      <c r="G15" s="29" t="s">
        <v>54</v>
      </c>
      <c r="H15" s="1">
        <f>(AE4*E19)/(E20*H21*H20*G4*K12)</f>
        <v>9.0609108661400154E-7</v>
      </c>
      <c r="J15" s="4" t="s">
        <v>80</v>
      </c>
      <c r="K15" s="1">
        <v>1</v>
      </c>
      <c r="P15" s="28"/>
      <c r="AA15" s="2"/>
      <c r="AB15" s="2"/>
      <c r="AC15" s="2"/>
      <c r="AD15" s="2"/>
      <c r="AE15" s="2"/>
      <c r="AF15" s="2"/>
      <c r="AG15" s="2"/>
    </row>
    <row r="16" spans="3:33" ht="16.2" x14ac:dyDescent="0.3">
      <c r="D16" s="30" t="s">
        <v>56</v>
      </c>
      <c r="E16" s="1">
        <f>1.34*10^-8</f>
        <v>1.3400000000000001E-8</v>
      </c>
      <c r="F16" s="2"/>
      <c r="G16" s="29" t="s">
        <v>55</v>
      </c>
      <c r="H16" s="1">
        <f>3.25*10^-8</f>
        <v>3.25E-8</v>
      </c>
      <c r="J16" s="4" t="s">
        <v>81</v>
      </c>
      <c r="K16" s="1">
        <f>ABS(2*PI()*K15)</f>
        <v>6.2831853071795862</v>
      </c>
      <c r="AA16" s="2"/>
      <c r="AB16" s="2"/>
      <c r="AC16" s="2"/>
      <c r="AD16" s="2"/>
      <c r="AE16" s="2"/>
      <c r="AF16" s="2"/>
      <c r="AG16" s="2"/>
    </row>
    <row r="17" spans="2:53" x14ac:dyDescent="0.3">
      <c r="D17" s="30" t="s">
        <v>57</v>
      </c>
      <c r="E17" s="35">
        <f>ABS(E14-E15)/E14</f>
        <v>0.24055001099010964</v>
      </c>
      <c r="F17" s="2"/>
      <c r="G17" s="29" t="s">
        <v>57</v>
      </c>
      <c r="H17" s="36">
        <f>ABS(H14-H15)/H14</f>
        <v>0.27895562336937491</v>
      </c>
      <c r="AA17" s="2"/>
      <c r="AB17" s="2"/>
      <c r="AC17" s="2"/>
      <c r="AD17" s="2"/>
      <c r="AE17" s="2"/>
      <c r="AF17" s="2"/>
      <c r="AG17" s="2"/>
    </row>
    <row r="18" spans="2:53" x14ac:dyDescent="0.3">
      <c r="D18" s="2"/>
      <c r="E18" s="2"/>
      <c r="F18" s="2"/>
      <c r="G18" s="2"/>
      <c r="H18" s="2"/>
      <c r="AA18" s="2"/>
      <c r="AB18" s="2"/>
      <c r="AC18" s="2"/>
      <c r="AD18" s="2"/>
      <c r="AE18" s="2"/>
      <c r="AF18" s="2"/>
      <c r="AG18" s="2"/>
    </row>
    <row r="19" spans="2:53" x14ac:dyDescent="0.3">
      <c r="C19" s="10"/>
      <c r="D19" s="31" t="s">
        <v>21</v>
      </c>
      <c r="E19" s="1">
        <v>0.75</v>
      </c>
      <c r="F19" s="37" t="s">
        <v>64</v>
      </c>
      <c r="G19" s="37"/>
      <c r="H19" s="1">
        <v>2.5999999999999999E-2</v>
      </c>
      <c r="AA19" s="2"/>
      <c r="AB19" s="2"/>
      <c r="AC19" s="2"/>
      <c r="AD19" s="2"/>
      <c r="AE19" s="2"/>
      <c r="AF19" s="2"/>
      <c r="AG19" s="2"/>
    </row>
    <row r="20" spans="2:53" ht="16.2" x14ac:dyDescent="0.3">
      <c r="D20" s="31" t="s">
        <v>19</v>
      </c>
      <c r="E20" s="1">
        <v>364</v>
      </c>
      <c r="F20" s="37" t="s">
        <v>65</v>
      </c>
      <c r="G20" s="37"/>
      <c r="H20" s="32">
        <f>PI()*H19^2/4</f>
        <v>5.3092915845667494E-4</v>
      </c>
      <c r="AA20" s="2"/>
      <c r="AB20" s="2"/>
      <c r="AC20" s="2"/>
      <c r="AD20" s="2"/>
      <c r="AE20" s="2"/>
      <c r="AF20" s="2"/>
      <c r="AG20" s="2"/>
    </row>
    <row r="21" spans="2:53" x14ac:dyDescent="0.3">
      <c r="D21" s="2"/>
      <c r="E21" s="2"/>
      <c r="F21" s="37" t="s">
        <v>63</v>
      </c>
      <c r="G21" s="37"/>
      <c r="H21" s="1">
        <v>100</v>
      </c>
      <c r="AA21" s="2"/>
      <c r="AB21" s="2"/>
      <c r="AC21" s="2"/>
      <c r="AD21" s="2"/>
      <c r="AE21" s="2"/>
      <c r="AF21" s="2"/>
      <c r="AG21" s="2"/>
      <c r="AZ21" s="2"/>
      <c r="BA21" s="2"/>
    </row>
    <row r="22" spans="2:53" x14ac:dyDescent="0.3">
      <c r="AA22" s="2"/>
      <c r="AB22" s="2"/>
      <c r="AC22" s="2"/>
      <c r="AD22" s="2"/>
      <c r="AE22" s="2"/>
      <c r="AF22" s="2"/>
      <c r="AG22" s="2"/>
      <c r="AZ22" s="2"/>
      <c r="BA22" s="2"/>
    </row>
    <row r="23" spans="2:53" x14ac:dyDescent="0.3">
      <c r="AA23" s="2"/>
      <c r="AB23" s="2"/>
      <c r="AC23" s="2"/>
      <c r="AD23" s="2"/>
      <c r="AE23" s="2"/>
      <c r="AF23" s="2"/>
      <c r="AG23" s="2"/>
      <c r="AZ23" s="2"/>
      <c r="BA23" s="2"/>
    </row>
    <row r="24" spans="2:53" x14ac:dyDescent="0.3">
      <c r="B24" s="10"/>
      <c r="C24" s="10"/>
      <c r="D24" s="10"/>
      <c r="AA24" s="2"/>
      <c r="AB24" s="2"/>
      <c r="AC24" s="2"/>
      <c r="AD24" s="2"/>
      <c r="AE24" s="2"/>
      <c r="AF24" s="2"/>
      <c r="AG24" s="2"/>
    </row>
    <row r="25" spans="2:53" x14ac:dyDescent="0.3">
      <c r="AA25" s="2"/>
      <c r="AB25" s="2"/>
      <c r="AC25" s="2"/>
      <c r="AD25" s="2"/>
      <c r="AE25" s="2"/>
      <c r="AF25" s="2"/>
      <c r="AG25" s="2"/>
    </row>
    <row r="26" spans="2:53" x14ac:dyDescent="0.3">
      <c r="AA26" s="2"/>
      <c r="AB26" s="2"/>
      <c r="AC26" s="2"/>
      <c r="AD26" s="2"/>
      <c r="AE26" s="2"/>
      <c r="AF26" s="2"/>
      <c r="AG26" s="2"/>
    </row>
    <row r="27" spans="2:53" x14ac:dyDescent="0.3">
      <c r="AA27" s="2"/>
      <c r="AB27" s="2"/>
      <c r="AC27" s="2"/>
      <c r="AD27" s="2"/>
      <c r="AE27" s="2"/>
      <c r="AF27" s="2"/>
      <c r="AG27" s="2"/>
    </row>
    <row r="28" spans="2:53" x14ac:dyDescent="0.3">
      <c r="AA28" s="2"/>
      <c r="AB28" s="2"/>
      <c r="AC28" s="2"/>
      <c r="AD28" s="2"/>
      <c r="AE28" s="2"/>
      <c r="AF28" s="2"/>
      <c r="AG28" s="2"/>
    </row>
    <row r="29" spans="2:53" x14ac:dyDescent="0.3">
      <c r="AA29" s="2"/>
      <c r="AB29" s="2"/>
      <c r="AC29" s="2"/>
      <c r="AD29" s="2"/>
      <c r="AE29" s="2"/>
      <c r="AF29" s="2"/>
      <c r="AG29" s="2"/>
    </row>
    <row r="30" spans="2:53" x14ac:dyDescent="0.3">
      <c r="AA30" s="2"/>
      <c r="AB30" s="2"/>
      <c r="AC30" s="2"/>
      <c r="AD30" s="2"/>
      <c r="AE30" s="2"/>
      <c r="AF30" s="2"/>
      <c r="AG30" s="2"/>
    </row>
    <row r="31" spans="2:53" x14ac:dyDescent="0.3">
      <c r="AA31" s="2"/>
      <c r="AB31" s="2"/>
      <c r="AC31" s="2"/>
      <c r="AD31" s="2"/>
      <c r="AE31" s="2"/>
      <c r="AF31" s="2"/>
      <c r="AG31" s="2"/>
    </row>
    <row r="32" spans="2:53" x14ac:dyDescent="0.3">
      <c r="AA32" s="2"/>
      <c r="AB32" s="2"/>
      <c r="AC32" s="2"/>
      <c r="AD32" s="2"/>
      <c r="AE32" s="2"/>
      <c r="AF32" s="2"/>
      <c r="AG32" s="2"/>
    </row>
    <row r="33" spans="27:33" x14ac:dyDescent="0.3">
      <c r="AA33" s="2"/>
      <c r="AB33" s="2"/>
      <c r="AC33" s="2"/>
      <c r="AD33" s="2"/>
      <c r="AE33" s="2"/>
      <c r="AF33" s="2"/>
      <c r="AG33" s="2"/>
    </row>
    <row r="34" spans="27:33" x14ac:dyDescent="0.3">
      <c r="AA34" s="2"/>
      <c r="AB34" s="2"/>
      <c r="AC34" s="2"/>
      <c r="AD34" s="2"/>
      <c r="AE34" s="2"/>
      <c r="AF34" s="2"/>
      <c r="AG34" s="2"/>
    </row>
    <row r="35" spans="27:33" x14ac:dyDescent="0.3">
      <c r="AA35" s="2"/>
      <c r="AB35" s="2"/>
      <c r="AC35" s="2"/>
      <c r="AD35" s="2"/>
      <c r="AE35" s="2"/>
      <c r="AF35" s="2"/>
      <c r="AG35" s="2"/>
    </row>
    <row r="36" spans="27:33" x14ac:dyDescent="0.3">
      <c r="AA36" s="2"/>
      <c r="AB36" s="2"/>
      <c r="AC36" s="2"/>
      <c r="AD36" s="2"/>
      <c r="AE36" s="2"/>
      <c r="AF36" s="2"/>
      <c r="AG36" s="2"/>
    </row>
    <row r="37" spans="27:33" x14ac:dyDescent="0.3">
      <c r="AA37" s="2"/>
      <c r="AB37" s="2"/>
      <c r="AC37" s="2"/>
      <c r="AD37" s="2"/>
      <c r="AE37" s="2"/>
      <c r="AF37" s="2"/>
      <c r="AG37" s="2"/>
    </row>
    <row r="38" spans="27:33" x14ac:dyDescent="0.3">
      <c r="AA38" s="2"/>
      <c r="AB38" s="2"/>
      <c r="AC38" s="2"/>
      <c r="AD38" s="2"/>
      <c r="AE38" s="2"/>
      <c r="AF38" s="2"/>
      <c r="AG38" s="2"/>
    </row>
    <row r="39" spans="27:33" x14ac:dyDescent="0.3">
      <c r="AA39" s="2"/>
      <c r="AB39" s="2"/>
      <c r="AC39" s="2"/>
      <c r="AD39" s="2"/>
      <c r="AE39" s="2"/>
      <c r="AF39" s="2"/>
      <c r="AG39" s="2"/>
    </row>
    <row r="40" spans="27:33" x14ac:dyDescent="0.3">
      <c r="AA40" s="2"/>
      <c r="AB40" s="2"/>
      <c r="AC40" s="2"/>
      <c r="AD40" s="2"/>
      <c r="AE40" s="2"/>
      <c r="AF40" s="2"/>
      <c r="AG40" s="2"/>
    </row>
    <row r="41" spans="27:33" x14ac:dyDescent="0.3">
      <c r="AA41" s="2"/>
      <c r="AB41" s="2"/>
      <c r="AC41" s="2"/>
      <c r="AD41" s="2"/>
      <c r="AE41" s="2"/>
      <c r="AF41" s="2"/>
      <c r="AG41" s="2"/>
    </row>
    <row r="42" spans="27:33" x14ac:dyDescent="0.3">
      <c r="AA42" s="2"/>
      <c r="AB42" s="2"/>
      <c r="AC42" s="2"/>
      <c r="AD42" s="2"/>
      <c r="AE42" s="2"/>
      <c r="AF42" s="2"/>
      <c r="AG42" s="2"/>
    </row>
    <row r="43" spans="27:33" x14ac:dyDescent="0.3">
      <c r="AC43" s="2"/>
      <c r="AD43" s="2"/>
      <c r="AE43" s="2"/>
      <c r="AF43" s="2"/>
      <c r="AG43" s="2"/>
    </row>
  </sheetData>
  <mergeCells count="10">
    <mergeCell ref="U3:X3"/>
    <mergeCell ref="AD3:AG3"/>
    <mergeCell ref="D12:H12"/>
    <mergeCell ref="D13:E13"/>
    <mergeCell ref="G13:H13"/>
    <mergeCell ref="F19:G19"/>
    <mergeCell ref="F20:G20"/>
    <mergeCell ref="F21:G21"/>
    <mergeCell ref="J2:M2"/>
    <mergeCell ref="N2:Q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8"/>
  <sheetViews>
    <sheetView tabSelected="1" topLeftCell="C2" workbookViewId="0">
      <selection activeCell="Q21" sqref="Q21"/>
    </sheetView>
  </sheetViews>
  <sheetFormatPr defaultRowHeight="14.4" x14ac:dyDescent="0.3"/>
  <cols>
    <col min="1" max="1" width="8.88671875" style="2"/>
    <col min="2" max="2" width="8.88671875" style="2" customWidth="1"/>
    <col min="3" max="3" width="9.88671875" style="2" customWidth="1"/>
    <col min="4" max="10" width="11.109375" style="2" customWidth="1"/>
    <col min="11" max="11" width="11.21875" style="2" customWidth="1"/>
    <col min="12" max="12" width="11.109375" style="2" customWidth="1"/>
    <col min="13" max="13" width="11.33203125" style="2" customWidth="1"/>
    <col min="14" max="16384" width="8.88671875" style="2"/>
  </cols>
  <sheetData>
    <row r="2" spans="3:13" ht="16.2" x14ac:dyDescent="0.3">
      <c r="D2" s="41" t="s">
        <v>76</v>
      </c>
      <c r="E2" s="41"/>
      <c r="F2" s="41"/>
      <c r="G2" s="41"/>
      <c r="H2" s="41"/>
      <c r="I2" s="55">
        <f>4*PI()*10^-7</f>
        <v>1.2566370614359173E-6</v>
      </c>
      <c r="J2" s="55"/>
      <c r="K2" s="55"/>
      <c r="L2" s="55"/>
      <c r="M2" s="55"/>
    </row>
    <row r="3" spans="3:13" ht="15.6" x14ac:dyDescent="0.3">
      <c r="D3" s="56" t="s">
        <v>72</v>
      </c>
      <c r="E3" s="56"/>
      <c r="F3" s="56" t="s">
        <v>73</v>
      </c>
      <c r="G3" s="56"/>
      <c r="H3" s="56" t="s">
        <v>13</v>
      </c>
      <c r="I3" s="56"/>
      <c r="J3" s="56" t="s">
        <v>74</v>
      </c>
      <c r="K3" s="56"/>
      <c r="L3" s="56" t="s">
        <v>50</v>
      </c>
      <c r="M3" s="56"/>
    </row>
    <row r="4" spans="3:13" x14ac:dyDescent="0.3">
      <c r="D4" s="58" t="s">
        <v>52</v>
      </c>
      <c r="E4" s="57" t="s">
        <v>16</v>
      </c>
      <c r="F4" s="58" t="s">
        <v>52</v>
      </c>
      <c r="G4" s="57" t="s">
        <v>16</v>
      </c>
      <c r="H4" s="58" t="s">
        <v>52</v>
      </c>
      <c r="I4" s="57" t="s">
        <v>16</v>
      </c>
      <c r="J4" s="58" t="s">
        <v>52</v>
      </c>
      <c r="K4" s="57" t="s">
        <v>16</v>
      </c>
      <c r="L4" s="58" t="s">
        <v>52</v>
      </c>
      <c r="M4" s="57" t="s">
        <v>16</v>
      </c>
    </row>
    <row r="5" spans="3:13" ht="16.2" x14ac:dyDescent="0.3">
      <c r="C5" s="54" t="s">
        <v>75</v>
      </c>
      <c r="D5" s="1">
        <f>ω!Q50</f>
        <v>1.0917999077141359E-6</v>
      </c>
      <c r="E5" s="1">
        <f>ω!T50</f>
        <v>1.1003553416476577E-6</v>
      </c>
      <c r="F5" s="1">
        <f>i0!J141</f>
        <v>1.2197581109194996E-6</v>
      </c>
      <c r="G5" s="1">
        <f>i0!M141</f>
        <v>1.2021754391057407E-6</v>
      </c>
      <c r="H5" s="1">
        <f>n!D14</f>
        <v>1.1039450756471434E-6</v>
      </c>
      <c r="I5" s="1">
        <f>n!G14</f>
        <v>1.0841764570105434E-6</v>
      </c>
      <c r="J5" s="34">
        <f>S!AB7</f>
        <v>1.410612322348944E-6</v>
      </c>
      <c r="K5" s="34">
        <f>S!AE7</f>
        <v>1.3821329595651333E-6</v>
      </c>
      <c r="L5" s="1">
        <f>'cos(θ)'!E15</f>
        <v>9.5435300249692829E-7</v>
      </c>
      <c r="M5" s="1">
        <f>'cos(θ)'!H15</f>
        <v>9.0609108661400154E-7</v>
      </c>
    </row>
    <row r="6" spans="3:13" ht="16.2" x14ac:dyDescent="0.3">
      <c r="C6" s="54" t="s">
        <v>77</v>
      </c>
      <c r="D6" s="1">
        <f>ω!Q51</f>
        <v>4.4000000000000005E-9</v>
      </c>
      <c r="E6" s="1">
        <f>ω!T51</f>
        <v>4.4000000000000005E-9</v>
      </c>
      <c r="F6" s="1">
        <f>i0!J142</f>
        <v>8.4000000000000008E-9</v>
      </c>
      <c r="G6" s="1">
        <f>i0!M142</f>
        <v>1.4499999999999999E-8</v>
      </c>
      <c r="H6" s="1">
        <f>n!D15</f>
        <v>8.3000000000000015E-9</v>
      </c>
      <c r="I6" s="1">
        <f>n!G15</f>
        <v>2.1000000000000002E-9</v>
      </c>
      <c r="J6" s="34">
        <f>S!AB8</f>
        <v>2.297E-7</v>
      </c>
      <c r="K6" s="34">
        <f>S!AE8</f>
        <v>2.1789999999999999E-7</v>
      </c>
      <c r="L6" s="1">
        <f>'cos(θ)'!E16</f>
        <v>1.3400000000000001E-8</v>
      </c>
      <c r="M6" s="1">
        <f>'cos(θ)'!H16</f>
        <v>3.25E-8</v>
      </c>
    </row>
    <row r="7" spans="3:13" ht="15.6" x14ac:dyDescent="0.3">
      <c r="C7" s="54" t="s">
        <v>78</v>
      </c>
      <c r="D7" s="35">
        <f>D6/D5</f>
        <v>4.0300424729034189E-3</v>
      </c>
      <c r="E7" s="35">
        <f>E6/E5</f>
        <v>3.9987082658330154E-3</v>
      </c>
      <c r="F7" s="35">
        <f t="shared" ref="E7:M7" si="0">F6/F5</f>
        <v>6.886611308259934E-3</v>
      </c>
      <c r="G7" s="35">
        <f t="shared" si="0"/>
        <v>1.2061467509921911E-2</v>
      </c>
      <c r="H7" s="35">
        <f t="shared" si="0"/>
        <v>7.5184899893089886E-3</v>
      </c>
      <c r="I7" s="35">
        <f t="shared" si="0"/>
        <v>1.936954069073258E-3</v>
      </c>
      <c r="J7" s="60">
        <f t="shared" si="0"/>
        <v>0.16283708596668489</v>
      </c>
      <c r="K7" s="60">
        <f t="shared" si="0"/>
        <v>0.15765487574260501</v>
      </c>
      <c r="L7" s="35">
        <f t="shared" si="0"/>
        <v>1.4040926119518475E-2</v>
      </c>
      <c r="M7" s="35">
        <f t="shared" si="0"/>
        <v>3.5868358579102907E-2</v>
      </c>
    </row>
    <row r="8" spans="3:13" x14ac:dyDescent="0.3">
      <c r="C8" s="54" t="s">
        <v>79</v>
      </c>
      <c r="D8" s="35">
        <f>ABS(D5-I$2)/I$2</f>
        <v>0.13117323910010062</v>
      </c>
      <c r="E8" s="35">
        <f>ABS(E5-I$2)/I$2</f>
        <v>0.12436504109601997</v>
      </c>
      <c r="F8" s="35">
        <f>ABS(F5-I$2)/I$2</f>
        <v>2.9347336353646392E-2</v>
      </c>
      <c r="G8" s="35">
        <f>ABS(G5-I$2)/I$2</f>
        <v>4.3339182013257767E-2</v>
      </c>
      <c r="H8" s="35">
        <f>ABS(H5-I$2)/I$2</f>
        <v>0.121508421544004</v>
      </c>
      <c r="I8" s="35">
        <f>ABS(I5-I$2)/I$2</f>
        <v>0.13723978841457127</v>
      </c>
      <c r="J8" s="35">
        <f>ABS(J5-I$2)/I$2</f>
        <v>0.12252961944086253</v>
      </c>
      <c r="K8" s="35">
        <f>ABS(K5-I$2)/I$2</f>
        <v>9.9866462625108329E-2</v>
      </c>
      <c r="L8" s="35">
        <f>ABS(L5-I$2)/I$2</f>
        <v>0.24055001099010964</v>
      </c>
      <c r="M8" s="35">
        <f>ABS(M5-I$2)/I$2</f>
        <v>0.27895562336937491</v>
      </c>
    </row>
  </sheetData>
  <mergeCells count="7">
    <mergeCell ref="D2:H2"/>
    <mergeCell ref="I2:M2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2023-02-28T15:52:19Z</dcterms:created>
  <dcterms:modified xsi:type="dcterms:W3CDTF">2023-03-05T11:41:58Z</dcterms:modified>
</cp:coreProperties>
</file>