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drawings/drawing2.xml" ContentType="application/vnd.openxmlformats-officedocument.drawing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3.xml" ContentType="application/vnd.openxmlformats-officedocument.drawing+xml"/>
  <Override PartName="/xl/charts/chart2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7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8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9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0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reset\faculdade\2º Ano\2ºS\LABS\LABSFISICAII\016\T4B\"/>
    </mc:Choice>
  </mc:AlternateContent>
  <xr:revisionPtr revIDLastSave="0" documentId="8_{EBFCB361-9F78-4917-ABD6-F05D9DE68307}" xr6:coauthVersionLast="47" xr6:coauthVersionMax="47" xr10:uidLastSave="{00000000-0000-0000-0000-000000000000}"/>
  <bookViews>
    <workbookView xWindow="-120" yWindow="-120" windowWidth="29040" windowHeight="15720" activeTab="1" xr2:uid="{607D7311-D258-4AD3-A8E4-DF0E570C6269}"/>
  </bookViews>
  <sheets>
    <sheet name="Barra (2)" sheetId="3" r:id="rId1"/>
    <sheet name="Barra" sheetId="1" r:id="rId2"/>
    <sheet name="Pêndulo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P12" i="2"/>
  <c r="P10" i="2"/>
  <c r="D23" i="2"/>
  <c r="P9" i="2"/>
  <c r="P8" i="2"/>
  <c r="D111" i="3"/>
  <c r="AF6" i="3"/>
  <c r="AF7" i="3" s="1"/>
  <c r="AC13" i="3"/>
  <c r="AC12" i="3"/>
  <c r="AB13" i="3"/>
  <c r="AB12" i="3"/>
  <c r="C102" i="3" a="1"/>
  <c r="C103" i="3" s="1"/>
  <c r="C107" i="3" a="1"/>
  <c r="C107" i="3" s="1"/>
  <c r="N10" i="3"/>
  <c r="C7" i="1"/>
  <c r="C9" i="1"/>
  <c r="C9" i="3"/>
  <c r="C11" i="3"/>
  <c r="C13" i="3"/>
  <c r="C15" i="3"/>
  <c r="C17" i="3"/>
  <c r="C19" i="3"/>
  <c r="C21" i="3"/>
  <c r="C23" i="3"/>
  <c r="C25" i="3"/>
  <c r="C27" i="3"/>
  <c r="C29" i="3"/>
  <c r="C31" i="3"/>
  <c r="C7" i="3"/>
  <c r="S114" i="3"/>
  <c r="M114" i="3"/>
  <c r="D114" i="3"/>
  <c r="I88" i="3"/>
  <c r="H87" i="3"/>
  <c r="P87" i="3" s="1"/>
  <c r="Y87" i="3" s="1"/>
  <c r="H86" i="3"/>
  <c r="P86" i="3" s="1"/>
  <c r="Y86" i="3" s="1"/>
  <c r="H79" i="3"/>
  <c r="P79" i="3" s="1"/>
  <c r="Y79" i="3" s="1"/>
  <c r="AU49" i="3"/>
  <c r="AC49" i="3"/>
  <c r="AL49" i="3" s="1"/>
  <c r="C49" i="3"/>
  <c r="H88" i="3" s="1"/>
  <c r="P88" i="3" s="1"/>
  <c r="Y88" i="3" s="1"/>
  <c r="D48" i="3"/>
  <c r="AD48" i="3" s="1"/>
  <c r="C48" i="3"/>
  <c r="AC48" i="3" s="1"/>
  <c r="AL48" i="3" s="1"/>
  <c r="AC47" i="3"/>
  <c r="AL47" i="3" s="1"/>
  <c r="C47" i="3"/>
  <c r="D46" i="3"/>
  <c r="C46" i="3"/>
  <c r="H85" i="3" s="1"/>
  <c r="P85" i="3" s="1"/>
  <c r="Y85" i="3" s="1"/>
  <c r="C45" i="3"/>
  <c r="C44" i="3"/>
  <c r="H83" i="3" s="1"/>
  <c r="P83" i="3" s="1"/>
  <c r="Y83" i="3" s="1"/>
  <c r="C43" i="3"/>
  <c r="H82" i="3" s="1"/>
  <c r="P82" i="3" s="1"/>
  <c r="Y82" i="3" s="1"/>
  <c r="C42" i="3"/>
  <c r="H81" i="3" s="1"/>
  <c r="P81" i="3" s="1"/>
  <c r="Y81" i="3" s="1"/>
  <c r="C41" i="3"/>
  <c r="AC40" i="3"/>
  <c r="AL40" i="3" s="1"/>
  <c r="C40" i="3"/>
  <c r="C39" i="3"/>
  <c r="H78" i="3" s="1"/>
  <c r="P78" i="3" s="1"/>
  <c r="Y78" i="3" s="1"/>
  <c r="C38" i="3"/>
  <c r="H77" i="3" s="1"/>
  <c r="P77" i="3" s="1"/>
  <c r="Y77" i="3" s="1"/>
  <c r="AD37" i="3"/>
  <c r="D37" i="3"/>
  <c r="C37" i="3"/>
  <c r="T32" i="3"/>
  <c r="N32" i="3"/>
  <c r="H32" i="3"/>
  <c r="V31" i="3"/>
  <c r="T31" i="3"/>
  <c r="U31" i="3" s="1"/>
  <c r="P31" i="3"/>
  <c r="N31" i="3"/>
  <c r="O31" i="3" s="1"/>
  <c r="L31" i="3"/>
  <c r="G49" i="3" s="1"/>
  <c r="K31" i="3"/>
  <c r="F49" i="3" s="1"/>
  <c r="J31" i="3"/>
  <c r="H31" i="3"/>
  <c r="I31" i="3" s="1"/>
  <c r="F31" i="3"/>
  <c r="E49" i="3" s="1"/>
  <c r="AE49" i="3" s="1"/>
  <c r="E31" i="3"/>
  <c r="D49" i="3" s="1"/>
  <c r="T30" i="3"/>
  <c r="N30" i="3"/>
  <c r="H30" i="3"/>
  <c r="I29" i="3" s="1"/>
  <c r="V29" i="3"/>
  <c r="T29" i="3"/>
  <c r="U29" i="3" s="1"/>
  <c r="P29" i="3"/>
  <c r="N29" i="3"/>
  <c r="O29" i="3" s="1"/>
  <c r="Q87" i="3" s="1"/>
  <c r="J29" i="3"/>
  <c r="H29" i="3"/>
  <c r="E29" i="3"/>
  <c r="T28" i="3"/>
  <c r="N28" i="3"/>
  <c r="H28" i="3"/>
  <c r="V27" i="3"/>
  <c r="T27" i="3"/>
  <c r="P27" i="3"/>
  <c r="N27" i="3"/>
  <c r="O27" i="3" s="1"/>
  <c r="J27" i="3"/>
  <c r="H27" i="3"/>
  <c r="I27" i="3" s="1"/>
  <c r="F27" i="3"/>
  <c r="E47" i="3" s="1"/>
  <c r="AE47" i="3" s="1"/>
  <c r="E27" i="3"/>
  <c r="D47" i="3" s="1"/>
  <c r="T26" i="3"/>
  <c r="N26" i="3"/>
  <c r="H26" i="3"/>
  <c r="V25" i="3"/>
  <c r="T25" i="3"/>
  <c r="U25" i="3" s="1"/>
  <c r="P25" i="3"/>
  <c r="N25" i="3"/>
  <c r="O25" i="3" s="1"/>
  <c r="L25" i="3"/>
  <c r="G46" i="3" s="1"/>
  <c r="K25" i="3"/>
  <c r="F46" i="3" s="1"/>
  <c r="J25" i="3"/>
  <c r="I25" i="3"/>
  <c r="I85" i="3" s="1"/>
  <c r="H25" i="3"/>
  <c r="E25" i="3"/>
  <c r="T24" i="3"/>
  <c r="N24" i="3"/>
  <c r="H24" i="3"/>
  <c r="I23" i="3" s="1"/>
  <c r="V23" i="3"/>
  <c r="T23" i="3"/>
  <c r="P23" i="3"/>
  <c r="N23" i="3"/>
  <c r="J23" i="3"/>
  <c r="H23" i="3"/>
  <c r="E23" i="3"/>
  <c r="D45" i="3" s="1"/>
  <c r="T22" i="3"/>
  <c r="U21" i="3" s="1"/>
  <c r="Z83" i="3" s="1"/>
  <c r="N22" i="3"/>
  <c r="O21" i="3" s="1"/>
  <c r="R21" i="3" s="1"/>
  <c r="K44" i="3" s="1"/>
  <c r="H22" i="3"/>
  <c r="V21" i="3"/>
  <c r="T21" i="3"/>
  <c r="P21" i="3"/>
  <c r="N21" i="3"/>
  <c r="J21" i="3"/>
  <c r="H21" i="3"/>
  <c r="I21" i="3" s="1"/>
  <c r="E21" i="3"/>
  <c r="D44" i="3" s="1"/>
  <c r="T20" i="3"/>
  <c r="N20" i="3"/>
  <c r="H20" i="3"/>
  <c r="V19" i="3"/>
  <c r="T19" i="3"/>
  <c r="U19" i="3" s="1"/>
  <c r="P19" i="3"/>
  <c r="N19" i="3"/>
  <c r="J19" i="3"/>
  <c r="H19" i="3"/>
  <c r="I19" i="3" s="1"/>
  <c r="E19" i="3"/>
  <c r="D43" i="3" s="1"/>
  <c r="AD43" i="3" s="1"/>
  <c r="T18" i="3"/>
  <c r="N18" i="3"/>
  <c r="H18" i="3"/>
  <c r="V17" i="3"/>
  <c r="T17" i="3"/>
  <c r="P17" i="3"/>
  <c r="N17" i="3"/>
  <c r="O17" i="3" s="1"/>
  <c r="Q81" i="3" s="1"/>
  <c r="J17" i="3"/>
  <c r="H17" i="3"/>
  <c r="E17" i="3"/>
  <c r="F17" i="3" s="1"/>
  <c r="E42" i="3" s="1"/>
  <c r="AE42" i="3" s="1"/>
  <c r="T16" i="3"/>
  <c r="N16" i="3"/>
  <c r="H16" i="3"/>
  <c r="V15" i="3"/>
  <c r="T15" i="3"/>
  <c r="U15" i="3" s="1"/>
  <c r="P15" i="3"/>
  <c r="N15" i="3"/>
  <c r="J15" i="3"/>
  <c r="H15" i="3"/>
  <c r="E15" i="3"/>
  <c r="D41" i="3" s="1"/>
  <c r="T14" i="3"/>
  <c r="N14" i="3"/>
  <c r="H14" i="3"/>
  <c r="AA13" i="3"/>
  <c r="V13" i="3"/>
  <c r="T13" i="3"/>
  <c r="P13" i="3"/>
  <c r="N13" i="3"/>
  <c r="J13" i="3"/>
  <c r="H13" i="3"/>
  <c r="E13" i="3"/>
  <c r="D40" i="3" s="1"/>
  <c r="AA12" i="3"/>
  <c r="T12" i="3"/>
  <c r="N12" i="3"/>
  <c r="H12" i="3"/>
  <c r="V11" i="3"/>
  <c r="T11" i="3"/>
  <c r="U11" i="3" s="1"/>
  <c r="X11" i="3" s="1"/>
  <c r="O39" i="3" s="1"/>
  <c r="P11" i="3"/>
  <c r="N11" i="3"/>
  <c r="O11" i="3" s="1"/>
  <c r="J11" i="3"/>
  <c r="H11" i="3"/>
  <c r="I11" i="3" s="1"/>
  <c r="L11" i="3" s="1"/>
  <c r="G39" i="3" s="1"/>
  <c r="E11" i="3"/>
  <c r="D39" i="3" s="1"/>
  <c r="T10" i="3"/>
  <c r="H10" i="3"/>
  <c r="V9" i="3"/>
  <c r="T9" i="3"/>
  <c r="P9" i="3"/>
  <c r="N9" i="3"/>
  <c r="J9" i="3"/>
  <c r="H9" i="3"/>
  <c r="E9" i="3"/>
  <c r="D38" i="3" s="1"/>
  <c r="AD38" i="3" s="1"/>
  <c r="T8" i="3"/>
  <c r="U7" i="3" s="1"/>
  <c r="N8" i="3"/>
  <c r="H8" i="3"/>
  <c r="V7" i="3"/>
  <c r="T7" i="3"/>
  <c r="P7" i="3"/>
  <c r="N7" i="3"/>
  <c r="J7" i="3"/>
  <c r="H7" i="3"/>
  <c r="I7" i="3" s="1"/>
  <c r="F7" i="3"/>
  <c r="E37" i="3" s="1"/>
  <c r="AE37" i="3" s="1"/>
  <c r="E7" i="3"/>
  <c r="E3" i="3"/>
  <c r="C11" i="1"/>
  <c r="C13" i="1"/>
  <c r="C15" i="1"/>
  <c r="C17" i="1"/>
  <c r="C19" i="1"/>
  <c r="C21" i="1"/>
  <c r="C23" i="1"/>
  <c r="C25" i="1"/>
  <c r="C27" i="1"/>
  <c r="C29" i="1"/>
  <c r="C31" i="1"/>
  <c r="V7" i="1"/>
  <c r="C38" i="1"/>
  <c r="H77" i="1" s="1"/>
  <c r="P77" i="1" s="1"/>
  <c r="Y77" i="1" s="1"/>
  <c r="C39" i="1"/>
  <c r="H78" i="1" s="1"/>
  <c r="P78" i="1" s="1"/>
  <c r="Y78" i="1" s="1"/>
  <c r="C40" i="1"/>
  <c r="H79" i="1" s="1"/>
  <c r="P79" i="1" s="1"/>
  <c r="Y79" i="1" s="1"/>
  <c r="C46" i="1"/>
  <c r="H85" i="1" s="1"/>
  <c r="P85" i="1" s="1"/>
  <c r="Y85" i="1" s="1"/>
  <c r="C47" i="1"/>
  <c r="H86" i="1" s="1"/>
  <c r="P86" i="1" s="1"/>
  <c r="Y86" i="1" s="1"/>
  <c r="C48" i="1"/>
  <c r="H87" i="1" s="1"/>
  <c r="P87" i="1" s="1"/>
  <c r="Y87" i="1" s="1"/>
  <c r="C42" i="1"/>
  <c r="H81" i="1" s="1"/>
  <c r="P81" i="1" s="1"/>
  <c r="Y81" i="1" s="1"/>
  <c r="C43" i="1"/>
  <c r="H82" i="1" s="1"/>
  <c r="P82" i="1" s="1"/>
  <c r="Y82" i="1" s="1"/>
  <c r="C44" i="1"/>
  <c r="H83" i="1" s="1"/>
  <c r="P83" i="1" s="1"/>
  <c r="Y83" i="1" s="1"/>
  <c r="V9" i="1"/>
  <c r="V11" i="1"/>
  <c r="V13" i="1"/>
  <c r="V15" i="1"/>
  <c r="V17" i="1"/>
  <c r="V19" i="1"/>
  <c r="V21" i="1"/>
  <c r="V23" i="1"/>
  <c r="V25" i="1"/>
  <c r="V27" i="1"/>
  <c r="V29" i="1"/>
  <c r="V31" i="1"/>
  <c r="P9" i="1"/>
  <c r="P11" i="1"/>
  <c r="P13" i="1"/>
  <c r="P15" i="1"/>
  <c r="P17" i="1"/>
  <c r="P19" i="1"/>
  <c r="P21" i="1"/>
  <c r="P23" i="1"/>
  <c r="P25" i="1"/>
  <c r="P27" i="1"/>
  <c r="P29" i="1"/>
  <c r="P31" i="1"/>
  <c r="P7" i="1"/>
  <c r="J9" i="1"/>
  <c r="J11" i="1"/>
  <c r="J13" i="1"/>
  <c r="J15" i="1"/>
  <c r="J17" i="1"/>
  <c r="J19" i="1"/>
  <c r="J21" i="1"/>
  <c r="J23" i="1"/>
  <c r="J25" i="1"/>
  <c r="J27" i="1"/>
  <c r="J29" i="1"/>
  <c r="J31" i="1"/>
  <c r="J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U23" i="1" s="1"/>
  <c r="T25" i="1"/>
  <c r="T26" i="1"/>
  <c r="T27" i="1"/>
  <c r="T28" i="1"/>
  <c r="T29" i="1"/>
  <c r="T30" i="1"/>
  <c r="T31" i="1"/>
  <c r="T32" i="1"/>
  <c r="T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7" i="1"/>
  <c r="AC12" i="1"/>
  <c r="AA12" i="1"/>
  <c r="AB12" i="1"/>
  <c r="K12" i="2"/>
  <c r="K11" i="2"/>
  <c r="G31" i="2"/>
  <c r="G30" i="2"/>
  <c r="I29" i="2" s="1"/>
  <c r="T24" i="2" s="1"/>
  <c r="G29" i="2"/>
  <c r="G28" i="2"/>
  <c r="G27" i="2"/>
  <c r="G26" i="2"/>
  <c r="G25" i="2"/>
  <c r="G24" i="2"/>
  <c r="G23" i="2"/>
  <c r="Z12" i="2"/>
  <c r="Z11" i="2"/>
  <c r="Y12" i="2"/>
  <c r="Y11" i="2"/>
  <c r="X12" i="2"/>
  <c r="X11" i="2"/>
  <c r="W12" i="2"/>
  <c r="W11" i="2"/>
  <c r="U12" i="2"/>
  <c r="U11" i="2"/>
  <c r="T11" i="2"/>
  <c r="T12" i="2"/>
  <c r="G21" i="2"/>
  <c r="G22" i="2"/>
  <c r="G20" i="2"/>
  <c r="J11" i="2"/>
  <c r="J12" i="2"/>
  <c r="F12" i="2"/>
  <c r="G12" i="2"/>
  <c r="H12" i="2"/>
  <c r="I12" i="2"/>
  <c r="L12" i="2"/>
  <c r="E12" i="2"/>
  <c r="H11" i="2"/>
  <c r="G11" i="2"/>
  <c r="I11" i="2"/>
  <c r="L11" i="2"/>
  <c r="F11" i="2"/>
  <c r="E11" i="2"/>
  <c r="AU49" i="1"/>
  <c r="S114" i="1"/>
  <c r="M114" i="1"/>
  <c r="D114" i="1"/>
  <c r="C37" i="1"/>
  <c r="H76" i="1" s="1"/>
  <c r="C41" i="1"/>
  <c r="H80" i="1" s="1"/>
  <c r="P80" i="1" s="1"/>
  <c r="Y80" i="1" s="1"/>
  <c r="C45" i="1"/>
  <c r="H84" i="1" s="1"/>
  <c r="P84" i="1" s="1"/>
  <c r="Y84" i="1" s="1"/>
  <c r="C49" i="1"/>
  <c r="H88" i="1" s="1"/>
  <c r="P88" i="1" s="1"/>
  <c r="Y88" i="1" s="1"/>
  <c r="U11" i="1"/>
  <c r="U15" i="1"/>
  <c r="H29" i="2" l="1"/>
  <c r="S24" i="2" s="1"/>
  <c r="X24" i="2" s="1"/>
  <c r="H26" i="2"/>
  <c r="S23" i="2" s="1"/>
  <c r="X23" i="2" s="1"/>
  <c r="I26" i="2"/>
  <c r="T23" i="2" s="1"/>
  <c r="H23" i="2"/>
  <c r="J23" i="2" s="1"/>
  <c r="U22" i="2" s="1"/>
  <c r="I23" i="2"/>
  <c r="T22" i="2" s="1"/>
  <c r="H20" i="2"/>
  <c r="S21" i="2" s="1"/>
  <c r="X21" i="2" s="1"/>
  <c r="I20" i="2"/>
  <c r="T21" i="2" s="1"/>
  <c r="N3" i="3"/>
  <c r="AF8" i="3" s="1"/>
  <c r="AF9" i="3" s="1"/>
  <c r="D102" i="3"/>
  <c r="C104" i="3"/>
  <c r="C102" i="3"/>
  <c r="D104" i="3"/>
  <c r="D103" i="3"/>
  <c r="D109" i="3"/>
  <c r="C109" i="3"/>
  <c r="D108" i="3"/>
  <c r="C108" i="3"/>
  <c r="D107" i="3"/>
  <c r="U23" i="3"/>
  <c r="W23" i="3" s="1"/>
  <c r="N45" i="3" s="1"/>
  <c r="O23" i="3"/>
  <c r="R23" i="3" s="1"/>
  <c r="K45" i="3" s="1"/>
  <c r="AG44" i="3"/>
  <c r="AC44" i="3"/>
  <c r="AL44" i="3" s="1"/>
  <c r="O19" i="3"/>
  <c r="U17" i="3"/>
  <c r="Z81" i="3" s="1"/>
  <c r="I17" i="3"/>
  <c r="I81" i="3" s="1"/>
  <c r="D42" i="3"/>
  <c r="O15" i="3"/>
  <c r="Q15" i="3" s="1"/>
  <c r="J41" i="3" s="1"/>
  <c r="U13" i="3"/>
  <c r="Z79" i="3"/>
  <c r="X13" i="3"/>
  <c r="O40" i="3" s="1"/>
  <c r="O13" i="3"/>
  <c r="R13" i="3" s="1"/>
  <c r="K40" i="3" s="1"/>
  <c r="I13" i="3"/>
  <c r="F13" i="3"/>
  <c r="E40" i="3" s="1"/>
  <c r="AE40" i="3" s="1"/>
  <c r="O9" i="3"/>
  <c r="Q77" i="3" s="1"/>
  <c r="I9" i="3"/>
  <c r="U9" i="3"/>
  <c r="W9" i="3" s="1"/>
  <c r="N38" i="3" s="1"/>
  <c r="AC39" i="3"/>
  <c r="AL39" i="3" s="1"/>
  <c r="Q25" i="3"/>
  <c r="J46" i="3" s="1"/>
  <c r="AF46" i="3"/>
  <c r="AM46" i="3" s="1"/>
  <c r="R25" i="3"/>
  <c r="K46" i="3" s="1"/>
  <c r="Q85" i="3"/>
  <c r="W15" i="3"/>
  <c r="N41" i="3" s="1"/>
  <c r="Z80" i="3"/>
  <c r="X15" i="3"/>
  <c r="O41" i="3" s="1"/>
  <c r="X29" i="3"/>
  <c r="O48" i="3" s="1"/>
  <c r="Z87" i="3"/>
  <c r="W29" i="3"/>
  <c r="N48" i="3" s="1"/>
  <c r="X19" i="3"/>
  <c r="O43" i="3" s="1"/>
  <c r="W19" i="3"/>
  <c r="N43" i="3" s="1"/>
  <c r="Z82" i="3"/>
  <c r="X25" i="3"/>
  <c r="O46" i="3" s="1"/>
  <c r="W25" i="3"/>
  <c r="N46" i="3" s="1"/>
  <c r="Z85" i="3"/>
  <c r="K27" i="3"/>
  <c r="F47" i="3" s="1"/>
  <c r="L27" i="3"/>
  <c r="G47" i="3" s="1"/>
  <c r="AG47" i="3"/>
  <c r="I86" i="3"/>
  <c r="AD39" i="3"/>
  <c r="L7" i="3"/>
  <c r="G37" i="3" s="1"/>
  <c r="I76" i="3"/>
  <c r="K7" i="3"/>
  <c r="F37" i="3" s="1"/>
  <c r="X7" i="3"/>
  <c r="O37" i="3" s="1"/>
  <c r="W7" i="3"/>
  <c r="N37" i="3" s="1"/>
  <c r="Z76" i="3"/>
  <c r="AD41" i="3"/>
  <c r="K19" i="3"/>
  <c r="F43" i="3" s="1"/>
  <c r="I82" i="3"/>
  <c r="L19" i="3"/>
  <c r="G43" i="3" s="1"/>
  <c r="Q86" i="3"/>
  <c r="R27" i="3"/>
  <c r="K47" i="3" s="1"/>
  <c r="Q27" i="3"/>
  <c r="J47" i="3" s="1"/>
  <c r="L29" i="3"/>
  <c r="G48" i="3" s="1"/>
  <c r="AG48" i="3"/>
  <c r="I87" i="3"/>
  <c r="AF48" i="3"/>
  <c r="AM48" i="3" s="1"/>
  <c r="K29" i="3"/>
  <c r="F48" i="3" s="1"/>
  <c r="AD45" i="3"/>
  <c r="R31" i="3"/>
  <c r="K49" i="3" s="1"/>
  <c r="Q31" i="3"/>
  <c r="J49" i="3" s="1"/>
  <c r="AF49" i="3"/>
  <c r="AM49" i="3" s="1"/>
  <c r="Q88" i="3"/>
  <c r="L23" i="3"/>
  <c r="G45" i="3" s="1"/>
  <c r="I84" i="3"/>
  <c r="K23" i="3"/>
  <c r="F45" i="3" s="1"/>
  <c r="AI46" i="3"/>
  <c r="AH46" i="3"/>
  <c r="K9" i="3"/>
  <c r="F38" i="3" s="1"/>
  <c r="L9" i="3"/>
  <c r="G38" i="3" s="1"/>
  <c r="Q79" i="3"/>
  <c r="AD49" i="3"/>
  <c r="Z88" i="3"/>
  <c r="X31" i="3"/>
  <c r="O49" i="3" s="1"/>
  <c r="W31" i="3"/>
  <c r="N49" i="3" s="1"/>
  <c r="AI49" i="3" s="1"/>
  <c r="R11" i="3"/>
  <c r="K39" i="3" s="1"/>
  <c r="Q78" i="3"/>
  <c r="Q11" i="3"/>
  <c r="J39" i="3" s="1"/>
  <c r="H76" i="3"/>
  <c r="AC37" i="3"/>
  <c r="AL37" i="3" s="1"/>
  <c r="AF44" i="3"/>
  <c r="AM44" i="3" s="1"/>
  <c r="Q83" i="3"/>
  <c r="O7" i="3"/>
  <c r="F11" i="3"/>
  <c r="E39" i="3" s="1"/>
  <c r="AE39" i="3" s="1"/>
  <c r="K13" i="3"/>
  <c r="F40" i="3" s="1"/>
  <c r="W13" i="3"/>
  <c r="N40" i="3" s="1"/>
  <c r="F21" i="3"/>
  <c r="E44" i="3" s="1"/>
  <c r="AE44" i="3" s="1"/>
  <c r="Q21" i="3"/>
  <c r="J44" i="3" s="1"/>
  <c r="AD47" i="3"/>
  <c r="AC43" i="3"/>
  <c r="AL43" i="3" s="1"/>
  <c r="AH49" i="3"/>
  <c r="F15" i="3"/>
  <c r="E41" i="3" s="1"/>
  <c r="AE41" i="3" s="1"/>
  <c r="K11" i="3"/>
  <c r="F39" i="3" s="1"/>
  <c r="W11" i="3"/>
  <c r="N39" i="3" s="1"/>
  <c r="I15" i="3"/>
  <c r="Q17" i="3"/>
  <c r="J42" i="3" s="1"/>
  <c r="K21" i="3"/>
  <c r="F44" i="3" s="1"/>
  <c r="F23" i="3"/>
  <c r="E45" i="3" s="1"/>
  <c r="AE45" i="3" s="1"/>
  <c r="U27" i="3"/>
  <c r="AF47" i="3" s="1"/>
  <c r="AM47" i="3" s="1"/>
  <c r="AC46" i="3"/>
  <c r="AL46" i="3" s="1"/>
  <c r="Z78" i="3"/>
  <c r="I78" i="3"/>
  <c r="AD40" i="3"/>
  <c r="R17" i="3"/>
  <c r="K42" i="3" s="1"/>
  <c r="L21" i="3"/>
  <c r="G44" i="3" s="1"/>
  <c r="W21" i="3"/>
  <c r="N44" i="3" s="1"/>
  <c r="F29" i="3"/>
  <c r="E48" i="3" s="1"/>
  <c r="AE48" i="3" s="1"/>
  <c r="Q29" i="3"/>
  <c r="J48" i="3" s="1"/>
  <c r="AC42" i="3"/>
  <c r="AL42" i="3" s="1"/>
  <c r="H84" i="3"/>
  <c r="P84" i="3" s="1"/>
  <c r="Y84" i="3" s="1"/>
  <c r="AC45" i="3"/>
  <c r="AL45" i="3" s="1"/>
  <c r="AD46" i="3"/>
  <c r="I83" i="3"/>
  <c r="F9" i="3"/>
  <c r="E38" i="3" s="1"/>
  <c r="AE38" i="3" s="1"/>
  <c r="F19" i="3"/>
  <c r="E43" i="3" s="1"/>
  <c r="AE43" i="3" s="1"/>
  <c r="X21" i="3"/>
  <c r="O44" i="3" s="1"/>
  <c r="F25" i="3"/>
  <c r="E46" i="3" s="1"/>
  <c r="AE46" i="3" s="1"/>
  <c r="R29" i="3"/>
  <c r="K48" i="3" s="1"/>
  <c r="AC38" i="3"/>
  <c r="AL38" i="3" s="1"/>
  <c r="H80" i="3"/>
  <c r="P80" i="3" s="1"/>
  <c r="Y80" i="3" s="1"/>
  <c r="AC41" i="3"/>
  <c r="AL41" i="3" s="1"/>
  <c r="AD42" i="3"/>
  <c r="AG39" i="3"/>
  <c r="AF39" i="3"/>
  <c r="AM39" i="3" s="1"/>
  <c r="W17" i="3"/>
  <c r="N42" i="3" s="1"/>
  <c r="AD44" i="3"/>
  <c r="AG49" i="3"/>
  <c r="AG46" i="3"/>
  <c r="Q5" i="2"/>
  <c r="Q6" i="2"/>
  <c r="Q8" i="2"/>
  <c r="Q7" i="2"/>
  <c r="P7" i="2"/>
  <c r="P6" i="2"/>
  <c r="P5" i="2"/>
  <c r="AC49" i="1"/>
  <c r="AL49" i="1" s="1"/>
  <c r="U7" i="1"/>
  <c r="Z76" i="1" s="1"/>
  <c r="O21" i="1"/>
  <c r="R21" i="1" s="1"/>
  <c r="K44" i="1" s="1"/>
  <c r="O9" i="1"/>
  <c r="R9" i="1" s="1"/>
  <c r="K38" i="1" s="1"/>
  <c r="O7" i="1"/>
  <c r="R7" i="1" s="1"/>
  <c r="K37" i="1" s="1"/>
  <c r="U25" i="1"/>
  <c r="W25" i="1" s="1"/>
  <c r="N46" i="1" s="1"/>
  <c r="O13" i="1"/>
  <c r="Q13" i="1" s="1"/>
  <c r="J40" i="1" s="1"/>
  <c r="AC45" i="1"/>
  <c r="AL45" i="1" s="1"/>
  <c r="AC44" i="1"/>
  <c r="AL44" i="1" s="1"/>
  <c r="AC43" i="1"/>
  <c r="AL43" i="1" s="1"/>
  <c r="AC41" i="1"/>
  <c r="AL41" i="1" s="1"/>
  <c r="U13" i="1"/>
  <c r="W13" i="1" s="1"/>
  <c r="N40" i="1" s="1"/>
  <c r="AC40" i="1"/>
  <c r="AL40" i="1" s="1"/>
  <c r="AC47" i="1"/>
  <c r="AL47" i="1" s="1"/>
  <c r="U19" i="1"/>
  <c r="W19" i="1" s="1"/>
  <c r="N43" i="1" s="1"/>
  <c r="AC46" i="1"/>
  <c r="AL46" i="1" s="1"/>
  <c r="AC37" i="1"/>
  <c r="AL37" i="1" s="1"/>
  <c r="AC39" i="1"/>
  <c r="AL39" i="1" s="1"/>
  <c r="AC42" i="1"/>
  <c r="AL42" i="1" s="1"/>
  <c r="AC38" i="1"/>
  <c r="AL38" i="1" s="1"/>
  <c r="AC48" i="1"/>
  <c r="AL48" i="1" s="1"/>
  <c r="O17" i="1"/>
  <c r="Z80" i="1"/>
  <c r="W15" i="1"/>
  <c r="N41" i="1" s="1"/>
  <c r="O31" i="1"/>
  <c r="U29" i="1"/>
  <c r="X29" i="1" s="1"/>
  <c r="O48" i="1" s="1"/>
  <c r="O19" i="1"/>
  <c r="Q82" i="1" s="1"/>
  <c r="X15" i="1"/>
  <c r="O41" i="1" s="1"/>
  <c r="O25" i="1"/>
  <c r="U27" i="1"/>
  <c r="Z86" i="1" s="1"/>
  <c r="O27" i="1"/>
  <c r="U9" i="1"/>
  <c r="W9" i="1" s="1"/>
  <c r="N38" i="1" s="1"/>
  <c r="U31" i="1"/>
  <c r="X31" i="1" s="1"/>
  <c r="O49" i="1" s="1"/>
  <c r="U17" i="1"/>
  <c r="W17" i="1" s="1"/>
  <c r="N42" i="1" s="1"/>
  <c r="O23" i="1"/>
  <c r="U21" i="1"/>
  <c r="W21" i="1" s="1"/>
  <c r="N44" i="1" s="1"/>
  <c r="O29" i="1"/>
  <c r="O15" i="1"/>
  <c r="O11" i="1"/>
  <c r="Q11" i="1" s="1"/>
  <c r="J39" i="1" s="1"/>
  <c r="Z78" i="1"/>
  <c r="W11" i="1"/>
  <c r="N39" i="1" s="1"/>
  <c r="P76" i="1"/>
  <c r="W23" i="1"/>
  <c r="N45" i="1" s="1"/>
  <c r="Z84" i="1"/>
  <c r="X23" i="1"/>
  <c r="O45" i="1" s="1"/>
  <c r="X11" i="1"/>
  <c r="O39" i="1" s="1"/>
  <c r="I23" i="1"/>
  <c r="AB13" i="1"/>
  <c r="I19" i="1"/>
  <c r="L19" i="1" s="1"/>
  <c r="G43" i="1" s="1"/>
  <c r="AF6" i="1"/>
  <c r="AA13" i="1"/>
  <c r="I25" i="1"/>
  <c r="I27" i="1"/>
  <c r="I15" i="1"/>
  <c r="I29" i="1"/>
  <c r="I21" i="1"/>
  <c r="I17" i="1"/>
  <c r="I11" i="1"/>
  <c r="I7" i="1"/>
  <c r="I9" i="1"/>
  <c r="I31" i="1"/>
  <c r="I13" i="1"/>
  <c r="AC13" i="1"/>
  <c r="X25" i="1" l="1"/>
  <c r="O46" i="1" s="1"/>
  <c r="Z85" i="1"/>
  <c r="Q83" i="1"/>
  <c r="J29" i="2"/>
  <c r="U24" i="2" s="1"/>
  <c r="K29" i="2"/>
  <c r="V24" i="2" s="1"/>
  <c r="J26" i="2"/>
  <c r="U23" i="2" s="1"/>
  <c r="K26" i="2"/>
  <c r="V23" i="2" s="1"/>
  <c r="AM20" i="2" a="1"/>
  <c r="AM20" i="2" s="1"/>
  <c r="AO24" i="2" s="1"/>
  <c r="S22" i="2"/>
  <c r="X22" i="2" s="1"/>
  <c r="K23" i="2"/>
  <c r="V22" i="2" s="1"/>
  <c r="J20" i="2"/>
  <c r="U21" i="2" s="1"/>
  <c r="K20" i="2"/>
  <c r="V21" i="2" s="1"/>
  <c r="Z84" i="3"/>
  <c r="AF45" i="3"/>
  <c r="AM45" i="3" s="1"/>
  <c r="X23" i="3"/>
  <c r="O45" i="3" s="1"/>
  <c r="AG45" i="3"/>
  <c r="Q23" i="3"/>
  <c r="J45" i="3" s="1"/>
  <c r="AH45" i="3" s="1"/>
  <c r="Q84" i="3"/>
  <c r="Q82" i="3"/>
  <c r="R19" i="3"/>
  <c r="K43" i="3" s="1"/>
  <c r="AG43" i="3"/>
  <c r="AF43" i="3"/>
  <c r="AM43" i="3" s="1"/>
  <c r="Q19" i="3"/>
  <c r="J43" i="3" s="1"/>
  <c r="X17" i="3"/>
  <c r="O42" i="3" s="1"/>
  <c r="AG42" i="3"/>
  <c r="AF42" i="3"/>
  <c r="AM42" i="3" s="1"/>
  <c r="K17" i="3"/>
  <c r="F42" i="3" s="1"/>
  <c r="AI42" i="3" s="1"/>
  <c r="L17" i="3"/>
  <c r="G42" i="3" s="1"/>
  <c r="R15" i="3"/>
  <c r="K41" i="3" s="1"/>
  <c r="Q80" i="3"/>
  <c r="AF40" i="3"/>
  <c r="AM40" i="3" s="1"/>
  <c r="Q13" i="3"/>
  <c r="J40" i="3" s="1"/>
  <c r="AG40" i="3"/>
  <c r="L13" i="3"/>
  <c r="G40" i="3" s="1"/>
  <c r="I79" i="3"/>
  <c r="AF38" i="3"/>
  <c r="AM38" i="3" s="1"/>
  <c r="X9" i="3"/>
  <c r="O38" i="3" s="1"/>
  <c r="Z77" i="3"/>
  <c r="R9" i="3"/>
  <c r="K38" i="3" s="1"/>
  <c r="Q9" i="3"/>
  <c r="J38" i="3" s="1"/>
  <c r="AH38" i="3" s="1"/>
  <c r="AG38" i="3"/>
  <c r="I77" i="3"/>
  <c r="BG47" i="3" a="1"/>
  <c r="AI44" i="3"/>
  <c r="AH44" i="3"/>
  <c r="AH40" i="3"/>
  <c r="AI40" i="3"/>
  <c r="AI47" i="3"/>
  <c r="P76" i="3"/>
  <c r="L15" i="3"/>
  <c r="G41" i="3" s="1"/>
  <c r="K15" i="3"/>
  <c r="F41" i="3" s="1"/>
  <c r="AG41" i="3"/>
  <c r="AF41" i="3"/>
  <c r="AM41" i="3" s="1"/>
  <c r="I80" i="3"/>
  <c r="AH48" i="3"/>
  <c r="AI48" i="3"/>
  <c r="Q7" i="3"/>
  <c r="J37" i="3" s="1"/>
  <c r="AI37" i="3" s="1"/>
  <c r="R7" i="3"/>
  <c r="K37" i="3" s="1"/>
  <c r="Q76" i="3"/>
  <c r="AF37" i="3"/>
  <c r="AM37" i="3" s="1"/>
  <c r="AI43" i="3"/>
  <c r="AH43" i="3"/>
  <c r="AI39" i="3"/>
  <c r="AH39" i="3"/>
  <c r="AG37" i="3"/>
  <c r="X27" i="3"/>
  <c r="O47" i="3" s="1"/>
  <c r="W27" i="3"/>
  <c r="N47" i="3" s="1"/>
  <c r="Z86" i="3"/>
  <c r="Q9" i="1"/>
  <c r="J38" i="1" s="1"/>
  <c r="Q77" i="1"/>
  <c r="W7" i="1"/>
  <c r="N37" i="1" s="1"/>
  <c r="X7" i="1"/>
  <c r="O37" i="1" s="1"/>
  <c r="Q21" i="1"/>
  <c r="J44" i="1" s="1"/>
  <c r="Q11" i="2"/>
  <c r="R23" i="2" s="1"/>
  <c r="Q9" i="2"/>
  <c r="R21" i="2" s="1"/>
  <c r="Q12" i="2"/>
  <c r="R24" i="2" s="1"/>
  <c r="Q10" i="2"/>
  <c r="R22" i="2" s="1"/>
  <c r="P11" i="2"/>
  <c r="D26" i="2" s="1"/>
  <c r="Q23" i="2" s="1"/>
  <c r="D29" i="2"/>
  <c r="Q24" i="2" s="1"/>
  <c r="Q22" i="2"/>
  <c r="D20" i="2"/>
  <c r="Q21" i="2" s="1"/>
  <c r="X9" i="1"/>
  <c r="O38" i="1" s="1"/>
  <c r="R13" i="1"/>
  <c r="K40" i="1" s="1"/>
  <c r="Q29" i="1"/>
  <c r="J48" i="1" s="1"/>
  <c r="AG48" i="1"/>
  <c r="AF48" i="1"/>
  <c r="AM48" i="1" s="1"/>
  <c r="Q76" i="1"/>
  <c r="R27" i="1"/>
  <c r="K47" i="1" s="1"/>
  <c r="AG47" i="1"/>
  <c r="AF47" i="1"/>
  <c r="AM47" i="1" s="1"/>
  <c r="R15" i="1"/>
  <c r="K41" i="1" s="1"/>
  <c r="AG41" i="1"/>
  <c r="AF41" i="1"/>
  <c r="AM41" i="1" s="1"/>
  <c r="Q88" i="1"/>
  <c r="AG49" i="1"/>
  <c r="AF49" i="1"/>
  <c r="AM49" i="1" s="1"/>
  <c r="Q84" i="1"/>
  <c r="AF45" i="1"/>
  <c r="AM45" i="1" s="1"/>
  <c r="AG45" i="1"/>
  <c r="Q78" i="1"/>
  <c r="AG39" i="1"/>
  <c r="AF39" i="1"/>
  <c r="AM39" i="1" s="1"/>
  <c r="Q17" i="1"/>
  <c r="J42" i="1" s="1"/>
  <c r="AG42" i="1"/>
  <c r="AF42" i="1"/>
  <c r="AM42" i="1" s="1"/>
  <c r="R25" i="1"/>
  <c r="K46" i="1" s="1"/>
  <c r="AG46" i="1"/>
  <c r="AF46" i="1"/>
  <c r="AM46" i="1" s="1"/>
  <c r="R19" i="1"/>
  <c r="K43" i="1" s="1"/>
  <c r="AG43" i="1"/>
  <c r="AF43" i="1"/>
  <c r="AM43" i="1" s="1"/>
  <c r="Q79" i="1"/>
  <c r="AG38" i="1"/>
  <c r="AF38" i="1"/>
  <c r="AM38" i="1" s="1"/>
  <c r="AF40" i="1"/>
  <c r="AM40" i="1" s="1"/>
  <c r="AG40" i="1"/>
  <c r="AF37" i="1"/>
  <c r="AM37" i="1" s="1"/>
  <c r="BG47" i="1" s="1" a="1"/>
  <c r="AG37" i="1"/>
  <c r="Q7" i="1"/>
  <c r="J37" i="1" s="1"/>
  <c r="AG44" i="1"/>
  <c r="AF44" i="1"/>
  <c r="AM44" i="1" s="1"/>
  <c r="Z77" i="1"/>
  <c r="Z79" i="1"/>
  <c r="X21" i="1"/>
  <c r="O44" i="1" s="1"/>
  <c r="Z83" i="1"/>
  <c r="X13" i="1"/>
  <c r="O40" i="1" s="1"/>
  <c r="Q23" i="1"/>
  <c r="J45" i="1" s="1"/>
  <c r="R23" i="1"/>
  <c r="K45" i="1" s="1"/>
  <c r="X19" i="1"/>
  <c r="O43" i="1" s="1"/>
  <c r="Q31" i="1"/>
  <c r="J49" i="1" s="1"/>
  <c r="Q87" i="1"/>
  <c r="Z82" i="1"/>
  <c r="Q80" i="1"/>
  <c r="AF7" i="1"/>
  <c r="Q85" i="1"/>
  <c r="W29" i="1"/>
  <c r="N48" i="1" s="1"/>
  <c r="Q25" i="1"/>
  <c r="J46" i="1" s="1"/>
  <c r="Q19" i="1"/>
  <c r="J43" i="1" s="1"/>
  <c r="Z87" i="1"/>
  <c r="R17" i="1"/>
  <c r="K42" i="1" s="1"/>
  <c r="R11" i="1"/>
  <c r="K39" i="1" s="1"/>
  <c r="Q81" i="1"/>
  <c r="R29" i="1"/>
  <c r="K48" i="1" s="1"/>
  <c r="R31" i="1"/>
  <c r="K49" i="1" s="1"/>
  <c r="Q15" i="1"/>
  <c r="J41" i="1" s="1"/>
  <c r="X17" i="1"/>
  <c r="O42" i="1" s="1"/>
  <c r="Z81" i="1"/>
  <c r="W31" i="1"/>
  <c r="N49" i="1" s="1"/>
  <c r="Q27" i="1"/>
  <c r="J47" i="1" s="1"/>
  <c r="Q86" i="1"/>
  <c r="X27" i="1"/>
  <c r="O47" i="1" s="1"/>
  <c r="W27" i="1"/>
  <c r="N47" i="1" s="1"/>
  <c r="Z88" i="1"/>
  <c r="K31" i="1"/>
  <c r="F49" i="1" s="1"/>
  <c r="I88" i="1"/>
  <c r="Y76" i="1"/>
  <c r="S107" i="1" s="1" a="1"/>
  <c r="T109" i="1" s="1"/>
  <c r="L107" i="1" a="1"/>
  <c r="K25" i="1"/>
  <c r="F46" i="1" s="1"/>
  <c r="I85" i="1"/>
  <c r="K9" i="1"/>
  <c r="F38" i="1" s="1"/>
  <c r="I77" i="1"/>
  <c r="K19" i="1"/>
  <c r="F43" i="1" s="1"/>
  <c r="I82" i="1"/>
  <c r="K23" i="1"/>
  <c r="F45" i="1" s="1"/>
  <c r="I84" i="1"/>
  <c r="L15" i="1"/>
  <c r="G41" i="1" s="1"/>
  <c r="I80" i="1"/>
  <c r="L13" i="1"/>
  <c r="G40" i="1" s="1"/>
  <c r="I79" i="1"/>
  <c r="K7" i="1"/>
  <c r="F37" i="1" s="1"/>
  <c r="I76" i="1"/>
  <c r="L11" i="1"/>
  <c r="G39" i="1" s="1"/>
  <c r="I78" i="1"/>
  <c r="L17" i="1"/>
  <c r="G42" i="1" s="1"/>
  <c r="I81" i="1"/>
  <c r="K21" i="1"/>
  <c r="F44" i="1" s="1"/>
  <c r="I83" i="1"/>
  <c r="K29" i="1"/>
  <c r="F48" i="1" s="1"/>
  <c r="I87" i="1"/>
  <c r="K27" i="1"/>
  <c r="F47" i="1" s="1"/>
  <c r="I86" i="1"/>
  <c r="N3" i="1"/>
  <c r="AF8" i="1" s="1"/>
  <c r="AF9" i="1" s="1"/>
  <c r="L31" i="1"/>
  <c r="G49" i="1" s="1"/>
  <c r="L23" i="1"/>
  <c r="G45" i="1" s="1"/>
  <c r="L25" i="1"/>
  <c r="G46" i="1" s="1"/>
  <c r="K17" i="1"/>
  <c r="F42" i="1" s="1"/>
  <c r="K15" i="1"/>
  <c r="F41" i="1" s="1"/>
  <c r="K11" i="1"/>
  <c r="F39" i="1" s="1"/>
  <c r="L7" i="1"/>
  <c r="G37" i="1" s="1"/>
  <c r="L21" i="1"/>
  <c r="G44" i="1" s="1"/>
  <c r="L29" i="1"/>
  <c r="G48" i="1" s="1"/>
  <c r="L27" i="1"/>
  <c r="G47" i="1" s="1"/>
  <c r="K13" i="1"/>
  <c r="F40" i="1" s="1"/>
  <c r="L9" i="1"/>
  <c r="G38" i="1" s="1"/>
  <c r="AM22" i="2" l="1"/>
  <c r="AM21" i="2"/>
  <c r="AO25" i="2" s="1"/>
  <c r="AN20" i="2"/>
  <c r="AN22" i="2"/>
  <c r="AN21" i="2"/>
  <c r="AI45" i="3"/>
  <c r="AH42" i="3"/>
  <c r="AI38" i="3"/>
  <c r="AH41" i="3"/>
  <c r="AI41" i="3"/>
  <c r="AH47" i="3"/>
  <c r="AH37" i="3"/>
  <c r="BH49" i="3"/>
  <c r="BG49" i="3"/>
  <c r="BH48" i="3"/>
  <c r="BH47" i="3"/>
  <c r="BG48" i="3"/>
  <c r="BG47" i="3"/>
  <c r="BL46" i="3" s="1"/>
  <c r="L107" i="3" a="1"/>
  <c r="Y76" i="3"/>
  <c r="S107" i="3" s="1" a="1"/>
  <c r="L102" i="3" a="1"/>
  <c r="D117" i="3"/>
  <c r="S102" i="3" a="1"/>
  <c r="W22" i="2"/>
  <c r="W24" i="2"/>
  <c r="W23" i="2"/>
  <c r="W21" i="2"/>
  <c r="Q28" i="2" a="1"/>
  <c r="Y28" i="2" a="1"/>
  <c r="BG47" i="1"/>
  <c r="BL46" i="1" s="1"/>
  <c r="BG49" i="1"/>
  <c r="BH48" i="1"/>
  <c r="BH49" i="1"/>
  <c r="BG48" i="1"/>
  <c r="BH47" i="1"/>
  <c r="AI47" i="1"/>
  <c r="AH47" i="1"/>
  <c r="AI41" i="1"/>
  <c r="AH41" i="1"/>
  <c r="AI49" i="1"/>
  <c r="AH49" i="1"/>
  <c r="AI39" i="1"/>
  <c r="AH39" i="1"/>
  <c r="AI45" i="1"/>
  <c r="AH45" i="1"/>
  <c r="AI43" i="1"/>
  <c r="AH43" i="1"/>
  <c r="AI38" i="1"/>
  <c r="AH38" i="1"/>
  <c r="C107" i="1" a="1"/>
  <c r="C107" i="1" s="1"/>
  <c r="D117" i="1" s="1"/>
  <c r="AI40" i="1"/>
  <c r="AH40" i="1"/>
  <c r="AH48" i="1"/>
  <c r="AI48" i="1"/>
  <c r="AI44" i="1"/>
  <c r="AH44" i="1"/>
  <c r="AI42" i="1"/>
  <c r="AH42" i="1"/>
  <c r="AI37" i="1"/>
  <c r="AH37" i="1"/>
  <c r="AH46" i="1"/>
  <c r="AI46" i="1"/>
  <c r="T108" i="1"/>
  <c r="S107" i="1"/>
  <c r="S117" i="1" s="1"/>
  <c r="S108" i="1"/>
  <c r="S109" i="1"/>
  <c r="T107" i="1"/>
  <c r="L107" i="1"/>
  <c r="M117" i="1" s="1"/>
  <c r="L108" i="1"/>
  <c r="M109" i="1"/>
  <c r="M108" i="1"/>
  <c r="M107" i="1"/>
  <c r="L109" i="1"/>
  <c r="D119" i="3" l="1"/>
  <c r="BL48" i="3"/>
  <c r="T103" i="3"/>
  <c r="S103" i="3"/>
  <c r="T102" i="3"/>
  <c r="S102" i="3"/>
  <c r="T104" i="3"/>
  <c r="S104" i="3"/>
  <c r="L103" i="3"/>
  <c r="M102" i="3"/>
  <c r="L102" i="3"/>
  <c r="M103" i="3"/>
  <c r="M104" i="3"/>
  <c r="L104" i="3"/>
  <c r="S108" i="3"/>
  <c r="T107" i="3"/>
  <c r="S107" i="3"/>
  <c r="S117" i="3" s="1"/>
  <c r="T109" i="3"/>
  <c r="S109" i="3"/>
  <c r="T108" i="3"/>
  <c r="D112" i="3"/>
  <c r="D113" i="3" s="1"/>
  <c r="H47" i="3"/>
  <c r="I47" i="3" s="1"/>
  <c r="H40" i="3"/>
  <c r="I40" i="3" s="1"/>
  <c r="H45" i="3"/>
  <c r="I45" i="3" s="1"/>
  <c r="H46" i="3"/>
  <c r="I46" i="3" s="1"/>
  <c r="H44" i="3"/>
  <c r="I44" i="3" s="1"/>
  <c r="H49" i="3"/>
  <c r="I49" i="3" s="1"/>
  <c r="D115" i="3"/>
  <c r="H41" i="3"/>
  <c r="I41" i="3" s="1"/>
  <c r="H38" i="3"/>
  <c r="I38" i="3" s="1"/>
  <c r="H43" i="3"/>
  <c r="I43" i="3" s="1"/>
  <c r="H48" i="3"/>
  <c r="I48" i="3" s="1"/>
  <c r="H39" i="3"/>
  <c r="I39" i="3" s="1"/>
  <c r="H42" i="3"/>
  <c r="I42" i="3" s="1"/>
  <c r="H37" i="3"/>
  <c r="I37" i="3" s="1"/>
  <c r="AP47" i="3" a="1"/>
  <c r="M107" i="3"/>
  <c r="L107" i="3"/>
  <c r="M117" i="3" s="1"/>
  <c r="M109" i="3"/>
  <c r="L109" i="3"/>
  <c r="M108" i="3"/>
  <c r="L108" i="3"/>
  <c r="S119" i="1"/>
  <c r="BL48" i="1"/>
  <c r="Y28" i="2"/>
  <c r="Z29" i="2"/>
  <c r="Y29" i="2"/>
  <c r="Z30" i="2"/>
  <c r="Z28" i="2"/>
  <c r="Y30" i="2"/>
  <c r="Q28" i="2"/>
  <c r="R28" i="2"/>
  <c r="R30" i="2"/>
  <c r="Q30" i="2"/>
  <c r="Q29" i="2"/>
  <c r="R29" i="2"/>
  <c r="D108" i="1"/>
  <c r="D109" i="1"/>
  <c r="C108" i="1"/>
  <c r="D119" i="1" s="1"/>
  <c r="D107" i="1"/>
  <c r="C109" i="1"/>
  <c r="M119" i="1"/>
  <c r="S119" i="3" l="1"/>
  <c r="AQ49" i="3"/>
  <c r="AQ48" i="3"/>
  <c r="AP48" i="3"/>
  <c r="AQ47" i="3"/>
  <c r="AP47" i="3"/>
  <c r="AP49" i="3"/>
  <c r="S112" i="3"/>
  <c r="S113" i="3" s="1"/>
  <c r="P37" i="3"/>
  <c r="Q37" i="3" s="1"/>
  <c r="P43" i="3"/>
  <c r="Q43" i="3" s="1"/>
  <c r="P48" i="3"/>
  <c r="Q48" i="3" s="1"/>
  <c r="P38" i="3"/>
  <c r="Q38" i="3" s="1"/>
  <c r="P40" i="3"/>
  <c r="Q40" i="3" s="1"/>
  <c r="P39" i="3"/>
  <c r="Q39" i="3" s="1"/>
  <c r="P49" i="3"/>
  <c r="Q49" i="3" s="1"/>
  <c r="P41" i="3"/>
  <c r="Q41" i="3" s="1"/>
  <c r="P42" i="3"/>
  <c r="Q42" i="3" s="1"/>
  <c r="P44" i="3"/>
  <c r="Q44" i="3" s="1"/>
  <c r="P45" i="3"/>
  <c r="Q45" i="3" s="1"/>
  <c r="S111" i="3"/>
  <c r="S115" i="3" s="1"/>
  <c r="P47" i="3"/>
  <c r="Q47" i="3" s="1"/>
  <c r="P46" i="3"/>
  <c r="Q46" i="3" s="1"/>
  <c r="M112" i="3"/>
  <c r="L37" i="3"/>
  <c r="M37" i="3" s="1"/>
  <c r="L38" i="3"/>
  <c r="M38" i="3" s="1"/>
  <c r="L41" i="3"/>
  <c r="M41" i="3" s="1"/>
  <c r="M111" i="3"/>
  <c r="M115" i="3" s="1"/>
  <c r="L43" i="3"/>
  <c r="M43" i="3" s="1"/>
  <c r="L45" i="3"/>
  <c r="M45" i="3" s="1"/>
  <c r="L44" i="3"/>
  <c r="M44" i="3" s="1"/>
  <c r="L42" i="3"/>
  <c r="M42" i="3" s="1"/>
  <c r="L47" i="3"/>
  <c r="M47" i="3" s="1"/>
  <c r="L40" i="3"/>
  <c r="M40" i="3" s="1"/>
  <c r="L48" i="3"/>
  <c r="M48" i="3" s="1"/>
  <c r="L39" i="3"/>
  <c r="M39" i="3" s="1"/>
  <c r="L49" i="3"/>
  <c r="M49" i="3" s="1"/>
  <c r="L46" i="3"/>
  <c r="M46" i="3" s="1"/>
  <c r="M119" i="3"/>
  <c r="Q65" i="2"/>
  <c r="Y21" i="2"/>
  <c r="Z21" i="2" s="1"/>
  <c r="Y22" i="2"/>
  <c r="Z22" i="2" s="1"/>
  <c r="Y23" i="2"/>
  <c r="Z23" i="2" s="1"/>
  <c r="Y24" i="2"/>
  <c r="Z24" i="2" s="1"/>
  <c r="Z65" i="2"/>
  <c r="AA22" i="2"/>
  <c r="AB22" i="2" s="1"/>
  <c r="AA24" i="2"/>
  <c r="AB24" i="2" s="1"/>
  <c r="AA23" i="2"/>
  <c r="AB23" i="2" s="1"/>
  <c r="AA21" i="2"/>
  <c r="AB21" i="2" s="1"/>
  <c r="E3" i="1"/>
  <c r="E31" i="1"/>
  <c r="D49" i="1" s="1"/>
  <c r="AD49" i="1" s="1"/>
  <c r="E29" i="1"/>
  <c r="D48" i="1" s="1"/>
  <c r="AD48" i="1" s="1"/>
  <c r="E27" i="1"/>
  <c r="D47" i="1" s="1"/>
  <c r="AD47" i="1" s="1"/>
  <c r="E25" i="1"/>
  <c r="D46" i="1" s="1"/>
  <c r="AD46" i="1" s="1"/>
  <c r="E23" i="1"/>
  <c r="D45" i="1" s="1"/>
  <c r="AD45" i="1" s="1"/>
  <c r="E21" i="1"/>
  <c r="D44" i="1" s="1"/>
  <c r="AD44" i="1" s="1"/>
  <c r="E19" i="1"/>
  <c r="D43" i="1" s="1"/>
  <c r="AD43" i="1" s="1"/>
  <c r="E17" i="1"/>
  <c r="D42" i="1" s="1"/>
  <c r="AD42" i="1" s="1"/>
  <c r="E15" i="1"/>
  <c r="D41" i="1" s="1"/>
  <c r="AD41" i="1" s="1"/>
  <c r="D40" i="1"/>
  <c r="AD40" i="1" s="1"/>
  <c r="E11" i="1"/>
  <c r="D39" i="1" s="1"/>
  <c r="AD39" i="1" s="1"/>
  <c r="E9" i="1"/>
  <c r="D38" i="1" s="1"/>
  <c r="AD38" i="1" s="1"/>
  <c r="E7" i="1"/>
  <c r="D37" i="1" s="1"/>
  <c r="AD37" i="1" s="1"/>
  <c r="M113" i="3" l="1"/>
  <c r="AU47" i="3"/>
  <c r="AU46" i="3"/>
  <c r="AU50" i="3" s="1"/>
  <c r="AJ37" i="3"/>
  <c r="AK37" i="3" s="1"/>
  <c r="AJ38" i="3"/>
  <c r="AK38" i="3" s="1"/>
  <c r="AJ48" i="3"/>
  <c r="AK48" i="3" s="1"/>
  <c r="AJ43" i="3"/>
  <c r="AK43" i="3" s="1"/>
  <c r="AJ39" i="3"/>
  <c r="AK39" i="3" s="1"/>
  <c r="AJ41" i="3"/>
  <c r="AK41" i="3" s="1"/>
  <c r="AJ49" i="3"/>
  <c r="AK49" i="3" s="1"/>
  <c r="AJ42" i="3"/>
  <c r="AK42" i="3" s="1"/>
  <c r="AJ44" i="3"/>
  <c r="AK44" i="3" s="1"/>
  <c r="AJ47" i="3"/>
  <c r="AK47" i="3" s="1"/>
  <c r="AJ45" i="3"/>
  <c r="AK45" i="3" s="1"/>
  <c r="AJ40" i="3"/>
  <c r="AK40" i="3" s="1"/>
  <c r="AJ46" i="3"/>
  <c r="AK46" i="3" s="1"/>
  <c r="AP47" i="1" a="1"/>
  <c r="S102" i="1" a="1"/>
  <c r="F21" i="1"/>
  <c r="E44" i="1" s="1"/>
  <c r="AE44" i="1" s="1"/>
  <c r="F23" i="1"/>
  <c r="E45" i="1" s="1"/>
  <c r="AE45" i="1" s="1"/>
  <c r="F27" i="1"/>
  <c r="E47" i="1" s="1"/>
  <c r="AE47" i="1" s="1"/>
  <c r="F29" i="1"/>
  <c r="E48" i="1" s="1"/>
  <c r="AE48" i="1" s="1"/>
  <c r="F7" i="1"/>
  <c r="E37" i="1" s="1"/>
  <c r="AE37" i="1" s="1"/>
  <c r="F31" i="1"/>
  <c r="E49" i="1" s="1"/>
  <c r="AE49" i="1" s="1"/>
  <c r="F9" i="1"/>
  <c r="E38" i="1" s="1"/>
  <c r="AE38" i="1" s="1"/>
  <c r="F11" i="1"/>
  <c r="E39" i="1" s="1"/>
  <c r="AE39" i="1" s="1"/>
  <c r="F25" i="1"/>
  <c r="E46" i="1" s="1"/>
  <c r="AE46" i="1" s="1"/>
  <c r="F13" i="1"/>
  <c r="E40" i="1" s="1"/>
  <c r="AE40" i="1" s="1"/>
  <c r="F15" i="1"/>
  <c r="E41" i="1" s="1"/>
  <c r="AE41" i="1" s="1"/>
  <c r="F17" i="1"/>
  <c r="E42" i="1" s="1"/>
  <c r="AE42" i="1" s="1"/>
  <c r="F19" i="1"/>
  <c r="E43" i="1" s="1"/>
  <c r="AE43" i="1" s="1"/>
  <c r="AU48" i="3" l="1"/>
  <c r="AP47" i="1"/>
  <c r="AQ49" i="1"/>
  <c r="AP48" i="1"/>
  <c r="AP49" i="1"/>
  <c r="AQ48" i="1"/>
  <c r="AQ47" i="1"/>
  <c r="S102" i="1"/>
  <c r="S104" i="1"/>
  <c r="T103" i="1"/>
  <c r="T104" i="1"/>
  <c r="S103" i="1"/>
  <c r="T102" i="1"/>
  <c r="L102" i="1" a="1"/>
  <c r="C102" i="1" a="1"/>
  <c r="AU47" i="1" l="1"/>
  <c r="AU46" i="1"/>
  <c r="AU50" i="1" s="1"/>
  <c r="AJ44" i="1"/>
  <c r="AK44" i="1" s="1"/>
  <c r="AJ41" i="1"/>
  <c r="AK41" i="1" s="1"/>
  <c r="AJ48" i="1"/>
  <c r="AK48" i="1" s="1"/>
  <c r="AJ46" i="1"/>
  <c r="AK46" i="1" s="1"/>
  <c r="AJ42" i="1"/>
  <c r="AK42" i="1" s="1"/>
  <c r="AJ47" i="1"/>
  <c r="AK47" i="1" s="1"/>
  <c r="AJ43" i="1"/>
  <c r="AK43" i="1" s="1"/>
  <c r="AJ45" i="1"/>
  <c r="AK45" i="1" s="1"/>
  <c r="AJ37" i="1"/>
  <c r="AK37" i="1" s="1"/>
  <c r="AJ49" i="1"/>
  <c r="AK49" i="1" s="1"/>
  <c r="AJ38" i="1"/>
  <c r="AK38" i="1" s="1"/>
  <c r="AJ39" i="1"/>
  <c r="AK39" i="1" s="1"/>
  <c r="AJ40" i="1"/>
  <c r="AK40" i="1" s="1"/>
  <c r="S112" i="1"/>
  <c r="P37" i="1"/>
  <c r="Q37" i="1" s="1"/>
  <c r="C102" i="1"/>
  <c r="D103" i="1"/>
  <c r="C103" i="1"/>
  <c r="D104" i="1"/>
  <c r="D102" i="1"/>
  <c r="C104" i="1"/>
  <c r="L102" i="1"/>
  <c r="L103" i="1"/>
  <c r="L104" i="1"/>
  <c r="M104" i="1"/>
  <c r="M102" i="1"/>
  <c r="M103" i="1"/>
  <c r="AU48" i="1" l="1"/>
  <c r="D112" i="1"/>
  <c r="D111" i="1"/>
  <c r="D115" i="1" s="1"/>
  <c r="M112" i="1"/>
  <c r="L37" i="1"/>
  <c r="M37" i="1" s="1"/>
  <c r="H42" i="1"/>
  <c r="I42" i="1" s="1"/>
  <c r="H47" i="1"/>
  <c r="I47" i="1" s="1"/>
  <c r="H39" i="1"/>
  <c r="I39" i="1" s="1"/>
  <c r="H44" i="1"/>
  <c r="I44" i="1" s="1"/>
  <c r="H45" i="1"/>
  <c r="I45" i="1" s="1"/>
  <c r="H48" i="1"/>
  <c r="I48" i="1" s="1"/>
  <c r="H49" i="1"/>
  <c r="I49" i="1" s="1"/>
  <c r="H38" i="1"/>
  <c r="I38" i="1" s="1"/>
  <c r="H41" i="1"/>
  <c r="I41" i="1" s="1"/>
  <c r="H37" i="1"/>
  <c r="I37" i="1" s="1"/>
  <c r="H43" i="1"/>
  <c r="I43" i="1" s="1"/>
  <c r="H46" i="1"/>
  <c r="I46" i="1" s="1"/>
  <c r="H40" i="1"/>
  <c r="I40" i="1" s="1"/>
  <c r="M111" i="1"/>
  <c r="L47" i="1"/>
  <c r="M47" i="1" s="1"/>
  <c r="L44" i="1"/>
  <c r="M44" i="1" s="1"/>
  <c r="L39" i="1"/>
  <c r="M39" i="1" s="1"/>
  <c r="L42" i="1"/>
  <c r="M42" i="1" s="1"/>
  <c r="L48" i="1"/>
  <c r="M48" i="1" s="1"/>
  <c r="L49" i="1"/>
  <c r="M49" i="1" s="1"/>
  <c r="L45" i="1"/>
  <c r="M45" i="1" s="1"/>
  <c r="L41" i="1"/>
  <c r="M41" i="1" s="1"/>
  <c r="L40" i="1"/>
  <c r="M40" i="1" s="1"/>
  <c r="L43" i="1"/>
  <c r="M43" i="1" s="1"/>
  <c r="L38" i="1"/>
  <c r="M38" i="1" s="1"/>
  <c r="L46" i="1"/>
  <c r="M46" i="1" s="1"/>
  <c r="S111" i="1"/>
  <c r="P39" i="1"/>
  <c r="Q39" i="1" s="1"/>
  <c r="P44" i="1"/>
  <c r="Q44" i="1" s="1"/>
  <c r="P47" i="1"/>
  <c r="Q47" i="1" s="1"/>
  <c r="P49" i="1"/>
  <c r="Q49" i="1" s="1"/>
  <c r="P42" i="1"/>
  <c r="Q42" i="1" s="1"/>
  <c r="P45" i="1"/>
  <c r="Q45" i="1" s="1"/>
  <c r="P48" i="1"/>
  <c r="Q48" i="1" s="1"/>
  <c r="P41" i="1"/>
  <c r="Q41" i="1" s="1"/>
  <c r="P43" i="1"/>
  <c r="Q43" i="1" s="1"/>
  <c r="P40" i="1"/>
  <c r="Q40" i="1" s="1"/>
  <c r="P46" i="1"/>
  <c r="Q46" i="1" s="1"/>
  <c r="P38" i="1"/>
  <c r="Q38" i="1" s="1"/>
  <c r="D113" i="1" l="1"/>
  <c r="S113" i="1"/>
  <c r="S115" i="1"/>
  <c r="M113" i="1"/>
  <c r="M115" i="1"/>
</calcChain>
</file>

<file path=xl/sharedStrings.xml><?xml version="1.0" encoding="utf-8"?>
<sst xmlns="http://schemas.openxmlformats.org/spreadsheetml/2006/main" count="411" uniqueCount="111">
  <si>
    <t>ℓ (cm)</t>
  </si>
  <si>
    <r>
      <t>ℓ</t>
    </r>
    <r>
      <rPr>
        <vertAlign val="superscript"/>
        <sz val="11"/>
        <color rgb="FF202124"/>
        <rFont val="Calibri"/>
        <family val="2"/>
        <scheme val="minor"/>
      </rPr>
      <t>4</t>
    </r>
    <r>
      <rPr>
        <sz val="11"/>
        <color rgb="FF202124"/>
        <rFont val="Calibri"/>
        <family val="2"/>
        <scheme val="minor"/>
      </rPr>
      <t xml:space="preserve"> (m)</t>
    </r>
  </si>
  <si>
    <r>
      <t>u(ℓ</t>
    </r>
    <r>
      <rPr>
        <vertAlign val="superscript"/>
        <sz val="11"/>
        <color rgb="FF202124"/>
        <rFont val="Calibri"/>
        <family val="2"/>
        <scheme val="minor"/>
      </rPr>
      <t>4</t>
    </r>
    <r>
      <rPr>
        <sz val="11"/>
        <color rgb="FF202124"/>
        <rFont val="Calibri"/>
        <family val="2"/>
        <scheme val="minor"/>
      </rPr>
      <t>) (m)</t>
    </r>
  </si>
  <si>
    <t>u(ℓ) (cm)</t>
  </si>
  <si>
    <t>u(ℓ) (m)</t>
  </si>
  <si>
    <t>t (s)</t>
  </si>
  <si>
    <t>T (s)</t>
  </si>
  <si>
    <r>
      <t>(T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</si>
  <si>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u(T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>) (s)</t>
    </r>
  </si>
  <si>
    <r>
      <t>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 xml:space="preserve"> (s)</t>
    </r>
  </si>
  <si>
    <r>
      <t>u((T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</si>
  <si>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u(t) (s)</t>
  </si>
  <si>
    <t>i = 51</t>
  </si>
  <si>
    <t>i = 101</t>
  </si>
  <si>
    <t>i = 151</t>
  </si>
  <si>
    <t>u(m) (kg)</t>
  </si>
  <si>
    <t>u(d) (m)</t>
  </si>
  <si>
    <t>Medições</t>
  </si>
  <si>
    <t>m</t>
  </si>
  <si>
    <t>d</t>
  </si>
  <si>
    <t>u(l) (m)</t>
  </si>
  <si>
    <t>Média</t>
  </si>
  <si>
    <t>u(média)</t>
  </si>
  <si>
    <r>
      <t>ρ (kg m</t>
    </r>
    <r>
      <rPr>
        <vertAlign val="superscript"/>
        <sz val="11"/>
        <color theme="1"/>
        <rFont val="Calibri"/>
        <family val="2"/>
      </rPr>
      <t>-3</t>
    </r>
    <r>
      <rPr>
        <sz val="11"/>
        <color theme="1"/>
        <rFont val="Calibri"/>
        <family val="2"/>
      </rPr>
      <t>)</t>
    </r>
  </si>
  <si>
    <r>
      <t>V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</si>
  <si>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u(ρ) (kg m</t>
    </r>
    <r>
      <rPr>
        <vertAlign val="superscript"/>
        <sz val="11"/>
        <color theme="1"/>
        <rFont val="Calibri"/>
        <family val="2"/>
      </rPr>
      <t>-3</t>
    </r>
    <r>
      <rPr>
        <sz val="11"/>
        <color theme="1"/>
        <rFont val="Calibri"/>
        <family val="2"/>
      </rPr>
      <t>)</t>
    </r>
  </si>
  <si>
    <t>u(ρ) (%)</t>
  </si>
  <si>
    <r>
      <t>u(V)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</si>
  <si>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i=51</t>
    </r>
  </si>
  <si>
    <t>s(m)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</si>
  <si>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</si>
  <si>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b</t>
  </si>
  <si>
    <t>s(b)</t>
  </si>
  <si>
    <t>s(y)</t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</si>
  <si>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i=101</t>
    </r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</si>
  <si>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i=151</t>
    </r>
  </si>
  <si>
    <t>E = ( 5,029 * pi^2 * rho ) / ( m * D^2 )</t>
  </si>
  <si>
    <r>
      <t>E (Nm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</si>
  <si>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r>
      <t>u(E) (Nm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</si>
  <si>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u(E) (%)</t>
  </si>
  <si>
    <t>Ajuste</t>
  </si>
  <si>
    <t>Resíduos</t>
  </si>
  <si>
    <t>log l</t>
  </si>
  <si>
    <t>log T</t>
  </si>
  <si>
    <t>Regressão de log(T)[log(ℓ)] para i=51</t>
  </si>
  <si>
    <t>Regressão de log(T)[log(ℓ)] para i=101</t>
  </si>
  <si>
    <t>Regressão de log(T)[log(ℓ)] para i=151</t>
  </si>
  <si>
    <t>Erro Linearização</t>
  </si>
  <si>
    <t>Incerteza Linearização</t>
  </si>
  <si>
    <r>
      <t>E</t>
    </r>
    <r>
      <rPr>
        <vertAlign val="subscript"/>
        <sz val="11"/>
        <color theme="1"/>
        <rFont val="Calibri"/>
        <family val="2"/>
        <scheme val="minor"/>
      </rPr>
      <t>ref</t>
    </r>
  </si>
  <si>
    <t>Erro (%)</t>
  </si>
  <si>
    <t>Média dos 3 i</t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</si>
  <si>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médio</t>
    </r>
  </si>
  <si>
    <t>Log(ℓ)</t>
  </si>
  <si>
    <t>Log(T)</t>
  </si>
  <si>
    <t>Regressão de log(T)[log(ℓ)] para média</t>
  </si>
  <si>
    <t>Disco</t>
  </si>
  <si>
    <t>Coroa</t>
  </si>
  <si>
    <t>Prisma</t>
  </si>
  <si>
    <t>D</t>
  </si>
  <si>
    <t>M (kg)</t>
  </si>
  <si>
    <t>M (g)</t>
  </si>
  <si>
    <t>D (mm)</t>
  </si>
  <si>
    <t>D1 (mm)</t>
  </si>
  <si>
    <t>D2 (mm)</t>
  </si>
  <si>
    <t>b (mm)</t>
  </si>
  <si>
    <t>Média (SI)</t>
  </si>
  <si>
    <t>u (SI)</t>
  </si>
  <si>
    <t>I</t>
  </si>
  <si>
    <t>Momentos de Inércia</t>
  </si>
  <si>
    <t>Prisma - eixo maior b</t>
  </si>
  <si>
    <t>Prisma - eixo menor b</t>
  </si>
  <si>
    <t>h (mm)</t>
  </si>
  <si>
    <t>Sistema B</t>
  </si>
  <si>
    <t>Sistema A</t>
  </si>
  <si>
    <t>Sistema C</t>
  </si>
  <si>
    <t>Sistema D</t>
  </si>
  <si>
    <t>I sistema</t>
  </si>
  <si>
    <r>
      <t>θ</t>
    </r>
    <r>
      <rPr>
        <vertAlign val="subscript"/>
        <sz val="10"/>
        <color rgb="FF202124"/>
        <rFont val="Arial"/>
        <family val="2"/>
      </rPr>
      <t>máx</t>
    </r>
    <r>
      <rPr>
        <sz val="10"/>
        <color rgb="FF202124"/>
        <rFont val="Arial"/>
        <family val="2"/>
      </rPr>
      <t xml:space="preserve"> (º)</t>
    </r>
  </si>
  <si>
    <t>ℓ (mm)</t>
  </si>
  <si>
    <t>Fio</t>
  </si>
  <si>
    <t>d (mm)</t>
  </si>
  <si>
    <t>Após A</t>
  </si>
  <si>
    <t>Após B</t>
  </si>
  <si>
    <t>Após C</t>
  </si>
  <si>
    <t>Após D</t>
  </si>
  <si>
    <t>T médio (s)</t>
  </si>
  <si>
    <t>A</t>
  </si>
  <si>
    <t>B</t>
  </si>
  <si>
    <t>C</t>
  </si>
  <si>
    <t>u(T médio)</t>
  </si>
  <si>
    <r>
      <t>T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</si>
  <si>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u(T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</si>
  <si>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log(I)</t>
  </si>
  <si>
    <t>log(T)</t>
  </si>
  <si>
    <t>Log(I) [Log(T)]</t>
  </si>
  <si>
    <t>Incerteza % Linearização</t>
  </si>
  <si>
    <t>Erro % Linearização</t>
  </si>
  <si>
    <t>u(I)</t>
  </si>
  <si>
    <t>Ajuste 1</t>
  </si>
  <si>
    <t>Resíduos 1</t>
  </si>
  <si>
    <t>Ajuste 2</t>
  </si>
  <si>
    <t>Resíduos 2</t>
  </si>
  <si>
    <r>
      <t>I(T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</si>
  <si>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(I)</t>
    </r>
  </si>
  <si>
    <t>μ</t>
  </si>
  <si>
    <t>μ ref</t>
  </si>
  <si>
    <t>79,3 Gpa</t>
  </si>
  <si>
    <t>l (mm)</t>
  </si>
  <si>
    <t>m (g)</t>
  </si>
  <si>
    <t>SENTIDO ANTI-HORARIO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</si>
</sst>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0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vertAlign val="superscript"/>
      <sz val="11"/>
      <color rgb="FF202124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202124"/>
      <name val="Arial"/>
      <family val="2"/>
    </font>
    <font>
      <vertAlign val="subscript"/>
      <sz val="10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ADF"/>
      <color rgb="FFFFEBE5"/>
      <color rgb="FFFFFC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51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'Barra (2)'!$F$37:$F$49</c:f>
              <c:numCache>
                <c:formatCode>General</c:formatCode>
                <c:ptCount val="13"/>
                <c:pt idx="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>
                  <c:v>3.9438400000000014E-3</c:v>
                </c:pt>
                <c:pt idx="7">
                  <c:v>4.6240000000000005E-3</c:v>
                </c:pt>
                <c:pt idx="8">
                  <c:v>5.1840000000000011E-3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F2-465A-B649-878FC9114A16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'Barra (2)'!$H$37:$H$49</c:f>
              <c:numCache>
                <c:formatCode>General</c:formatCode>
                <c:ptCount val="13"/>
                <c:pt idx="0">
                  <c:v>5.7149370657798401E-4</c:v>
                </c:pt>
                <c:pt idx="1">
                  <c:v>1.1454806099035824E-3</c:v>
                </c:pt>
                <c:pt idx="2">
                  <c:v>1.7137723091503782E-3</c:v>
                </c:pt>
                <c:pt idx="3">
                  <c:v>2.3018892280494236E-3</c:v>
                </c:pt>
                <c:pt idx="4">
                  <c:v>2.8669128320170504E-3</c:v>
                </c:pt>
                <c:pt idx="5">
                  <c:v>3.4374353016204981E-3</c:v>
                </c:pt>
                <c:pt idx="6">
                  <c:v>4.0373186274015073E-3</c:v>
                </c:pt>
                <c:pt idx="7">
                  <c:v>4.5953760989724136E-3</c:v>
                </c:pt>
                <c:pt idx="8">
                  <c:v>5.1460012863071662E-3</c:v>
                </c:pt>
                <c:pt idx="9">
                  <c:v>5.5442569470069789E-5</c:v>
                </c:pt>
                <c:pt idx="10">
                  <c:v>5.5442569470069789E-5</c:v>
                </c:pt>
                <c:pt idx="11">
                  <c:v>5.5442569470069789E-5</c:v>
                </c:pt>
                <c:pt idx="12">
                  <c:v>5.5442569470069789E-5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F2-465A-B649-878FC9114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51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'Barra (2)'!$F$37:$F$49</c:f>
              <c:numCache>
                <c:formatCode>General</c:formatCode>
                <c:ptCount val="13"/>
                <c:pt idx="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>
                  <c:v>3.9438400000000014E-3</c:v>
                </c:pt>
                <c:pt idx="7">
                  <c:v>4.6240000000000005E-3</c:v>
                </c:pt>
                <c:pt idx="8">
                  <c:v>5.1840000000000011E-3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F1-4B8B-A4F2-455821415C90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'Barra (2)'!$L$37:$L$49</c:f>
              <c:numCache>
                <c:formatCode>General</c:formatCode>
                <c:ptCount val="13"/>
                <c:pt idx="0">
                  <c:v>5.4685825065541819E-4</c:v>
                </c:pt>
                <c:pt idx="1">
                  <c:v>1.1368642176701716E-3</c:v>
                </c:pt>
                <c:pt idx="2">
                  <c:v>1.7210160364972366E-3</c:v>
                </c:pt>
                <c:pt idx="3">
                  <c:v>2.3255463653990695E-3</c:v>
                </c:pt>
                <c:pt idx="4">
                  <c:v>2.9063388815934246E-3</c:v>
                </c:pt>
                <c:pt idx="5">
                  <c:v>3.4927837280380862E-3</c:v>
                </c:pt>
                <c:pt idx="6">
                  <c:v>4.1094088455674287E-3</c:v>
                </c:pt>
                <c:pt idx="7">
                  <c:v>4.683040815663491E-3</c:v>
                </c:pt>
                <c:pt idx="8">
                  <c:v>5.2490330782636596E-3</c:v>
                </c:pt>
                <c:pt idx="9">
                  <c:v>1.6404945163004964E-5</c:v>
                </c:pt>
                <c:pt idx="10">
                  <c:v>1.6404945163004964E-5</c:v>
                </c:pt>
                <c:pt idx="11">
                  <c:v>1.6404945163004964E-5</c:v>
                </c:pt>
                <c:pt idx="12">
                  <c:v>1.6404945163004964E-5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F1-4B8B-A4F2-455821415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51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'Barra (2)'!$F$37:$F$49</c:f>
              <c:numCache>
                <c:formatCode>General</c:formatCode>
                <c:ptCount val="13"/>
                <c:pt idx="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>
                  <c:v>3.9438400000000014E-3</c:v>
                </c:pt>
                <c:pt idx="7">
                  <c:v>4.6240000000000005E-3</c:v>
                </c:pt>
                <c:pt idx="8">
                  <c:v>5.1840000000000011E-3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62-4A09-8C7B-60B69CB378B9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'Barra (2)'!$P$37:$P$49</c:f>
              <c:numCache>
                <c:formatCode>General</c:formatCode>
                <c:ptCount val="13"/>
                <c:pt idx="0">
                  <c:v>5.7174259989816888E-4</c:v>
                </c:pt>
                <c:pt idx="1">
                  <c:v>1.167516191520763E-3</c:v>
                </c:pt>
                <c:pt idx="2">
                  <c:v>1.7573784075189428E-3</c:v>
                </c:pt>
                <c:pt idx="3">
                  <c:v>2.3678183444520331E-3</c:v>
                </c:pt>
                <c:pt idx="4">
                  <c:v>2.9542884188334712E-3</c:v>
                </c:pt>
                <c:pt idx="5">
                  <c:v>3.5464660780234166E-3</c:v>
                </c:pt>
                <c:pt idx="6">
                  <c:v>4.169119036626417E-3</c:v>
                </c:pt>
                <c:pt idx="7">
                  <c:v>4.748358566732949E-3</c:v>
                </c:pt>
                <c:pt idx="8">
                  <c:v>5.3198837071074517E-3</c:v>
                </c:pt>
                <c:pt idx="9">
                  <c:v>3.6103828988264322E-5</c:v>
                </c:pt>
                <c:pt idx="10">
                  <c:v>3.6103828988264322E-5</c:v>
                </c:pt>
                <c:pt idx="11">
                  <c:v>3.6103828988264322E-5</c:v>
                </c:pt>
                <c:pt idx="12">
                  <c:v>3.6103828988264322E-5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62-4A09-8C7B-60B69CB37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31089743589743"/>
          <c:y val="0.14591770833333334"/>
          <c:w val="0.80779935897435895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'Barra (2)'!$I$37:$I$49</c:f>
              <c:numCache>
                <c:formatCode>General</c:formatCode>
                <c:ptCount val="13"/>
                <c:pt idx="0">
                  <c:v>-5.0537065779839279E-6</c:v>
                </c:pt>
                <c:pt idx="1">
                  <c:v>1.0519390096417692E-5</c:v>
                </c:pt>
                <c:pt idx="2">
                  <c:v>3.3467690849622216E-5</c:v>
                </c:pt>
                <c:pt idx="3">
                  <c:v>-3.6129228049424159E-5</c:v>
                </c:pt>
                <c:pt idx="4">
                  <c:v>2.7527167982949446E-5</c:v>
                </c:pt>
                <c:pt idx="5">
                  <c:v>-3.4753016204982883E-6</c:v>
                </c:pt>
                <c:pt idx="6">
                  <c:v>-9.3478627401505886E-5</c:v>
                </c:pt>
                <c:pt idx="7">
                  <c:v>2.8623901027586933E-5</c:v>
                </c:pt>
                <c:pt idx="8">
                  <c:v>3.799871369283489E-5</c:v>
                </c:pt>
                <c:pt idx="9">
                  <c:v>-5.5442569470069789E-5</c:v>
                </c:pt>
                <c:pt idx="10">
                  <c:v>-5.5442569470069789E-5</c:v>
                </c:pt>
                <c:pt idx="11">
                  <c:v>-5.5442569470069789E-5</c:v>
                </c:pt>
                <c:pt idx="12">
                  <c:v>-5.5442569470069789E-5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DD-4F5B-A66D-377769D1B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4697777777777774"/>
        </c:manualLayout>
      </c:layout>
      <c:scatterChart>
        <c:scatterStyle val="lineMarker"/>
        <c:varyColors val="0"/>
        <c:ser>
          <c:idx val="0"/>
          <c:order val="0"/>
          <c:tx>
            <c:v>res 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'Barra (2)'!$M$37:$M$49</c:f>
              <c:numCache>
                <c:formatCode>General</c:formatCode>
                <c:ptCount val="13"/>
                <c:pt idx="0">
                  <c:v>5.3917493445818174E-6</c:v>
                </c:pt>
                <c:pt idx="1">
                  <c:v>4.6495782329828437E-5</c:v>
                </c:pt>
                <c:pt idx="2">
                  <c:v>5.1393963502763306E-5</c:v>
                </c:pt>
                <c:pt idx="3">
                  <c:v>-3.1136365399069693E-5</c:v>
                </c:pt>
                <c:pt idx="4">
                  <c:v>4.2151118406575597E-5</c:v>
                </c:pt>
                <c:pt idx="5">
                  <c:v>2.3706271961914435E-5</c:v>
                </c:pt>
                <c:pt idx="6">
                  <c:v>-1.0251884556742967E-4</c:v>
                </c:pt>
                <c:pt idx="7">
                  <c:v>2.2919184336510183E-5</c:v>
                </c:pt>
                <c:pt idx="8">
                  <c:v>7.2169217363417595E-6</c:v>
                </c:pt>
                <c:pt idx="9">
                  <c:v>-1.6404945163004964E-5</c:v>
                </c:pt>
                <c:pt idx="10">
                  <c:v>-1.6404945163004964E-5</c:v>
                </c:pt>
                <c:pt idx="11">
                  <c:v>-1.6404945163004964E-5</c:v>
                </c:pt>
                <c:pt idx="12">
                  <c:v>-1.6404945163004964E-5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66-4AB2-B65B-8004F85AC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'Barra (2)'!$Q$37:$Q$49</c:f>
              <c:numCache>
                <c:formatCode>General</c:formatCode>
                <c:ptCount val="13"/>
                <c:pt idx="0">
                  <c:v>-1.1631488787057823E-5</c:v>
                </c:pt>
                <c:pt idx="1">
                  <c:v>1.5843808479237094E-5</c:v>
                </c:pt>
                <c:pt idx="2">
                  <c:v>2.9092703592168345E-5</c:v>
                </c:pt>
                <c:pt idx="3">
                  <c:v>2.4679943332574488E-4</c:v>
                </c:pt>
                <c:pt idx="4">
                  <c:v>1.9596025610972741E-5</c:v>
                </c:pt>
                <c:pt idx="5">
                  <c:v>-2.2483002456393821E-6</c:v>
                </c:pt>
                <c:pt idx="6">
                  <c:v>-9.8679036626417131E-5</c:v>
                </c:pt>
                <c:pt idx="7">
                  <c:v>-1.4918566732948814E-5</c:v>
                </c:pt>
                <c:pt idx="8">
                  <c:v>-3.9439262663006416E-5</c:v>
                </c:pt>
                <c:pt idx="9">
                  <c:v>-3.6103828988264322E-5</c:v>
                </c:pt>
                <c:pt idx="10">
                  <c:v>-3.6103828988264322E-5</c:v>
                </c:pt>
                <c:pt idx="11">
                  <c:v>-3.6103828988264322E-5</c:v>
                </c:pt>
                <c:pt idx="12">
                  <c:v>-3.6103828988264322E-5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C4-47BC-86C8-DEB290DA3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5249999999999997E-2"/>
          <c:y val="0.17171296296296296"/>
          <c:w val="0.8878611111111111"/>
          <c:h val="0.7352777777777777"/>
        </c:manualLayout>
      </c:layout>
      <c:scatterChart>
        <c:scatterStyle val="lineMarker"/>
        <c:varyColors val="0"/>
        <c:ser>
          <c:idx val="0"/>
          <c:order val="0"/>
          <c:tx>
            <c:v>loglog-51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(2)'!$H$76:$H$88</c:f>
              <c:numCache>
                <c:formatCode>General</c:formatCode>
                <c:ptCount val="13"/>
                <c:pt idx="0">
                  <c:v>-0.74472749489669399</c:v>
                </c:pt>
                <c:pt idx="1">
                  <c:v>-0.66354026615147055</c:v>
                </c:pt>
                <c:pt idx="2">
                  <c:v>-0.61798295742513154</c:v>
                </c:pt>
                <c:pt idx="3">
                  <c:v>-0.58502665202918203</c:v>
                </c:pt>
                <c:pt idx="4">
                  <c:v>-0.56066730616973737</c:v>
                </c:pt>
                <c:pt idx="5">
                  <c:v>-0.54060751224076908</c:v>
                </c:pt>
                <c:pt idx="6">
                  <c:v>-0.52287874528033762</c:v>
                </c:pt>
                <c:pt idx="7">
                  <c:v>-0.50863830616572736</c:v>
                </c:pt>
                <c:pt idx="8">
                  <c:v>-0.49620931694281889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'Barra (2)'!$I$76:$I$88</c:f>
              <c:numCache>
                <c:formatCode>General</c:formatCode>
                <c:ptCount val="13"/>
                <c:pt idx="0">
                  <c:v>-1.6234230429434879</c:v>
                </c:pt>
                <c:pt idx="1">
                  <c:v>-1.4685210829577449</c:v>
                </c:pt>
                <c:pt idx="2">
                  <c:v>-1.3788237182249647</c:v>
                </c:pt>
                <c:pt idx="3">
                  <c:v>-1.3223930472795069</c:v>
                </c:pt>
                <c:pt idx="4">
                  <c:v>-1.2692177243336109</c:v>
                </c:pt>
                <c:pt idx="5">
                  <c:v>-1.2321023839819094</c:v>
                </c:pt>
                <c:pt idx="6">
                  <c:v>-1.2020403562628039</c:v>
                </c:pt>
                <c:pt idx="7">
                  <c:v>-1.1674910872937636</c:v>
                </c:pt>
                <c:pt idx="8">
                  <c:v>-1.1426675035687315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7-43D1-AE8D-1922A43D8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i=101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5249999999999997E-2"/>
          <c:y val="0.17171296296296296"/>
          <c:w val="0.8878611111111111"/>
          <c:h val="0.735277777777777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(2)'!$P$76:$P$88</c:f>
              <c:numCache>
                <c:formatCode>General</c:formatCode>
                <c:ptCount val="13"/>
                <c:pt idx="0">
                  <c:v>-0.74472749489669399</c:v>
                </c:pt>
                <c:pt idx="1">
                  <c:v>-0.66354026615147055</c:v>
                </c:pt>
                <c:pt idx="2">
                  <c:v>-0.61798295742513154</c:v>
                </c:pt>
                <c:pt idx="3">
                  <c:v>-0.58502665202918203</c:v>
                </c:pt>
                <c:pt idx="4">
                  <c:v>-0.56066730616973737</c:v>
                </c:pt>
                <c:pt idx="5">
                  <c:v>-0.54060751224076908</c:v>
                </c:pt>
                <c:pt idx="6">
                  <c:v>-0.52287874528033762</c:v>
                </c:pt>
                <c:pt idx="7">
                  <c:v>-0.50863830616572736</c:v>
                </c:pt>
                <c:pt idx="8">
                  <c:v>-0.49620931694281889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'Barra (2)'!$Q$76:$Q$88</c:f>
              <c:numCache>
                <c:formatCode>General</c:formatCode>
                <c:ptCount val="13"/>
                <c:pt idx="0">
                  <c:v>-1.6289321377282637</c:v>
                </c:pt>
                <c:pt idx="1">
                  <c:v>-1.4634415574284698</c:v>
                </c:pt>
                <c:pt idx="2">
                  <c:v>-1.3757179041643317</c:v>
                </c:pt>
                <c:pt idx="3">
                  <c:v>-1.3196644865854368</c:v>
                </c:pt>
                <c:pt idx="4">
                  <c:v>-1.2652001704111531</c:v>
                </c:pt>
                <c:pt idx="5">
                  <c:v>-1.2269453066357374</c:v>
                </c:pt>
                <c:pt idx="6">
                  <c:v>-1.198596289982645</c:v>
                </c:pt>
                <c:pt idx="7">
                  <c:v>-1.1636758842932482</c:v>
                </c:pt>
                <c:pt idx="8">
                  <c:v>-1.1396619934290062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45-44AE-BA93-FE03145CC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5249999999999997E-2"/>
          <c:y val="0.17171296296296296"/>
          <c:w val="0.8878611111111111"/>
          <c:h val="0.7352777777777777"/>
        </c:manualLayout>
      </c:layout>
      <c:scatterChart>
        <c:scatterStyle val="lineMarker"/>
        <c:varyColors val="0"/>
        <c:ser>
          <c:idx val="0"/>
          <c:order val="0"/>
          <c:tx>
            <c:v>loglog-51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(2)'!$Y$76:$Y$88</c:f>
              <c:numCache>
                <c:formatCode>General</c:formatCode>
                <c:ptCount val="13"/>
                <c:pt idx="0">
                  <c:v>-0.74472749489669399</c:v>
                </c:pt>
                <c:pt idx="1">
                  <c:v>-0.66354026615147055</c:v>
                </c:pt>
                <c:pt idx="2">
                  <c:v>-0.61798295742513154</c:v>
                </c:pt>
                <c:pt idx="3">
                  <c:v>-0.58502665202918203</c:v>
                </c:pt>
                <c:pt idx="4">
                  <c:v>-0.56066730616973737</c:v>
                </c:pt>
                <c:pt idx="5">
                  <c:v>-0.54060751224076908</c:v>
                </c:pt>
                <c:pt idx="6">
                  <c:v>-0.52287874528033762</c:v>
                </c:pt>
                <c:pt idx="7">
                  <c:v>-0.50863830616572736</c:v>
                </c:pt>
                <c:pt idx="8">
                  <c:v>-0.49620931694281889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'Barra (2)'!$Z$76:$Z$88</c:f>
              <c:numCache>
                <c:formatCode>General</c:formatCode>
                <c:ptCount val="13"/>
                <c:pt idx="0">
                  <c:v>-1.6258629060005871</c:v>
                </c:pt>
                <c:pt idx="1">
                  <c:v>-1.4634415574284698</c:v>
                </c:pt>
                <c:pt idx="2">
                  <c:v>-1.3740020011739484</c:v>
                </c:pt>
                <c:pt idx="3">
                  <c:v>-1.2912958951067002</c:v>
                </c:pt>
                <c:pt idx="4">
                  <c:v>-1.2633379553843582</c:v>
                </c:pt>
                <c:pt idx="5">
                  <c:v>-1.225239800167135</c:v>
                </c:pt>
                <c:pt idx="6">
                  <c:v>-1.1951793212788377</c:v>
                </c:pt>
                <c:pt idx="7">
                  <c:v>-1.1624115617644888</c:v>
                </c:pt>
                <c:pt idx="8">
                  <c:v>-1.1386647611150575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78-4DB1-AE21-935F2D2D0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Média</a:t>
            </a:r>
            <a:r>
              <a:rPr lang="en-US" sz="1600" baseline="0"/>
              <a:t> dos 3 i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media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(2)'!$AD$37:$AD$49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'Barra (2)'!$AH$37:$AH$49</c:f>
              <c:numCache>
                <c:formatCode>General</c:formatCode>
                <c:ptCount val="13"/>
                <c:pt idx="0">
                  <c:v>5.5960037037037038E-4</c:v>
                </c:pt>
                <c:pt idx="1">
                  <c:v>1.1742400000000002E-3</c:v>
                </c:pt>
                <c:pt idx="2">
                  <c:v>1.7687070370370371E-3</c:v>
                </c:pt>
                <c:pt idx="3">
                  <c:v>2.3915959259259256E-3</c:v>
                </c:pt>
                <c:pt idx="4">
                  <c:v>2.9389381481481481E-3</c:v>
                </c:pt>
                <c:pt idx="5">
                  <c:v>3.4982225925925922E-3</c:v>
                </c:pt>
                <c:pt idx="6">
                  <c:v>4.0070566666666665E-3</c:v>
                </c:pt>
                <c:pt idx="7">
                  <c:v>4.6878000000000006E-3</c:v>
                </c:pt>
                <c:pt idx="8">
                  <c:v>5.240231481481482E-3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4D-4583-9B3E-8E32E19894FC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(2)'!$AD$37:$AD$49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'Barra (2)'!$AJ$37:$AJ$49</c:f>
              <c:numCache>
                <c:formatCode>General</c:formatCode>
                <c:ptCount val="13"/>
                <c:pt idx="0">
                  <c:v>5.5273337277274488E-4</c:v>
                </c:pt>
                <c:pt idx="1">
                  <c:v>1.1413051657367494E-3</c:v>
                </c:pt>
                <c:pt idx="2">
                  <c:v>1.7240370406529106E-3</c:v>
                </c:pt>
                <c:pt idx="3">
                  <c:v>2.3270978899917003E-3</c:v>
                </c:pt>
                <c:pt idx="4">
                  <c:v>2.9064786279970833E-3</c:v>
                </c:pt>
                <c:pt idx="5">
                  <c:v>3.4914979566877092E-3</c:v>
                </c:pt>
                <c:pt idx="6">
                  <c:v>4.1066241948971103E-3</c:v>
                </c:pt>
                <c:pt idx="7">
                  <c:v>4.6788617925085114E-3</c:v>
                </c:pt>
                <c:pt idx="8">
                  <c:v>5.2434782530637394E-3</c:v>
                </c:pt>
                <c:pt idx="9">
                  <c:v>2.3569481978492034E-5</c:v>
                </c:pt>
                <c:pt idx="10">
                  <c:v>2.3569481978492034E-5</c:v>
                </c:pt>
                <c:pt idx="11">
                  <c:v>2.3569481978492034E-5</c:v>
                </c:pt>
                <c:pt idx="12">
                  <c:v>2.3569481978492034E-5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4D-4583-9B3E-8E32E1989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a média dos 3 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245192307692308"/>
          <c:y val="0.14591770833333334"/>
          <c:w val="0.79965833333333325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media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(2)'!$AD$37:$AD$49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'Barra (2)'!$AK$37:$AK$49</c:f>
              <c:numCache>
                <c:formatCode>General</c:formatCode>
                <c:ptCount val="13"/>
                <c:pt idx="0">
                  <c:v>6.8669975976255043E-6</c:v>
                </c:pt>
                <c:pt idx="1">
                  <c:v>3.2934834263250801E-5</c:v>
                </c:pt>
                <c:pt idx="2">
                  <c:v>4.4669996384126467E-5</c:v>
                </c:pt>
                <c:pt idx="3">
                  <c:v>6.4498035934225286E-5</c:v>
                </c:pt>
                <c:pt idx="4">
                  <c:v>3.2459520151064888E-5</c:v>
                </c:pt>
                <c:pt idx="5">
                  <c:v>6.724635904883057E-6</c:v>
                </c:pt>
                <c:pt idx="6">
                  <c:v>-9.9567528230443819E-5</c:v>
                </c:pt>
                <c:pt idx="7">
                  <c:v>8.9382074914892695E-6</c:v>
                </c:pt>
                <c:pt idx="8">
                  <c:v>-3.2467715822574392E-6</c:v>
                </c:pt>
                <c:pt idx="9">
                  <c:v>-2.3569481978492034E-5</c:v>
                </c:pt>
                <c:pt idx="10">
                  <c:v>-2.3569481978492034E-5</c:v>
                </c:pt>
                <c:pt idx="11">
                  <c:v>-2.3569481978492034E-5</c:v>
                </c:pt>
                <c:pt idx="12">
                  <c:v>-2.3569481978492034E-5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D1-46D3-BC3F-F72DDBCD5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0458292322834649E-2"/>
          <c:y val="0.17171296296296296"/>
          <c:w val="0.88265276410761173"/>
          <c:h val="0.7352777777777777"/>
        </c:manualLayout>
      </c:layout>
      <c:scatterChart>
        <c:scatterStyle val="lineMarker"/>
        <c:varyColors val="0"/>
        <c:ser>
          <c:idx val="0"/>
          <c:order val="0"/>
          <c:tx>
            <c:v>loglog-media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(2)'!$AL$37:$AL$49</c:f>
              <c:numCache>
                <c:formatCode>General</c:formatCode>
                <c:ptCount val="13"/>
                <c:pt idx="0">
                  <c:v>-0.74472749489669399</c:v>
                </c:pt>
                <c:pt idx="1">
                  <c:v>-0.66354026615147055</c:v>
                </c:pt>
                <c:pt idx="2">
                  <c:v>-0.61798295742513154</c:v>
                </c:pt>
                <c:pt idx="3">
                  <c:v>-0.58502665202918203</c:v>
                </c:pt>
                <c:pt idx="4">
                  <c:v>-0.56066730616973737</c:v>
                </c:pt>
                <c:pt idx="5">
                  <c:v>-0.54060751224076908</c:v>
                </c:pt>
                <c:pt idx="6">
                  <c:v>-0.52287874528033762</c:v>
                </c:pt>
                <c:pt idx="7">
                  <c:v>-0.50863830616572736</c:v>
                </c:pt>
                <c:pt idx="8">
                  <c:v>-0.49620931694281889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'Barra (2)'!$AM$37:$AM$49</c:f>
              <c:numCache>
                <c:formatCode>General</c:formatCode>
                <c:ptCount val="13"/>
                <c:pt idx="0">
                  <c:v>-1.6260668480010023</c:v>
                </c:pt>
                <c:pt idx="1">
                  <c:v>-1.4651281400604055</c:v>
                </c:pt>
                <c:pt idx="2">
                  <c:v>-1.3761766256032333</c:v>
                </c:pt>
                <c:pt idx="3">
                  <c:v>-1.3108885474624619</c:v>
                </c:pt>
                <c:pt idx="4">
                  <c:v>-1.2659116913270587</c:v>
                </c:pt>
                <c:pt idx="5">
                  <c:v>-1.2280860432665701</c:v>
                </c:pt>
                <c:pt idx="6">
                  <c:v>-1.198596289982645</c:v>
                </c:pt>
                <c:pt idx="7">
                  <c:v>-1.164520815458403</c:v>
                </c:pt>
                <c:pt idx="8">
                  <c:v>-1.1403280893907213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91-4E6F-905E-EDEEA2812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5119750656167979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51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2"/>
          <c:order val="0"/>
          <c:tx>
            <c:v>51</c:v>
          </c:tx>
          <c:spPr>
            <a:ln>
              <a:noFill/>
            </a:ln>
          </c:spP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'Barra (2)'!$F$37:$F$49</c:f>
              <c:numCache>
                <c:formatCode>General</c:formatCode>
                <c:ptCount val="13"/>
                <c:pt idx="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>
                  <c:v>3.9438400000000014E-3</c:v>
                </c:pt>
                <c:pt idx="7">
                  <c:v>4.6240000000000005E-3</c:v>
                </c:pt>
                <c:pt idx="8">
                  <c:v>5.1840000000000011E-3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83A-4354-A6FC-0DAE77FCC957}"/>
            </c:ext>
          </c:extLst>
        </c:ser>
        <c:ser>
          <c:idx val="3"/>
          <c:order val="1"/>
          <c:tx>
            <c:v>Aj Lin</c:v>
          </c:tx>
          <c:spPr>
            <a:ln w="12700"/>
          </c:spPr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'Barra (2)'!$P$37:$P$49</c:f>
              <c:numCache>
                <c:formatCode>General</c:formatCode>
                <c:ptCount val="13"/>
                <c:pt idx="0">
                  <c:v>5.7174259989816888E-4</c:v>
                </c:pt>
                <c:pt idx="1">
                  <c:v>1.167516191520763E-3</c:v>
                </c:pt>
                <c:pt idx="2">
                  <c:v>1.7573784075189428E-3</c:v>
                </c:pt>
                <c:pt idx="3">
                  <c:v>2.3678183444520331E-3</c:v>
                </c:pt>
                <c:pt idx="4">
                  <c:v>2.9542884188334712E-3</c:v>
                </c:pt>
                <c:pt idx="5">
                  <c:v>3.5464660780234166E-3</c:v>
                </c:pt>
                <c:pt idx="6">
                  <c:v>4.169119036626417E-3</c:v>
                </c:pt>
                <c:pt idx="7">
                  <c:v>4.748358566732949E-3</c:v>
                </c:pt>
                <c:pt idx="8">
                  <c:v>5.3198837071074517E-3</c:v>
                </c:pt>
                <c:pt idx="9">
                  <c:v>3.6103828988264322E-5</c:v>
                </c:pt>
                <c:pt idx="10">
                  <c:v>3.6103828988264322E-5</c:v>
                </c:pt>
                <c:pt idx="11">
                  <c:v>3.6103828988264322E-5</c:v>
                </c:pt>
                <c:pt idx="12">
                  <c:v>3.6103828988264322E-5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83A-4354-A6FC-0DAE77FCC957}"/>
            </c:ext>
          </c:extLst>
        </c:ser>
        <c:ser>
          <c:idx val="4"/>
          <c:order val="2"/>
          <c:tx>
            <c:v>51</c:v>
          </c:tx>
          <c:spPr>
            <a:ln w="19050" cap="rnd">
              <a:noFill/>
              <a:round/>
            </a:ln>
            <a:effectLst/>
          </c:spP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'Barra (2)'!$F$37:$F$49</c:f>
              <c:numCache>
                <c:formatCode>General</c:formatCode>
                <c:ptCount val="13"/>
                <c:pt idx="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>
                  <c:v>3.9438400000000014E-3</c:v>
                </c:pt>
                <c:pt idx="7">
                  <c:v>4.6240000000000005E-3</c:v>
                </c:pt>
                <c:pt idx="8">
                  <c:v>5.1840000000000011E-3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83A-4354-A6FC-0DAE77FCC957}"/>
            </c:ext>
          </c:extLst>
        </c:ser>
        <c:ser>
          <c:idx val="5"/>
          <c:order val="3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'Barra (2)'!$L$37:$L$49</c:f>
              <c:numCache>
                <c:formatCode>General</c:formatCode>
                <c:ptCount val="13"/>
                <c:pt idx="0">
                  <c:v>5.4685825065541819E-4</c:v>
                </c:pt>
                <c:pt idx="1">
                  <c:v>1.1368642176701716E-3</c:v>
                </c:pt>
                <c:pt idx="2">
                  <c:v>1.7210160364972366E-3</c:v>
                </c:pt>
                <c:pt idx="3">
                  <c:v>2.3255463653990695E-3</c:v>
                </c:pt>
                <c:pt idx="4">
                  <c:v>2.9063388815934246E-3</c:v>
                </c:pt>
                <c:pt idx="5">
                  <c:v>3.4927837280380862E-3</c:v>
                </c:pt>
                <c:pt idx="6">
                  <c:v>4.1094088455674287E-3</c:v>
                </c:pt>
                <c:pt idx="7">
                  <c:v>4.683040815663491E-3</c:v>
                </c:pt>
                <c:pt idx="8">
                  <c:v>5.2490330782636596E-3</c:v>
                </c:pt>
                <c:pt idx="9">
                  <c:v>1.6404945163004964E-5</c:v>
                </c:pt>
                <c:pt idx="10">
                  <c:v>1.6404945163004964E-5</c:v>
                </c:pt>
                <c:pt idx="11">
                  <c:v>1.6404945163004964E-5</c:v>
                </c:pt>
                <c:pt idx="12">
                  <c:v>1.6404945163004964E-5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983A-4354-A6FC-0DAE77FCC957}"/>
            </c:ext>
          </c:extLst>
        </c:ser>
        <c:ser>
          <c:idx val="0"/>
          <c:order val="4"/>
          <c:tx>
            <c:v>51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'Barra (2)'!$F$37:$F$49</c:f>
              <c:numCache>
                <c:formatCode>General</c:formatCode>
                <c:ptCount val="13"/>
                <c:pt idx="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>
                  <c:v>3.9438400000000014E-3</c:v>
                </c:pt>
                <c:pt idx="7">
                  <c:v>4.6240000000000005E-3</c:v>
                </c:pt>
                <c:pt idx="8">
                  <c:v>5.1840000000000011E-3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83A-4354-A6FC-0DAE77FCC957}"/>
            </c:ext>
          </c:extLst>
        </c:ser>
        <c:ser>
          <c:idx val="1"/>
          <c:order val="5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'Barra (2)'!$H$37:$H$49</c:f>
              <c:numCache>
                <c:formatCode>General</c:formatCode>
                <c:ptCount val="13"/>
                <c:pt idx="0">
                  <c:v>5.7149370657798401E-4</c:v>
                </c:pt>
                <c:pt idx="1">
                  <c:v>1.1454806099035824E-3</c:v>
                </c:pt>
                <c:pt idx="2">
                  <c:v>1.7137723091503782E-3</c:v>
                </c:pt>
                <c:pt idx="3">
                  <c:v>2.3018892280494236E-3</c:v>
                </c:pt>
                <c:pt idx="4">
                  <c:v>2.8669128320170504E-3</c:v>
                </c:pt>
                <c:pt idx="5">
                  <c:v>3.4374353016204981E-3</c:v>
                </c:pt>
                <c:pt idx="6">
                  <c:v>4.0373186274015073E-3</c:v>
                </c:pt>
                <c:pt idx="7">
                  <c:v>4.5953760989724136E-3</c:v>
                </c:pt>
                <c:pt idx="8">
                  <c:v>5.1460012863071662E-3</c:v>
                </c:pt>
                <c:pt idx="9">
                  <c:v>5.5442569470069789E-5</c:v>
                </c:pt>
                <c:pt idx="10">
                  <c:v>5.5442569470069789E-5</c:v>
                </c:pt>
                <c:pt idx="11">
                  <c:v>5.5442569470069789E-5</c:v>
                </c:pt>
                <c:pt idx="12">
                  <c:v>5.5442569470069789E-5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83A-4354-A6FC-0DAE77FCC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51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8.6874873937477132E-12</c:v>
                  </c:pt>
                  <c:pt idx="2">
                    <c:v>5.4920098379032666E-11</c:v>
                  </c:pt>
                  <c:pt idx="3">
                    <c:v>1.7567117869632878E-10</c:v>
                  </c:pt>
                  <c:pt idx="4">
                    <c:v>3.3554432000000049E-10</c:v>
                  </c:pt>
                  <c:pt idx="5">
                    <c:v>7.5571009522757846E-10</c:v>
                  </c:pt>
                  <c:pt idx="6">
                    <c:v>1.2389343673789378E-9</c:v>
                  </c:pt>
                  <c:pt idx="7">
                    <c:v>1.9408943146478616E-9</c:v>
                  </c:pt>
                  <c:pt idx="8">
                    <c:v>3.0674035237853666E-9</c:v>
                  </c:pt>
                  <c:pt idx="9">
                    <c:v>4.3280511314264118E-9</c:v>
                  </c:pt>
                  <c:pt idx="10">
                    <c:v>5.5020753424412594E-9</c:v>
                  </c:pt>
                  <c:pt idx="11">
                    <c:v>7.8175401297250098E-9</c:v>
                  </c:pt>
                  <c:pt idx="12">
                    <c:v>0</c:v>
                  </c:pt>
                </c:numCache>
              </c:numRef>
            </c:plus>
            <c:minus>
              <c:numRef>
                <c:f>Barra!$E$37:$E$49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8.6874873937477132E-12</c:v>
                  </c:pt>
                  <c:pt idx="2">
                    <c:v>5.4920098379032666E-11</c:v>
                  </c:pt>
                  <c:pt idx="3">
                    <c:v>1.7567117869632878E-10</c:v>
                  </c:pt>
                  <c:pt idx="4">
                    <c:v>3.3554432000000049E-10</c:v>
                  </c:pt>
                  <c:pt idx="5">
                    <c:v>7.5571009522757846E-10</c:v>
                  </c:pt>
                  <c:pt idx="6">
                    <c:v>1.2389343673789378E-9</c:v>
                  </c:pt>
                  <c:pt idx="7">
                    <c:v>1.9408943146478616E-9</c:v>
                  </c:pt>
                  <c:pt idx="8">
                    <c:v>3.0674035237853666E-9</c:v>
                  </c:pt>
                  <c:pt idx="9">
                    <c:v>4.3280511314264118E-9</c:v>
                  </c:pt>
                  <c:pt idx="10">
                    <c:v>5.5020753424412594E-9</c:v>
                  </c:pt>
                  <c:pt idx="11">
                    <c:v>7.8175401297250098E-9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  <c:pt idx="12">
                    <c:v>0</c:v>
                  </c:pt>
                </c:numCache>
              </c:numRef>
            </c:plus>
            <c:minus>
              <c:numRef>
                <c:f>Barra!$G$37:$G$49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2.0632736880999997E-2</c:v>
                </c:pt>
                <c:pt idx="4">
                  <c:v>2.5600000000000012E-2</c:v>
                </c:pt>
                <c:pt idx="5">
                  <c:v>3.3556377855999991E-2</c:v>
                </c:pt>
                <c:pt idx="6">
                  <c:v>3.9567575056000004E-2</c:v>
                </c:pt>
                <c:pt idx="7">
                  <c:v>4.5954068160999992E-2</c:v>
                </c:pt>
                <c:pt idx="8">
                  <c:v>5.3527912321000015E-2</c:v>
                </c:pt>
                <c:pt idx="9">
                  <c:v>6.0037250624999997E-2</c:v>
                </c:pt>
                <c:pt idx="10">
                  <c:v>6.5037750625000001E-2</c:v>
                </c:pt>
                <c:pt idx="11">
                  <c:v>7.3116160000000013E-2</c:v>
                </c:pt>
                <c:pt idx="12">
                  <c:v>0</c:v>
                </c:pt>
              </c:numCache>
            </c:numRef>
          </c:xVal>
          <c:yVal>
            <c:numRef>
              <c:f>Barra!$F$37:$F$49</c:f>
              <c:numCache>
                <c:formatCode>General</c:formatCode>
                <c:ptCount val="13"/>
                <c:pt idx="0">
                  <c:v>5.6644000000000009E-4</c:v>
                </c:pt>
                <c:pt idx="1">
                  <c:v>3.7699600000000006E-3</c:v>
                </c:pt>
                <c:pt idx="2">
                  <c:v>6.9889599999999989E-3</c:v>
                </c:pt>
                <c:pt idx="3">
                  <c:v>1.1406239999999998E-2</c:v>
                </c:pt>
                <c:pt idx="4">
                  <c:v>1.2814240000000003E-2</c:v>
                </c:pt>
                <c:pt idx="5">
                  <c:v>1.6744360000000003E-2</c:v>
                </c:pt>
                <c:pt idx="6">
                  <c:v>1.9376639999999997E-2</c:v>
                </c:pt>
                <c:pt idx="7">
                  <c:v>2.2680359999999997E-2</c:v>
                </c:pt>
                <c:pt idx="8">
                  <c:v>2.6569000000000002E-2</c:v>
                </c:pt>
                <c:pt idx="9">
                  <c:v>2.9998239999999999E-2</c:v>
                </c:pt>
                <c:pt idx="10">
                  <c:v>3.2041E-2</c:v>
                </c:pt>
                <c:pt idx="11">
                  <c:v>3.61E-2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87-4027-9825-50732245D842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2.0632736880999997E-2</c:v>
                </c:pt>
                <c:pt idx="4">
                  <c:v>2.5600000000000012E-2</c:v>
                </c:pt>
                <c:pt idx="5">
                  <c:v>3.3556377855999991E-2</c:v>
                </c:pt>
                <c:pt idx="6">
                  <c:v>3.9567575056000004E-2</c:v>
                </c:pt>
                <c:pt idx="7">
                  <c:v>4.5954068160999992E-2</c:v>
                </c:pt>
                <c:pt idx="8">
                  <c:v>5.3527912321000015E-2</c:v>
                </c:pt>
                <c:pt idx="9">
                  <c:v>6.0037250624999997E-2</c:v>
                </c:pt>
                <c:pt idx="10">
                  <c:v>6.5037750625000001E-2</c:v>
                </c:pt>
                <c:pt idx="11">
                  <c:v>7.3116160000000013E-2</c:v>
                </c:pt>
                <c:pt idx="12">
                  <c:v>0</c:v>
                </c:pt>
              </c:numCache>
            </c:numRef>
          </c:xVal>
          <c:yVal>
            <c:numRef>
              <c:f>Barra!$H$37:$H$49</c:f>
              <c:numCache>
                <c:formatCode>General</c:formatCode>
                <c:ptCount val="13"/>
                <c:pt idx="0">
                  <c:v>7.2698272049712966E-4</c:v>
                </c:pt>
                <c:pt idx="1">
                  <c:v>3.9367118887295542E-3</c:v>
                </c:pt>
                <c:pt idx="2">
                  <c:v>7.1004213812857122E-3</c:v>
                </c:pt>
                <c:pt idx="3">
                  <c:v>1.0362175317483079E-2</c:v>
                </c:pt>
                <c:pt idx="4">
                  <c:v>1.2806162108781702E-2</c:v>
                </c:pt>
                <c:pt idx="5">
                  <c:v>1.672084951727949E-2</c:v>
                </c:pt>
                <c:pt idx="6">
                  <c:v>1.9678471492345886E-2</c:v>
                </c:pt>
                <c:pt idx="7">
                  <c:v>2.2820746104624107E-2</c:v>
                </c:pt>
                <c:pt idx="8">
                  <c:v>2.6547219746737249E-2</c:v>
                </c:pt>
                <c:pt idx="9">
                  <c:v>2.9749936505231171E-2</c:v>
                </c:pt>
                <c:pt idx="10">
                  <c:v>3.2210276466515336E-2</c:v>
                </c:pt>
                <c:pt idx="11">
                  <c:v>3.6185005675379481E-2</c:v>
                </c:pt>
                <c:pt idx="12">
                  <c:v>2.1048107511013533E-4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87-4027-9825-50732245D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51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8.6874873937477132E-12</c:v>
                  </c:pt>
                  <c:pt idx="2">
                    <c:v>5.4920098379032666E-11</c:v>
                  </c:pt>
                  <c:pt idx="3">
                    <c:v>1.7567117869632878E-10</c:v>
                  </c:pt>
                  <c:pt idx="4">
                    <c:v>3.3554432000000049E-10</c:v>
                  </c:pt>
                  <c:pt idx="5">
                    <c:v>7.5571009522757846E-10</c:v>
                  </c:pt>
                  <c:pt idx="6">
                    <c:v>1.2389343673789378E-9</c:v>
                  </c:pt>
                  <c:pt idx="7">
                    <c:v>1.9408943146478616E-9</c:v>
                  </c:pt>
                  <c:pt idx="8">
                    <c:v>3.0674035237853666E-9</c:v>
                  </c:pt>
                  <c:pt idx="9">
                    <c:v>4.3280511314264118E-9</c:v>
                  </c:pt>
                  <c:pt idx="10">
                    <c:v>5.5020753424412594E-9</c:v>
                  </c:pt>
                  <c:pt idx="11">
                    <c:v>7.8175401297250098E-9</c:v>
                  </c:pt>
                  <c:pt idx="12">
                    <c:v>0</c:v>
                  </c:pt>
                </c:numCache>
              </c:numRef>
            </c:plus>
            <c:minus>
              <c:numRef>
                <c:f>Barra!$E$37:$E$49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8.6874873937477132E-12</c:v>
                  </c:pt>
                  <c:pt idx="2">
                    <c:v>5.4920098379032666E-11</c:v>
                  </c:pt>
                  <c:pt idx="3">
                    <c:v>1.7567117869632878E-10</c:v>
                  </c:pt>
                  <c:pt idx="4">
                    <c:v>3.3554432000000049E-10</c:v>
                  </c:pt>
                  <c:pt idx="5">
                    <c:v>7.5571009522757846E-10</c:v>
                  </c:pt>
                  <c:pt idx="6">
                    <c:v>1.2389343673789378E-9</c:v>
                  </c:pt>
                  <c:pt idx="7">
                    <c:v>1.9408943146478616E-9</c:v>
                  </c:pt>
                  <c:pt idx="8">
                    <c:v>3.0674035237853666E-9</c:v>
                  </c:pt>
                  <c:pt idx="9">
                    <c:v>4.3280511314264118E-9</c:v>
                  </c:pt>
                  <c:pt idx="10">
                    <c:v>5.5020753424412594E-9</c:v>
                  </c:pt>
                  <c:pt idx="11">
                    <c:v>7.8175401297250098E-9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  <c:pt idx="12">
                    <c:v>0</c:v>
                  </c:pt>
                </c:numCache>
              </c:numRef>
            </c:plus>
            <c:minus>
              <c:numRef>
                <c:f>Barra!$G$37:$G$49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2.0632736880999997E-2</c:v>
                </c:pt>
                <c:pt idx="4">
                  <c:v>2.5600000000000012E-2</c:v>
                </c:pt>
                <c:pt idx="5">
                  <c:v>3.3556377855999991E-2</c:v>
                </c:pt>
                <c:pt idx="6">
                  <c:v>3.9567575056000004E-2</c:v>
                </c:pt>
                <c:pt idx="7">
                  <c:v>4.5954068160999992E-2</c:v>
                </c:pt>
                <c:pt idx="8">
                  <c:v>5.3527912321000015E-2</c:v>
                </c:pt>
                <c:pt idx="9">
                  <c:v>6.0037250624999997E-2</c:v>
                </c:pt>
                <c:pt idx="10">
                  <c:v>6.5037750625000001E-2</c:v>
                </c:pt>
                <c:pt idx="11">
                  <c:v>7.3116160000000013E-2</c:v>
                </c:pt>
                <c:pt idx="12">
                  <c:v>0</c:v>
                </c:pt>
              </c:numCache>
            </c:numRef>
          </c:xVal>
          <c:yVal>
            <c:numRef>
              <c:f>Barra!$F$37:$F$49</c:f>
              <c:numCache>
                <c:formatCode>General</c:formatCode>
                <c:ptCount val="13"/>
                <c:pt idx="0">
                  <c:v>5.6644000000000009E-4</c:v>
                </c:pt>
                <c:pt idx="1">
                  <c:v>3.7699600000000006E-3</c:v>
                </c:pt>
                <c:pt idx="2">
                  <c:v>6.9889599999999989E-3</c:v>
                </c:pt>
                <c:pt idx="3">
                  <c:v>1.1406239999999998E-2</c:v>
                </c:pt>
                <c:pt idx="4">
                  <c:v>1.2814240000000003E-2</c:v>
                </c:pt>
                <c:pt idx="5">
                  <c:v>1.6744360000000003E-2</c:v>
                </c:pt>
                <c:pt idx="6">
                  <c:v>1.9376639999999997E-2</c:v>
                </c:pt>
                <c:pt idx="7">
                  <c:v>2.2680359999999997E-2</c:v>
                </c:pt>
                <c:pt idx="8">
                  <c:v>2.6569000000000002E-2</c:v>
                </c:pt>
                <c:pt idx="9">
                  <c:v>2.9998239999999999E-2</c:v>
                </c:pt>
                <c:pt idx="10">
                  <c:v>3.2041E-2</c:v>
                </c:pt>
                <c:pt idx="11">
                  <c:v>3.61E-2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E8-4C26-832B-C04937600823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2.0632736880999997E-2</c:v>
                </c:pt>
                <c:pt idx="4">
                  <c:v>2.5600000000000012E-2</c:v>
                </c:pt>
                <c:pt idx="5">
                  <c:v>3.3556377855999991E-2</c:v>
                </c:pt>
                <c:pt idx="6">
                  <c:v>3.9567575056000004E-2</c:v>
                </c:pt>
                <c:pt idx="7">
                  <c:v>4.5954068160999992E-2</c:v>
                </c:pt>
                <c:pt idx="8">
                  <c:v>5.3527912321000015E-2</c:v>
                </c:pt>
                <c:pt idx="9">
                  <c:v>6.0037250624999997E-2</c:v>
                </c:pt>
                <c:pt idx="10">
                  <c:v>6.5037750625000001E-2</c:v>
                </c:pt>
                <c:pt idx="11">
                  <c:v>7.3116160000000013E-2</c:v>
                </c:pt>
                <c:pt idx="12">
                  <c:v>0</c:v>
                </c:pt>
              </c:numCache>
            </c:numRef>
          </c:xVal>
          <c:yVal>
            <c:numRef>
              <c:f>Barra!$L$37:$L$49</c:f>
              <c:numCache>
                <c:formatCode>General</c:formatCode>
                <c:ptCount val="13"/>
                <c:pt idx="0">
                  <c:v>5.8651067549836866E-4</c:v>
                </c:pt>
                <c:pt idx="1">
                  <c:v>3.8680096372900757E-3</c:v>
                </c:pt>
                <c:pt idx="2">
                  <c:v>7.1024599198822149E-3</c:v>
                </c:pt>
                <c:pt idx="3">
                  <c:v>1.0437146927492263E-2</c:v>
                </c:pt>
                <c:pt idx="4">
                  <c:v>1.2935781453312895E-2</c:v>
                </c:pt>
                <c:pt idx="5">
                  <c:v>1.6938001576389129E-2</c:v>
                </c:pt>
                <c:pt idx="6">
                  <c:v>1.9961756208589899E-2</c:v>
                </c:pt>
                <c:pt idx="7">
                  <c:v>2.3174292325315857E-2</c:v>
                </c:pt>
                <c:pt idx="8">
                  <c:v>2.6984090207569124E-2</c:v>
                </c:pt>
                <c:pt idx="9">
                  <c:v>3.0258419961595791E-2</c:v>
                </c:pt>
                <c:pt idx="10">
                  <c:v>3.2773773315553298E-2</c:v>
                </c:pt>
                <c:pt idx="11">
                  <c:v>3.683737777831661E-2</c:v>
                </c:pt>
                <c:pt idx="12">
                  <c:v>5.8460013194514687E-5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E8-4C26-832B-C04937600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51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8.6874873937477132E-12</c:v>
                  </c:pt>
                  <c:pt idx="2">
                    <c:v>5.4920098379032666E-11</c:v>
                  </c:pt>
                  <c:pt idx="3">
                    <c:v>1.7567117869632878E-10</c:v>
                  </c:pt>
                  <c:pt idx="4">
                    <c:v>3.3554432000000049E-10</c:v>
                  </c:pt>
                  <c:pt idx="5">
                    <c:v>7.5571009522757846E-10</c:v>
                  </c:pt>
                  <c:pt idx="6">
                    <c:v>1.2389343673789378E-9</c:v>
                  </c:pt>
                  <c:pt idx="7">
                    <c:v>1.9408943146478616E-9</c:v>
                  </c:pt>
                  <c:pt idx="8">
                    <c:v>3.0674035237853666E-9</c:v>
                  </c:pt>
                  <c:pt idx="9">
                    <c:v>4.3280511314264118E-9</c:v>
                  </c:pt>
                  <c:pt idx="10">
                    <c:v>5.5020753424412594E-9</c:v>
                  </c:pt>
                  <c:pt idx="11">
                    <c:v>7.8175401297250098E-9</c:v>
                  </c:pt>
                  <c:pt idx="12">
                    <c:v>0</c:v>
                  </c:pt>
                </c:numCache>
              </c:numRef>
            </c:plus>
            <c:minus>
              <c:numRef>
                <c:f>Barra!$E$37:$E$49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8.6874873937477132E-12</c:v>
                  </c:pt>
                  <c:pt idx="2">
                    <c:v>5.4920098379032666E-11</c:v>
                  </c:pt>
                  <c:pt idx="3">
                    <c:v>1.7567117869632878E-10</c:v>
                  </c:pt>
                  <c:pt idx="4">
                    <c:v>3.3554432000000049E-10</c:v>
                  </c:pt>
                  <c:pt idx="5">
                    <c:v>7.5571009522757846E-10</c:v>
                  </c:pt>
                  <c:pt idx="6">
                    <c:v>1.2389343673789378E-9</c:v>
                  </c:pt>
                  <c:pt idx="7">
                    <c:v>1.9408943146478616E-9</c:v>
                  </c:pt>
                  <c:pt idx="8">
                    <c:v>3.0674035237853666E-9</c:v>
                  </c:pt>
                  <c:pt idx="9">
                    <c:v>4.3280511314264118E-9</c:v>
                  </c:pt>
                  <c:pt idx="10">
                    <c:v>5.5020753424412594E-9</c:v>
                  </c:pt>
                  <c:pt idx="11">
                    <c:v>7.8175401297250098E-9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  <c:pt idx="12">
                    <c:v>0</c:v>
                  </c:pt>
                </c:numCache>
              </c:numRef>
            </c:plus>
            <c:minus>
              <c:numRef>
                <c:f>Barra!$G$37:$G$49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2.0632736880999997E-2</c:v>
                </c:pt>
                <c:pt idx="4">
                  <c:v>2.5600000000000012E-2</c:v>
                </c:pt>
                <c:pt idx="5">
                  <c:v>3.3556377855999991E-2</c:v>
                </c:pt>
                <c:pt idx="6">
                  <c:v>3.9567575056000004E-2</c:v>
                </c:pt>
                <c:pt idx="7">
                  <c:v>4.5954068160999992E-2</c:v>
                </c:pt>
                <c:pt idx="8">
                  <c:v>5.3527912321000015E-2</c:v>
                </c:pt>
                <c:pt idx="9">
                  <c:v>6.0037250624999997E-2</c:v>
                </c:pt>
                <c:pt idx="10">
                  <c:v>6.5037750625000001E-2</c:v>
                </c:pt>
                <c:pt idx="11">
                  <c:v>7.3116160000000013E-2</c:v>
                </c:pt>
                <c:pt idx="12">
                  <c:v>0</c:v>
                </c:pt>
              </c:numCache>
            </c:numRef>
          </c:xVal>
          <c:yVal>
            <c:numRef>
              <c:f>Barra!$F$37:$F$49</c:f>
              <c:numCache>
                <c:formatCode>General</c:formatCode>
                <c:ptCount val="13"/>
                <c:pt idx="0">
                  <c:v>5.6644000000000009E-4</c:v>
                </c:pt>
                <c:pt idx="1">
                  <c:v>3.7699600000000006E-3</c:v>
                </c:pt>
                <c:pt idx="2">
                  <c:v>6.9889599999999989E-3</c:v>
                </c:pt>
                <c:pt idx="3">
                  <c:v>1.1406239999999998E-2</c:v>
                </c:pt>
                <c:pt idx="4">
                  <c:v>1.2814240000000003E-2</c:v>
                </c:pt>
                <c:pt idx="5">
                  <c:v>1.6744360000000003E-2</c:v>
                </c:pt>
                <c:pt idx="6">
                  <c:v>1.9376639999999997E-2</c:v>
                </c:pt>
                <c:pt idx="7">
                  <c:v>2.2680359999999997E-2</c:v>
                </c:pt>
                <c:pt idx="8">
                  <c:v>2.6569000000000002E-2</c:v>
                </c:pt>
                <c:pt idx="9">
                  <c:v>2.9998239999999999E-2</c:v>
                </c:pt>
                <c:pt idx="10">
                  <c:v>3.2041E-2</c:v>
                </c:pt>
                <c:pt idx="11">
                  <c:v>3.61E-2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E3-463D-8D72-EF19E907D717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2.0632736880999997E-2</c:v>
                </c:pt>
                <c:pt idx="4">
                  <c:v>2.5600000000000012E-2</c:v>
                </c:pt>
                <c:pt idx="5">
                  <c:v>3.3556377855999991E-2</c:v>
                </c:pt>
                <c:pt idx="6">
                  <c:v>3.9567575056000004E-2</c:v>
                </c:pt>
                <c:pt idx="7">
                  <c:v>4.5954068160999992E-2</c:v>
                </c:pt>
                <c:pt idx="8">
                  <c:v>5.3527912321000015E-2</c:v>
                </c:pt>
                <c:pt idx="9">
                  <c:v>6.0037250624999997E-2</c:v>
                </c:pt>
                <c:pt idx="10">
                  <c:v>6.5037750625000001E-2</c:v>
                </c:pt>
                <c:pt idx="11">
                  <c:v>7.3116160000000013E-2</c:v>
                </c:pt>
                <c:pt idx="12">
                  <c:v>0</c:v>
                </c:pt>
              </c:numCache>
            </c:numRef>
          </c:xVal>
          <c:yVal>
            <c:numRef>
              <c:f>Barra!$P$37:$P$49</c:f>
              <c:numCache>
                <c:formatCode>General</c:formatCode>
                <c:ptCount val="13"/>
                <c:pt idx="0">
                  <c:v>5.8528468564027539E-4</c:v>
                </c:pt>
                <c:pt idx="1">
                  <c:v>3.8893762091195281E-3</c:v>
                </c:pt>
                <c:pt idx="2">
                  <c:v>7.1460951312528062E-3</c:v>
                </c:pt>
                <c:pt idx="3">
                  <c:v>1.050374089119077E-2</c:v>
                </c:pt>
                <c:pt idx="4">
                  <c:v>1.3019578090337377E-2</c:v>
                </c:pt>
                <c:pt idx="5">
                  <c:v>1.7049352817596196E-2</c:v>
                </c:pt>
                <c:pt idx="6">
                  <c:v>2.00939254856554E-2</c:v>
                </c:pt>
                <c:pt idx="7">
                  <c:v>2.3328579366621322E-2</c:v>
                </c:pt>
                <c:pt idx="8">
                  <c:v>2.7164607058688364E-2</c:v>
                </c:pt>
                <c:pt idx="9">
                  <c:v>3.0461480015627648E-2</c:v>
                </c:pt>
                <c:pt idx="10">
                  <c:v>3.2994151149196516E-2</c:v>
                </c:pt>
                <c:pt idx="11">
                  <c:v>3.7085732836870694E-2</c:v>
                </c:pt>
                <c:pt idx="12">
                  <c:v>5.3598484425345511E-5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E3-463D-8D72-EF19E907D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31089743589743"/>
          <c:y val="0.14591770833333334"/>
          <c:w val="0.80779935897435895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8.6874873937477132E-12</c:v>
                  </c:pt>
                  <c:pt idx="2">
                    <c:v>5.4920098379032666E-11</c:v>
                  </c:pt>
                  <c:pt idx="3">
                    <c:v>1.7567117869632878E-10</c:v>
                  </c:pt>
                  <c:pt idx="4">
                    <c:v>3.3554432000000049E-10</c:v>
                  </c:pt>
                  <c:pt idx="5">
                    <c:v>7.5571009522757846E-10</c:v>
                  </c:pt>
                  <c:pt idx="6">
                    <c:v>1.2389343673789378E-9</c:v>
                  </c:pt>
                  <c:pt idx="7">
                    <c:v>1.9408943146478616E-9</c:v>
                  </c:pt>
                  <c:pt idx="8">
                    <c:v>3.0674035237853666E-9</c:v>
                  </c:pt>
                  <c:pt idx="9">
                    <c:v>4.3280511314264118E-9</c:v>
                  </c:pt>
                  <c:pt idx="10">
                    <c:v>5.5020753424412594E-9</c:v>
                  </c:pt>
                  <c:pt idx="11">
                    <c:v>7.8175401297250098E-9</c:v>
                  </c:pt>
                  <c:pt idx="12">
                    <c:v>0</c:v>
                  </c:pt>
                </c:numCache>
              </c:numRef>
            </c:plus>
            <c:minus>
              <c:numRef>
                <c:f>Barra!$E$37:$E$49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8.6874873937477132E-12</c:v>
                  </c:pt>
                  <c:pt idx="2">
                    <c:v>5.4920098379032666E-11</c:v>
                  </c:pt>
                  <c:pt idx="3">
                    <c:v>1.7567117869632878E-10</c:v>
                  </c:pt>
                  <c:pt idx="4">
                    <c:v>3.3554432000000049E-10</c:v>
                  </c:pt>
                  <c:pt idx="5">
                    <c:v>7.5571009522757846E-10</c:v>
                  </c:pt>
                  <c:pt idx="6">
                    <c:v>1.2389343673789378E-9</c:v>
                  </c:pt>
                  <c:pt idx="7">
                    <c:v>1.9408943146478616E-9</c:v>
                  </c:pt>
                  <c:pt idx="8">
                    <c:v>3.0674035237853666E-9</c:v>
                  </c:pt>
                  <c:pt idx="9">
                    <c:v>4.3280511314264118E-9</c:v>
                  </c:pt>
                  <c:pt idx="10">
                    <c:v>5.5020753424412594E-9</c:v>
                  </c:pt>
                  <c:pt idx="11">
                    <c:v>7.8175401297250098E-9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  <c:pt idx="12">
                    <c:v>0</c:v>
                  </c:pt>
                </c:numCache>
              </c:numRef>
            </c:plus>
            <c:minus>
              <c:numRef>
                <c:f>Barra!$G$37:$G$49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2.0632736880999997E-2</c:v>
                </c:pt>
                <c:pt idx="4">
                  <c:v>2.5600000000000012E-2</c:v>
                </c:pt>
                <c:pt idx="5">
                  <c:v>3.3556377855999991E-2</c:v>
                </c:pt>
                <c:pt idx="6">
                  <c:v>3.9567575056000004E-2</c:v>
                </c:pt>
                <c:pt idx="7">
                  <c:v>4.5954068160999992E-2</c:v>
                </c:pt>
                <c:pt idx="8">
                  <c:v>5.3527912321000015E-2</c:v>
                </c:pt>
                <c:pt idx="9">
                  <c:v>6.0037250624999997E-2</c:v>
                </c:pt>
                <c:pt idx="10">
                  <c:v>6.5037750625000001E-2</c:v>
                </c:pt>
                <c:pt idx="11">
                  <c:v>7.3116160000000013E-2</c:v>
                </c:pt>
                <c:pt idx="12">
                  <c:v>0</c:v>
                </c:pt>
              </c:numCache>
            </c:numRef>
          </c:xVal>
          <c:yVal>
            <c:numRef>
              <c:f>Barra!$I$37:$I$49</c:f>
              <c:numCache>
                <c:formatCode>General</c:formatCode>
                <c:ptCount val="13"/>
                <c:pt idx="0">
                  <c:v>-1.6054272049712958E-4</c:v>
                </c:pt>
                <c:pt idx="1">
                  <c:v>-1.6675188872955363E-4</c:v>
                </c:pt>
                <c:pt idx="2">
                  <c:v>-1.1146138128571327E-4</c:v>
                </c:pt>
                <c:pt idx="3">
                  <c:v>1.0440646825169188E-3</c:v>
                </c:pt>
                <c:pt idx="4">
                  <c:v>8.0778912183009782E-6</c:v>
                </c:pt>
                <c:pt idx="5">
                  <c:v>2.3510482720513759E-5</c:v>
                </c:pt>
                <c:pt idx="6">
                  <c:v>-3.0183149234588869E-4</c:v>
                </c:pt>
                <c:pt idx="7">
                  <c:v>-1.4038610462411075E-4</c:v>
                </c:pt>
                <c:pt idx="8">
                  <c:v>2.1780253262753541E-5</c:v>
                </c:pt>
                <c:pt idx="9">
                  <c:v>2.483034947688284E-4</c:v>
                </c:pt>
                <c:pt idx="10">
                  <c:v>-1.6927646651533623E-4</c:v>
                </c:pt>
                <c:pt idx="11">
                  <c:v>-8.5005675379480616E-5</c:v>
                </c:pt>
                <c:pt idx="12">
                  <c:v>-2.1048107511013533E-4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77-4285-B194-2C4C42524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4697777777777774"/>
        </c:manualLayout>
      </c:layout>
      <c:scatterChart>
        <c:scatterStyle val="lineMarker"/>
        <c:varyColors val="0"/>
        <c:ser>
          <c:idx val="0"/>
          <c:order val="0"/>
          <c:tx>
            <c:v>res 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8.6874873937477132E-12</c:v>
                  </c:pt>
                  <c:pt idx="2">
                    <c:v>5.4920098379032666E-11</c:v>
                  </c:pt>
                  <c:pt idx="3">
                    <c:v>1.7567117869632878E-10</c:v>
                  </c:pt>
                  <c:pt idx="4">
                    <c:v>3.3554432000000049E-10</c:v>
                  </c:pt>
                  <c:pt idx="5">
                    <c:v>7.5571009522757846E-10</c:v>
                  </c:pt>
                  <c:pt idx="6">
                    <c:v>1.2389343673789378E-9</c:v>
                  </c:pt>
                  <c:pt idx="7">
                    <c:v>1.9408943146478616E-9</c:v>
                  </c:pt>
                  <c:pt idx="8">
                    <c:v>3.0674035237853666E-9</c:v>
                  </c:pt>
                  <c:pt idx="9">
                    <c:v>4.3280511314264118E-9</c:v>
                  </c:pt>
                  <c:pt idx="10">
                    <c:v>5.5020753424412594E-9</c:v>
                  </c:pt>
                  <c:pt idx="11">
                    <c:v>7.8175401297250098E-9</c:v>
                  </c:pt>
                  <c:pt idx="12">
                    <c:v>0</c:v>
                  </c:pt>
                </c:numCache>
              </c:numRef>
            </c:plus>
            <c:minus>
              <c:numRef>
                <c:f>Barra!$E$37:$E$49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8.6874873937477132E-12</c:v>
                  </c:pt>
                  <c:pt idx="2">
                    <c:v>5.4920098379032666E-11</c:v>
                  </c:pt>
                  <c:pt idx="3">
                    <c:v>1.7567117869632878E-10</c:v>
                  </c:pt>
                  <c:pt idx="4">
                    <c:v>3.3554432000000049E-10</c:v>
                  </c:pt>
                  <c:pt idx="5">
                    <c:v>7.5571009522757846E-10</c:v>
                  </c:pt>
                  <c:pt idx="6">
                    <c:v>1.2389343673789378E-9</c:v>
                  </c:pt>
                  <c:pt idx="7">
                    <c:v>1.9408943146478616E-9</c:v>
                  </c:pt>
                  <c:pt idx="8">
                    <c:v>3.0674035237853666E-9</c:v>
                  </c:pt>
                  <c:pt idx="9">
                    <c:v>4.3280511314264118E-9</c:v>
                  </c:pt>
                  <c:pt idx="10">
                    <c:v>5.5020753424412594E-9</c:v>
                  </c:pt>
                  <c:pt idx="11">
                    <c:v>7.8175401297250098E-9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  <c:pt idx="12">
                    <c:v>0</c:v>
                  </c:pt>
                </c:numCache>
              </c:numRef>
            </c:plus>
            <c:minus>
              <c:numRef>
                <c:f>Barra!$G$37:$G$49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2.0632736880999997E-2</c:v>
                </c:pt>
                <c:pt idx="4">
                  <c:v>2.5600000000000012E-2</c:v>
                </c:pt>
                <c:pt idx="5">
                  <c:v>3.3556377855999991E-2</c:v>
                </c:pt>
                <c:pt idx="6">
                  <c:v>3.9567575056000004E-2</c:v>
                </c:pt>
                <c:pt idx="7">
                  <c:v>4.5954068160999992E-2</c:v>
                </c:pt>
                <c:pt idx="8">
                  <c:v>5.3527912321000015E-2</c:v>
                </c:pt>
                <c:pt idx="9">
                  <c:v>6.0037250624999997E-2</c:v>
                </c:pt>
                <c:pt idx="10">
                  <c:v>6.5037750625000001E-2</c:v>
                </c:pt>
                <c:pt idx="11">
                  <c:v>7.3116160000000013E-2</c:v>
                </c:pt>
                <c:pt idx="12">
                  <c:v>0</c:v>
                </c:pt>
              </c:numCache>
            </c:numRef>
          </c:xVal>
          <c:yVal>
            <c:numRef>
              <c:f>Barra!$M$37:$M$49</c:f>
              <c:numCache>
                <c:formatCode>General</c:formatCode>
                <c:ptCount val="13"/>
                <c:pt idx="0">
                  <c:v>-3.4260675498368654E-5</c:v>
                </c:pt>
                <c:pt idx="1">
                  <c:v>-2.4009637290075929E-5</c:v>
                </c:pt>
                <c:pt idx="2">
                  <c:v>2.0900080117782979E-5</c:v>
                </c:pt>
                <c:pt idx="3">
                  <c:v>4.8613072507737096E-5</c:v>
                </c:pt>
                <c:pt idx="4">
                  <c:v>1.5157854668710648E-4</c:v>
                </c:pt>
                <c:pt idx="5">
                  <c:v>1.1835842361087104E-4</c:v>
                </c:pt>
                <c:pt idx="6">
                  <c:v>-2.2150620858989514E-4</c:v>
                </c:pt>
                <c:pt idx="7">
                  <c:v>-1.006823253158623E-4</c:v>
                </c:pt>
                <c:pt idx="8">
                  <c:v>1.0399792430875604E-5</c:v>
                </c:pt>
                <c:pt idx="9">
                  <c:v>2.9662003840421475E-4</c:v>
                </c:pt>
                <c:pt idx="10">
                  <c:v>-1.5741331555330085E-4</c:v>
                </c:pt>
                <c:pt idx="11">
                  <c:v>-5.0137778316611259E-5</c:v>
                </c:pt>
                <c:pt idx="12">
                  <c:v>-5.8460013194514687E-5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A3-48BC-A350-F62F45C32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8.6874873937477132E-12</c:v>
                  </c:pt>
                  <c:pt idx="2">
                    <c:v>5.4920098379032666E-11</c:v>
                  </c:pt>
                  <c:pt idx="3">
                    <c:v>1.7567117869632878E-10</c:v>
                  </c:pt>
                  <c:pt idx="4">
                    <c:v>3.3554432000000049E-10</c:v>
                  </c:pt>
                  <c:pt idx="5">
                    <c:v>7.5571009522757846E-10</c:v>
                  </c:pt>
                  <c:pt idx="6">
                    <c:v>1.2389343673789378E-9</c:v>
                  </c:pt>
                  <c:pt idx="7">
                    <c:v>1.9408943146478616E-9</c:v>
                  </c:pt>
                  <c:pt idx="8">
                    <c:v>3.0674035237853666E-9</c:v>
                  </c:pt>
                  <c:pt idx="9">
                    <c:v>4.3280511314264118E-9</c:v>
                  </c:pt>
                  <c:pt idx="10">
                    <c:v>5.5020753424412594E-9</c:v>
                  </c:pt>
                  <c:pt idx="11">
                    <c:v>7.8175401297250098E-9</c:v>
                  </c:pt>
                  <c:pt idx="12">
                    <c:v>0</c:v>
                  </c:pt>
                </c:numCache>
              </c:numRef>
            </c:plus>
            <c:minus>
              <c:numRef>
                <c:f>Barra!$E$37:$E$49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8.6874873937477132E-12</c:v>
                  </c:pt>
                  <c:pt idx="2">
                    <c:v>5.4920098379032666E-11</c:v>
                  </c:pt>
                  <c:pt idx="3">
                    <c:v>1.7567117869632878E-10</c:v>
                  </c:pt>
                  <c:pt idx="4">
                    <c:v>3.3554432000000049E-10</c:v>
                  </c:pt>
                  <c:pt idx="5">
                    <c:v>7.5571009522757846E-10</c:v>
                  </c:pt>
                  <c:pt idx="6">
                    <c:v>1.2389343673789378E-9</c:v>
                  </c:pt>
                  <c:pt idx="7">
                    <c:v>1.9408943146478616E-9</c:v>
                  </c:pt>
                  <c:pt idx="8">
                    <c:v>3.0674035237853666E-9</c:v>
                  </c:pt>
                  <c:pt idx="9">
                    <c:v>4.3280511314264118E-9</c:v>
                  </c:pt>
                  <c:pt idx="10">
                    <c:v>5.5020753424412594E-9</c:v>
                  </c:pt>
                  <c:pt idx="11">
                    <c:v>7.8175401297250098E-9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  <c:pt idx="12">
                    <c:v>0</c:v>
                  </c:pt>
                </c:numCache>
              </c:numRef>
            </c:plus>
            <c:minus>
              <c:numRef>
                <c:f>Barra!$G$37:$G$49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2.0632736880999997E-2</c:v>
                </c:pt>
                <c:pt idx="4">
                  <c:v>2.5600000000000012E-2</c:v>
                </c:pt>
                <c:pt idx="5">
                  <c:v>3.3556377855999991E-2</c:v>
                </c:pt>
                <c:pt idx="6">
                  <c:v>3.9567575056000004E-2</c:v>
                </c:pt>
                <c:pt idx="7">
                  <c:v>4.5954068160999992E-2</c:v>
                </c:pt>
                <c:pt idx="8">
                  <c:v>5.3527912321000015E-2</c:v>
                </c:pt>
                <c:pt idx="9">
                  <c:v>6.0037250624999997E-2</c:v>
                </c:pt>
                <c:pt idx="10">
                  <c:v>6.5037750625000001E-2</c:v>
                </c:pt>
                <c:pt idx="11">
                  <c:v>7.3116160000000013E-2</c:v>
                </c:pt>
                <c:pt idx="12">
                  <c:v>0</c:v>
                </c:pt>
              </c:numCache>
            </c:numRef>
          </c:xVal>
          <c:yVal>
            <c:numRef>
              <c:f>Barra!$Q$37:$Q$49</c:f>
              <c:numCache>
                <c:formatCode>General</c:formatCode>
                <c:ptCount val="13"/>
                <c:pt idx="0">
                  <c:v>-2.517357452916434E-5</c:v>
                </c:pt>
                <c:pt idx="1">
                  <c:v>-3.9317646750840901E-6</c:v>
                </c:pt>
                <c:pt idx="2">
                  <c:v>2.2349313191638055E-5</c:v>
                </c:pt>
                <c:pt idx="3">
                  <c:v>3.6703553253674553E-5</c:v>
                </c:pt>
                <c:pt idx="4">
                  <c:v>1.4415968744039935E-4</c:v>
                </c:pt>
                <c:pt idx="5">
                  <c:v>5.9287182403805483E-5</c:v>
                </c:pt>
                <c:pt idx="6">
                  <c:v>-1.7530770787762065E-4</c:v>
                </c:pt>
                <c:pt idx="7">
                  <c:v>-1.2313492217688043E-4</c:v>
                </c:pt>
                <c:pt idx="8">
                  <c:v>1.6410719089410969E-5</c:v>
                </c:pt>
                <c:pt idx="9">
                  <c:v>2.5692442881680363E-4</c:v>
                </c:pt>
                <c:pt idx="10">
                  <c:v>-1.1237337141874193E-4</c:v>
                </c:pt>
                <c:pt idx="11">
                  <c:v>-4.2315059092912222E-5</c:v>
                </c:pt>
                <c:pt idx="12">
                  <c:v>-5.3598484425345511E-5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0D-43C9-A03B-D50854F66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5249999999999997E-2"/>
          <c:y val="0.17171296296296296"/>
          <c:w val="0.8878611111111111"/>
          <c:h val="0.7352777777777777"/>
        </c:manualLayout>
      </c:layout>
      <c:scatterChart>
        <c:scatterStyle val="lineMarker"/>
        <c:varyColors val="0"/>
        <c:ser>
          <c:idx val="0"/>
          <c:order val="0"/>
          <c:tx>
            <c:v>loglog-51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Barra!$H$76:$H$88</c:f>
              <c:numCache>
                <c:formatCode>General</c:formatCode>
                <c:ptCount val="13"/>
                <c:pt idx="0">
                  <c:v>-0.74472749489669399</c:v>
                </c:pt>
                <c:pt idx="1">
                  <c:v>-0.53017798402183702</c:v>
                </c:pt>
                <c:pt idx="2">
                  <c:v>-0.46344155742846993</c:v>
                </c:pt>
                <c:pt idx="3">
                  <c:v>-0.42136079003192767</c:v>
                </c:pt>
                <c:pt idx="4">
                  <c:v>-0.3979400086720376</c:v>
                </c:pt>
                <c:pt idx="5">
                  <c:v>-0.36855623098682799</c:v>
                </c:pt>
                <c:pt idx="6">
                  <c:v>-0.35066514128785814</c:v>
                </c:pt>
                <c:pt idx="7">
                  <c:v>-0.33441900898204691</c:v>
                </c:pt>
                <c:pt idx="8">
                  <c:v>-0.31785492362616818</c:v>
                </c:pt>
                <c:pt idx="9">
                  <c:v>-0.3053948010664313</c:v>
                </c:pt>
                <c:pt idx="10">
                  <c:v>-0.29670862188133862</c:v>
                </c:pt>
                <c:pt idx="11">
                  <c:v>-0.28399665636520083</c:v>
                </c:pt>
                <c:pt idx="12">
                  <c:v>0</c:v>
                </c:pt>
              </c:numCache>
            </c:numRef>
          </c:xVal>
          <c:yVal>
            <c:numRef>
              <c:f>Barra!$I$76:$I$88</c:f>
              <c:numCache>
                <c:formatCode>General</c:formatCode>
                <c:ptCount val="13"/>
                <c:pt idx="0">
                  <c:v>-1.6234230429434879</c:v>
                </c:pt>
                <c:pt idx="1">
                  <c:v>-1.2118316288588322</c:v>
                </c:pt>
                <c:pt idx="2">
                  <c:v>-1.0777937225609837</c:v>
                </c:pt>
                <c:pt idx="3">
                  <c:v>-0.97142874730746243</c:v>
                </c:pt>
                <c:pt idx="4">
                  <c:v>-0.94615357314774728</c:v>
                </c:pt>
                <c:pt idx="5">
                  <c:v>-0.8880657236673184</c:v>
                </c:pt>
                <c:pt idx="6">
                  <c:v>-0.85636076472545675</c:v>
                </c:pt>
                <c:pt idx="7">
                  <c:v>-0.82217502813531829</c:v>
                </c:pt>
                <c:pt idx="8">
                  <c:v>-0.78781239559604221</c:v>
                </c:pt>
                <c:pt idx="9">
                  <c:v>-0.76145211231867216</c:v>
                </c:pt>
                <c:pt idx="10">
                  <c:v>-0.7471469690201068</c:v>
                </c:pt>
                <c:pt idx="11">
                  <c:v>-0.72124639904717103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78-40A5-B41B-BBD341585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i=101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5249999999999997E-2"/>
          <c:y val="0.17171296296296296"/>
          <c:w val="0.8878611111111111"/>
          <c:h val="0.735277777777777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Barra!$P$76:$P$88</c:f>
              <c:numCache>
                <c:formatCode>General</c:formatCode>
                <c:ptCount val="13"/>
                <c:pt idx="0">
                  <c:v>-0.74472749489669399</c:v>
                </c:pt>
                <c:pt idx="1">
                  <c:v>-0.53017798402183702</c:v>
                </c:pt>
                <c:pt idx="2">
                  <c:v>-0.46344155742846993</c:v>
                </c:pt>
                <c:pt idx="3">
                  <c:v>-0.42136079003192767</c:v>
                </c:pt>
                <c:pt idx="4">
                  <c:v>-0.3979400086720376</c:v>
                </c:pt>
                <c:pt idx="5">
                  <c:v>-0.36855623098682799</c:v>
                </c:pt>
                <c:pt idx="6">
                  <c:v>-0.35066514128785814</c:v>
                </c:pt>
                <c:pt idx="7">
                  <c:v>-0.33441900898204691</c:v>
                </c:pt>
                <c:pt idx="8">
                  <c:v>-0.31785492362616818</c:v>
                </c:pt>
                <c:pt idx="9">
                  <c:v>-0.3053948010664313</c:v>
                </c:pt>
                <c:pt idx="10">
                  <c:v>-0.29670862188133862</c:v>
                </c:pt>
                <c:pt idx="11">
                  <c:v>-0.28399665636520083</c:v>
                </c:pt>
                <c:pt idx="12">
                  <c:v>0</c:v>
                </c:pt>
              </c:numCache>
            </c:numRef>
          </c:xVal>
          <c:yVal>
            <c:numRef>
              <c:f>Barra!$Q$76:$Q$88</c:f>
              <c:numCache>
                <c:formatCode>General</c:formatCode>
                <c:ptCount val="13"/>
                <c:pt idx="0">
                  <c:v>-1.6289321377282637</c:v>
                </c:pt>
                <c:pt idx="1">
                  <c:v>-1.2076083105017461</c:v>
                </c:pt>
                <c:pt idx="2">
                  <c:v>-1.0736575533743451</c:v>
                </c:pt>
                <c:pt idx="3">
                  <c:v>-0.98970004336018802</c:v>
                </c:pt>
                <c:pt idx="4">
                  <c:v>-0.9415739755429946</c:v>
                </c:pt>
                <c:pt idx="5">
                  <c:v>-0.88405682306094491</c:v>
                </c:pt>
                <c:pt idx="6">
                  <c:v>-0.85232367575890122</c:v>
                </c:pt>
                <c:pt idx="7">
                  <c:v>-0.81844222613721374</c:v>
                </c:pt>
                <c:pt idx="8">
                  <c:v>-0.78436243656493831</c:v>
                </c:pt>
                <c:pt idx="9">
                  <c:v>-0.75745857170161579</c:v>
                </c:pt>
                <c:pt idx="10">
                  <c:v>-0.74328225402251302</c:v>
                </c:pt>
                <c:pt idx="11">
                  <c:v>-0.71715139716535525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8-45F9-9750-E9B82F00D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5249999999999997E-2"/>
          <c:y val="0.17171296296296296"/>
          <c:w val="0.8878611111111111"/>
          <c:h val="0.7352777777777777"/>
        </c:manualLayout>
      </c:layout>
      <c:scatterChart>
        <c:scatterStyle val="lineMarker"/>
        <c:varyColors val="0"/>
        <c:ser>
          <c:idx val="0"/>
          <c:order val="0"/>
          <c:tx>
            <c:v>loglog-51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Barra!$Y$76:$Y$88</c:f>
              <c:numCache>
                <c:formatCode>General</c:formatCode>
                <c:ptCount val="13"/>
                <c:pt idx="0">
                  <c:v>-0.74472749489669399</c:v>
                </c:pt>
                <c:pt idx="1">
                  <c:v>-0.53017798402183702</c:v>
                </c:pt>
                <c:pt idx="2">
                  <c:v>-0.46344155742846993</c:v>
                </c:pt>
                <c:pt idx="3">
                  <c:v>-0.42136079003192767</c:v>
                </c:pt>
                <c:pt idx="4">
                  <c:v>-0.3979400086720376</c:v>
                </c:pt>
                <c:pt idx="5">
                  <c:v>-0.36855623098682799</c:v>
                </c:pt>
                <c:pt idx="6">
                  <c:v>-0.35066514128785814</c:v>
                </c:pt>
                <c:pt idx="7">
                  <c:v>-0.33441900898204691</c:v>
                </c:pt>
                <c:pt idx="8">
                  <c:v>-0.31785492362616818</c:v>
                </c:pt>
                <c:pt idx="9">
                  <c:v>-0.3053948010664313</c:v>
                </c:pt>
                <c:pt idx="10">
                  <c:v>-0.29670862188133862</c:v>
                </c:pt>
                <c:pt idx="11">
                  <c:v>-0.28399665636520083</c:v>
                </c:pt>
                <c:pt idx="12">
                  <c:v>0</c:v>
                </c:pt>
              </c:numCache>
            </c:numRef>
          </c:xVal>
          <c:yVal>
            <c:numRef>
              <c:f>Barra!$Z$76:$Z$88</c:f>
              <c:numCache>
                <c:formatCode>General</c:formatCode>
                <c:ptCount val="13"/>
                <c:pt idx="0">
                  <c:v>-1.6258629060005871</c:v>
                </c:pt>
                <c:pt idx="1">
                  <c:v>-1.2052796481831636</c:v>
                </c:pt>
                <c:pt idx="2">
                  <c:v>-1.0722875380997243</c:v>
                </c:pt>
                <c:pt idx="3">
                  <c:v>-0.98857053821921814</c:v>
                </c:pt>
                <c:pt idx="4">
                  <c:v>-0.940310388728121</c:v>
                </c:pt>
                <c:pt idx="5">
                  <c:v>-0.88339225601175153</c:v>
                </c:pt>
                <c:pt idx="6">
                  <c:v>-0.85037040103626926</c:v>
                </c:pt>
                <c:pt idx="7">
                  <c:v>-0.8172050546498123</c:v>
                </c:pt>
                <c:pt idx="8">
                  <c:v>-0.78286714269438396</c:v>
                </c:pt>
                <c:pt idx="9">
                  <c:v>-0.75630067294931846</c:v>
                </c:pt>
                <c:pt idx="10">
                  <c:v>-0.74152235502148256</c:v>
                </c:pt>
                <c:pt idx="11">
                  <c:v>-0.71564447517496077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79-48B8-8808-D6BB489EB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Média</a:t>
            </a:r>
            <a:r>
              <a:rPr lang="en-US" sz="1600" baseline="0"/>
              <a:t> dos 3 i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media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8.6874873937477132E-12</c:v>
                  </c:pt>
                  <c:pt idx="2">
                    <c:v>5.4920098379032666E-11</c:v>
                  </c:pt>
                  <c:pt idx="3">
                    <c:v>1.7567117869632878E-10</c:v>
                  </c:pt>
                  <c:pt idx="4">
                    <c:v>3.3554432000000049E-10</c:v>
                  </c:pt>
                  <c:pt idx="5">
                    <c:v>7.5571009522757846E-10</c:v>
                  </c:pt>
                  <c:pt idx="6">
                    <c:v>1.2389343673789378E-9</c:v>
                  </c:pt>
                  <c:pt idx="7">
                    <c:v>1.9408943146478616E-9</c:v>
                  </c:pt>
                  <c:pt idx="8">
                    <c:v>3.0674035237853666E-9</c:v>
                  </c:pt>
                  <c:pt idx="9">
                    <c:v>4.3280511314264118E-9</c:v>
                  </c:pt>
                  <c:pt idx="10">
                    <c:v>5.5020753424412594E-9</c:v>
                  </c:pt>
                  <c:pt idx="11">
                    <c:v>7.8175401297250098E-9</c:v>
                  </c:pt>
                  <c:pt idx="12">
                    <c:v>0</c:v>
                  </c:pt>
                </c:numCache>
              </c:numRef>
            </c:plus>
            <c:minus>
              <c:numRef>
                <c:f>Barra!$E$37:$E$49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8.6874873937477132E-12</c:v>
                  </c:pt>
                  <c:pt idx="2">
                    <c:v>5.4920098379032666E-11</c:v>
                  </c:pt>
                  <c:pt idx="3">
                    <c:v>1.7567117869632878E-10</c:v>
                  </c:pt>
                  <c:pt idx="4">
                    <c:v>3.3554432000000049E-10</c:v>
                  </c:pt>
                  <c:pt idx="5">
                    <c:v>7.5571009522757846E-10</c:v>
                  </c:pt>
                  <c:pt idx="6">
                    <c:v>1.2389343673789378E-9</c:v>
                  </c:pt>
                  <c:pt idx="7">
                    <c:v>1.9408943146478616E-9</c:v>
                  </c:pt>
                  <c:pt idx="8">
                    <c:v>3.0674035237853666E-9</c:v>
                  </c:pt>
                  <c:pt idx="9">
                    <c:v>4.3280511314264118E-9</c:v>
                  </c:pt>
                  <c:pt idx="10">
                    <c:v>5.5020753424412594E-9</c:v>
                  </c:pt>
                  <c:pt idx="11">
                    <c:v>7.8175401297250098E-9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  <c:pt idx="12">
                    <c:v>0</c:v>
                  </c:pt>
                </c:numCache>
              </c:numRef>
            </c:plus>
            <c:minus>
              <c:numRef>
                <c:f>Barra!$G$37:$G$49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Barra!$AD$37:$AD$49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2.0632736880999997E-2</c:v>
                </c:pt>
                <c:pt idx="4">
                  <c:v>2.5600000000000012E-2</c:v>
                </c:pt>
                <c:pt idx="5">
                  <c:v>3.3556377855999991E-2</c:v>
                </c:pt>
                <c:pt idx="6">
                  <c:v>3.9567575056000004E-2</c:v>
                </c:pt>
                <c:pt idx="7">
                  <c:v>4.5954068160999992E-2</c:v>
                </c:pt>
                <c:pt idx="8">
                  <c:v>5.3527912321000015E-2</c:v>
                </c:pt>
                <c:pt idx="9">
                  <c:v>6.0037250624999997E-2</c:v>
                </c:pt>
                <c:pt idx="10">
                  <c:v>6.5037750625000001E-2</c:v>
                </c:pt>
                <c:pt idx="11">
                  <c:v>7.3116160000000013E-2</c:v>
                </c:pt>
                <c:pt idx="12">
                  <c:v>0</c:v>
                </c:pt>
              </c:numCache>
            </c:numRef>
          </c:xVal>
          <c:yVal>
            <c:numRef>
              <c:f>Barra!$AH$37:$AH$49</c:f>
              <c:numCache>
                <c:formatCode>General</c:formatCode>
                <c:ptCount val="13"/>
                <c:pt idx="0">
                  <c:v>5.5960037037037038E-4</c:v>
                </c:pt>
                <c:pt idx="1">
                  <c:v>3.8331348148148148E-3</c:v>
                </c:pt>
                <c:pt idx="2">
                  <c:v>7.093588148148147E-3</c:v>
                </c:pt>
                <c:pt idx="3">
                  <c:v>1.0810814814814815E-2</c:v>
                </c:pt>
                <c:pt idx="4">
                  <c:v>1.3021779259259259E-2</c:v>
                </c:pt>
                <c:pt idx="5">
                  <c:v>1.696978666666667E-2</c:v>
                </c:pt>
                <c:pt idx="6">
                  <c:v>1.9678502592592594E-2</c:v>
                </c:pt>
                <c:pt idx="7">
                  <c:v>2.2986471481481478E-2</c:v>
                </c:pt>
                <c:pt idx="8">
                  <c:v>2.6914835925925928E-2</c:v>
                </c:pt>
                <c:pt idx="9">
                  <c:v>3.0423894814814816E-2</c:v>
                </c:pt>
                <c:pt idx="10">
                  <c:v>3.2513045925925924E-2</c:v>
                </c:pt>
                <c:pt idx="11">
                  <c:v>3.6643552592592589E-2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B-400A-A2FA-9E2CB3D476E1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Barra!$AD$37:$AD$49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2.0632736880999997E-2</c:v>
                </c:pt>
                <c:pt idx="4">
                  <c:v>2.5600000000000012E-2</c:v>
                </c:pt>
                <c:pt idx="5">
                  <c:v>3.3556377855999991E-2</c:v>
                </c:pt>
                <c:pt idx="6">
                  <c:v>3.9567575056000004E-2</c:v>
                </c:pt>
                <c:pt idx="7">
                  <c:v>4.5954068160999992E-2</c:v>
                </c:pt>
                <c:pt idx="8">
                  <c:v>5.3527912321000015E-2</c:v>
                </c:pt>
                <c:pt idx="9">
                  <c:v>6.0037250624999997E-2</c:v>
                </c:pt>
                <c:pt idx="10">
                  <c:v>6.5037750625000001E-2</c:v>
                </c:pt>
                <c:pt idx="11">
                  <c:v>7.3116160000000013E-2</c:v>
                </c:pt>
                <c:pt idx="12">
                  <c:v>0</c:v>
                </c:pt>
              </c:numCache>
            </c:numRef>
          </c:xVal>
          <c:yVal>
            <c:numRef>
              <c:f>Barra!$AJ$37:$AJ$49</c:f>
              <c:numCache>
                <c:formatCode>General</c:formatCode>
                <c:ptCount val="13"/>
                <c:pt idx="0">
                  <c:v>6.3292602721192902E-4</c:v>
                </c:pt>
                <c:pt idx="1">
                  <c:v>3.8980325783797226E-3</c:v>
                </c:pt>
                <c:pt idx="2">
                  <c:v>7.1163254774735795E-3</c:v>
                </c:pt>
                <c:pt idx="3">
                  <c:v>1.0434354378722038E-2</c:v>
                </c:pt>
                <c:pt idx="4">
                  <c:v>1.2920507217477324E-2</c:v>
                </c:pt>
                <c:pt idx="5">
                  <c:v>1.690273463708827E-2</c:v>
                </c:pt>
                <c:pt idx="6">
                  <c:v>1.9911384395530394E-2</c:v>
                </c:pt>
                <c:pt idx="7">
                  <c:v>2.310787259885376E-2</c:v>
                </c:pt>
                <c:pt idx="8">
                  <c:v>2.6898639004331575E-2</c:v>
                </c:pt>
                <c:pt idx="9">
                  <c:v>3.0156612160818198E-2</c:v>
                </c:pt>
                <c:pt idx="10">
                  <c:v>3.2659400310421707E-2</c:v>
                </c:pt>
                <c:pt idx="11">
                  <c:v>3.6702705430188914E-2</c:v>
                </c:pt>
                <c:pt idx="12">
                  <c:v>1.0751319091000314E-4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3B-400A-A2FA-9E2CB3D47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a média dos 3 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245192307692308"/>
          <c:y val="0.14591770833333334"/>
          <c:w val="0.79965833333333325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media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8.6874873937477132E-12</c:v>
                  </c:pt>
                  <c:pt idx="2">
                    <c:v>5.4920098379032666E-11</c:v>
                  </c:pt>
                  <c:pt idx="3">
                    <c:v>1.7567117869632878E-10</c:v>
                  </c:pt>
                  <c:pt idx="4">
                    <c:v>3.3554432000000049E-10</c:v>
                  </c:pt>
                  <c:pt idx="5">
                    <c:v>7.5571009522757846E-10</c:v>
                  </c:pt>
                  <c:pt idx="6">
                    <c:v>1.2389343673789378E-9</c:v>
                  </c:pt>
                  <c:pt idx="7">
                    <c:v>1.9408943146478616E-9</c:v>
                  </c:pt>
                  <c:pt idx="8">
                    <c:v>3.0674035237853666E-9</c:v>
                  </c:pt>
                  <c:pt idx="9">
                    <c:v>4.3280511314264118E-9</c:v>
                  </c:pt>
                  <c:pt idx="10">
                    <c:v>5.5020753424412594E-9</c:v>
                  </c:pt>
                  <c:pt idx="11">
                    <c:v>7.8175401297250098E-9</c:v>
                  </c:pt>
                  <c:pt idx="12">
                    <c:v>0</c:v>
                  </c:pt>
                </c:numCache>
              </c:numRef>
            </c:plus>
            <c:minus>
              <c:numRef>
                <c:f>Barra!$E$37:$E$49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8.6874873937477132E-12</c:v>
                  </c:pt>
                  <c:pt idx="2">
                    <c:v>5.4920098379032666E-11</c:v>
                  </c:pt>
                  <c:pt idx="3">
                    <c:v>1.7567117869632878E-10</c:v>
                  </c:pt>
                  <c:pt idx="4">
                    <c:v>3.3554432000000049E-10</c:v>
                  </c:pt>
                  <c:pt idx="5">
                    <c:v>7.5571009522757846E-10</c:v>
                  </c:pt>
                  <c:pt idx="6">
                    <c:v>1.2389343673789378E-9</c:v>
                  </c:pt>
                  <c:pt idx="7">
                    <c:v>1.9408943146478616E-9</c:v>
                  </c:pt>
                  <c:pt idx="8">
                    <c:v>3.0674035237853666E-9</c:v>
                  </c:pt>
                  <c:pt idx="9">
                    <c:v>4.3280511314264118E-9</c:v>
                  </c:pt>
                  <c:pt idx="10">
                    <c:v>5.5020753424412594E-9</c:v>
                  </c:pt>
                  <c:pt idx="11">
                    <c:v>7.8175401297250098E-9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  <c:pt idx="12">
                    <c:v>0</c:v>
                  </c:pt>
                </c:numCache>
              </c:numRef>
            </c:plus>
            <c:minus>
              <c:numRef>
                <c:f>Barra!$G$37:$G$49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Barra!$AD$37:$AD$49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2.0632736880999997E-2</c:v>
                </c:pt>
                <c:pt idx="4">
                  <c:v>2.5600000000000012E-2</c:v>
                </c:pt>
                <c:pt idx="5">
                  <c:v>3.3556377855999991E-2</c:v>
                </c:pt>
                <c:pt idx="6">
                  <c:v>3.9567575056000004E-2</c:v>
                </c:pt>
                <c:pt idx="7">
                  <c:v>4.5954068160999992E-2</c:v>
                </c:pt>
                <c:pt idx="8">
                  <c:v>5.3527912321000015E-2</c:v>
                </c:pt>
                <c:pt idx="9">
                  <c:v>6.0037250624999997E-2</c:v>
                </c:pt>
                <c:pt idx="10">
                  <c:v>6.5037750625000001E-2</c:v>
                </c:pt>
                <c:pt idx="11">
                  <c:v>7.3116160000000013E-2</c:v>
                </c:pt>
                <c:pt idx="12">
                  <c:v>0</c:v>
                </c:pt>
              </c:numCache>
            </c:numRef>
          </c:xVal>
          <c:yVal>
            <c:numRef>
              <c:f>Barra!$AK$37:$AK$49</c:f>
              <c:numCache>
                <c:formatCode>General</c:formatCode>
                <c:ptCount val="13"/>
                <c:pt idx="0">
                  <c:v>-7.3325656841558636E-5</c:v>
                </c:pt>
                <c:pt idx="1">
                  <c:v>-6.4897763564907875E-5</c:v>
                </c:pt>
                <c:pt idx="2">
                  <c:v>-2.273732932543248E-5</c:v>
                </c:pt>
                <c:pt idx="3">
                  <c:v>3.7646043609277681E-4</c:v>
                </c:pt>
                <c:pt idx="4">
                  <c:v>1.0127204178193502E-4</c:v>
                </c:pt>
                <c:pt idx="5">
                  <c:v>6.705202957840023E-5</c:v>
                </c:pt>
                <c:pt idx="6">
                  <c:v>-2.3288180293780034E-4</c:v>
                </c:pt>
                <c:pt idx="7">
                  <c:v>-1.2140111737228218E-4</c:v>
                </c:pt>
                <c:pt idx="8">
                  <c:v>1.6196921594352487E-5</c:v>
                </c:pt>
                <c:pt idx="9">
                  <c:v>2.6728265399661791E-4</c:v>
                </c:pt>
                <c:pt idx="10">
                  <c:v>-1.4635438449578375E-4</c:v>
                </c:pt>
                <c:pt idx="11">
                  <c:v>-5.9152837596325447E-5</c:v>
                </c:pt>
                <c:pt idx="12">
                  <c:v>-1.0751319091000314E-4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C3-41B2-9EDE-D319D44C6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0458292322834649E-2"/>
          <c:y val="0.17171296296296296"/>
          <c:w val="0.88265276410761173"/>
          <c:h val="0.7352777777777777"/>
        </c:manualLayout>
      </c:layout>
      <c:scatterChart>
        <c:scatterStyle val="lineMarker"/>
        <c:varyColors val="0"/>
        <c:ser>
          <c:idx val="0"/>
          <c:order val="0"/>
          <c:tx>
            <c:v>loglog-media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Barra!$AL$37:$AL$49</c:f>
              <c:numCache>
                <c:formatCode>General</c:formatCode>
                <c:ptCount val="13"/>
                <c:pt idx="0">
                  <c:v>-0.74472749489669399</c:v>
                </c:pt>
                <c:pt idx="1">
                  <c:v>-0.53017798402183702</c:v>
                </c:pt>
                <c:pt idx="2">
                  <c:v>-0.46344155742846993</c:v>
                </c:pt>
                <c:pt idx="3">
                  <c:v>-0.42136079003192767</c:v>
                </c:pt>
                <c:pt idx="4">
                  <c:v>-0.3979400086720376</c:v>
                </c:pt>
                <c:pt idx="5">
                  <c:v>-0.36855623098682799</c:v>
                </c:pt>
                <c:pt idx="6">
                  <c:v>-0.35066514128785814</c:v>
                </c:pt>
                <c:pt idx="7">
                  <c:v>-0.33441900898204691</c:v>
                </c:pt>
                <c:pt idx="8">
                  <c:v>-0.31785492362616818</c:v>
                </c:pt>
                <c:pt idx="9">
                  <c:v>-0.3053948010664313</c:v>
                </c:pt>
                <c:pt idx="10">
                  <c:v>-0.29670862188133862</c:v>
                </c:pt>
                <c:pt idx="11">
                  <c:v>-0.28399665636520083</c:v>
                </c:pt>
                <c:pt idx="12">
                  <c:v>0</c:v>
                </c:pt>
              </c:numCache>
            </c:numRef>
          </c:xVal>
          <c:yVal>
            <c:numRef>
              <c:f>Barra!$AM$37:$AM$49</c:f>
              <c:numCache>
                <c:formatCode>General</c:formatCode>
                <c:ptCount val="13"/>
                <c:pt idx="0">
                  <c:v>-1.6260668480010023</c:v>
                </c:pt>
                <c:pt idx="1">
                  <c:v>-1.208231401687399</c:v>
                </c:pt>
                <c:pt idx="2">
                  <c:v>-1.0745733038072713</c:v>
                </c:pt>
                <c:pt idx="3">
                  <c:v>-0.98315229630220935</c:v>
                </c:pt>
                <c:pt idx="4">
                  <c:v>-0.94267206584204666</c:v>
                </c:pt>
                <c:pt idx="5">
                  <c:v>-0.88516669967292694</c:v>
                </c:pt>
                <c:pt idx="6">
                  <c:v>-0.85301112264862589</c:v>
                </c:pt>
                <c:pt idx="7">
                  <c:v>-0.81926896943340954</c:v>
                </c:pt>
                <c:pt idx="8">
                  <c:v>-0.78500905813822763</c:v>
                </c:pt>
                <c:pt idx="9">
                  <c:v>-0.7583981846920429</c:v>
                </c:pt>
                <c:pt idx="10">
                  <c:v>-0.7439775104070363</c:v>
                </c:pt>
                <c:pt idx="11">
                  <c:v>-0.71800764634876235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28-43CA-8EDF-44F9627C1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5119750656167979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Log(I) [Log(T)]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loglog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Pêndulo!$X$21:$X$25</c:f>
              <c:numCache>
                <c:formatCode>General</c:formatCode>
                <c:ptCount val="5"/>
                <c:pt idx="0">
                  <c:v>0.85215455751679248</c:v>
                </c:pt>
                <c:pt idx="1">
                  <c:v>0.94605906038512377</c:v>
                </c:pt>
                <c:pt idx="2">
                  <c:v>1.0085433975305924</c:v>
                </c:pt>
                <c:pt idx="3">
                  <c:v>1.059336177389288</c:v>
                </c:pt>
              </c:numCache>
            </c:numRef>
          </c:xVal>
          <c:yVal>
            <c:numRef>
              <c:f>Pêndulo!$W$21:$W$24</c:f>
              <c:numCache>
                <c:formatCode>General</c:formatCode>
                <c:ptCount val="4"/>
                <c:pt idx="0">
                  <c:v>-2.5633582431301791</c:v>
                </c:pt>
                <c:pt idx="1">
                  <c:v>-2.3739837333124929</c:v>
                </c:pt>
                <c:pt idx="2">
                  <c:v>-2.1934568888402861</c:v>
                </c:pt>
                <c:pt idx="3">
                  <c:v>-2.0998990440019281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24-46CB-86A6-ECC1B8B8C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203487"/>
        <c:axId val="292858191"/>
      </c:scatterChart>
      <c:valAx>
        <c:axId val="446203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2858191"/>
        <c:crosses val="autoZero"/>
        <c:crossBetween val="midCat"/>
      </c:valAx>
      <c:valAx>
        <c:axId val="29285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4620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Pêndulo</a:t>
            </a:r>
            <a:r>
              <a:rPr lang="en-US" baseline="0"/>
              <a:t> de Torção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751137357830271"/>
          <c:y val="0.17171296296296296"/>
          <c:w val="0.84559973753280848"/>
          <c:h val="0.669545056867891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Pêndulo!$U$21:$U$24</c:f>
              <c:numCache>
                <c:formatCode>General</c:formatCode>
                <c:ptCount val="4"/>
                <c:pt idx="0">
                  <c:v>50.61848177777776</c:v>
                </c:pt>
                <c:pt idx="1">
                  <c:v>78.004224000000008</c:v>
                </c:pt>
                <c:pt idx="2">
                  <c:v>104.01280177777777</c:v>
                </c:pt>
                <c:pt idx="3">
                  <c:v>131.42329600000002</c:v>
                </c:pt>
              </c:numCache>
            </c:numRef>
          </c:xVal>
          <c:yVal>
            <c:numRef>
              <c:f>Pêndulo!$Q$21:$Q$24</c:f>
              <c:numCache>
                <c:formatCode>General</c:formatCode>
                <c:ptCount val="4"/>
                <c:pt idx="0">
                  <c:v>2.7330133736983338E-3</c:v>
                </c:pt>
                <c:pt idx="1">
                  <c:v>4.2268444579770005E-3</c:v>
                </c:pt>
                <c:pt idx="2">
                  <c:v>6.4053536251020005E-3</c:v>
                </c:pt>
                <c:pt idx="3">
                  <c:v>7.9451290555140018E-3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36-4DE1-8C00-7596474622F2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Pêndulo!$U$21:$U$24</c:f>
              <c:numCache>
                <c:formatCode>General</c:formatCode>
                <c:ptCount val="4"/>
                <c:pt idx="0">
                  <c:v>50.61848177777776</c:v>
                </c:pt>
                <c:pt idx="1">
                  <c:v>78.004224000000008</c:v>
                </c:pt>
                <c:pt idx="2">
                  <c:v>104.01280177777777</c:v>
                </c:pt>
                <c:pt idx="3">
                  <c:v>131.42329600000002</c:v>
                </c:pt>
              </c:numCache>
            </c:numRef>
          </c:xVal>
          <c:yVal>
            <c:numRef>
              <c:f>Pêndulo!$Y$21:$Y$24</c:f>
              <c:numCache>
                <c:formatCode>General</c:formatCode>
                <c:ptCount val="4"/>
                <c:pt idx="0">
                  <c:v>2.6488913038728665E-3</c:v>
                </c:pt>
                <c:pt idx="1">
                  <c:v>4.464853791847927E-3</c:v>
                </c:pt>
                <c:pt idx="2">
                  <c:v>6.1894958054465486E-3</c:v>
                </c:pt>
                <c:pt idx="3">
                  <c:v>8.0070996111239988E-3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36-4DE1-8C00-759647462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0292655"/>
        <c:crosses val="autoZero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Pêndulo</a:t>
            </a:r>
            <a:r>
              <a:rPr lang="en-US" baseline="0"/>
              <a:t> de Torção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751137357830271"/>
          <c:y val="0.17171296296296296"/>
          <c:w val="0.84559973753280848"/>
          <c:h val="0.669545056867891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Pêndulo!$R$21:$R$24</c:f>
                <c:numCache>
                  <c:formatCode>General</c:formatCode>
                  <c:ptCount val="4"/>
                  <c:pt idx="0">
                    <c:v>1.0551870569460524</c:v>
                  </c:pt>
                  <c:pt idx="1">
                    <c:v>1.2116929893010313</c:v>
                  </c:pt>
                  <c:pt idx="2">
                    <c:v>1.1769544558738452</c:v>
                  </c:pt>
                  <c:pt idx="3">
                    <c:v>1.3190914649869199</c:v>
                  </c:pt>
                </c:numCache>
              </c:numRef>
            </c:plus>
            <c:minus>
              <c:numRef>
                <c:f>Pêndulo!$R$21:$R$24</c:f>
                <c:numCache>
                  <c:formatCode>General</c:formatCode>
                  <c:ptCount val="4"/>
                  <c:pt idx="0">
                    <c:v>1.0551870569460524</c:v>
                  </c:pt>
                  <c:pt idx="1">
                    <c:v>1.2116929893010313</c:v>
                  </c:pt>
                  <c:pt idx="2">
                    <c:v>1.1769544558738452</c:v>
                  </c:pt>
                  <c:pt idx="3">
                    <c:v>1.3190914649869199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Pêndulo!$Q$21:$Q$24</c:f>
              <c:numCache>
                <c:formatCode>General</c:formatCode>
                <c:ptCount val="4"/>
                <c:pt idx="0">
                  <c:v>2.7330133736983338E-3</c:v>
                </c:pt>
                <c:pt idx="1">
                  <c:v>4.2268444579770005E-3</c:v>
                </c:pt>
                <c:pt idx="2">
                  <c:v>6.4053536251020005E-3</c:v>
                </c:pt>
                <c:pt idx="3">
                  <c:v>7.9451290555140018E-3</c:v>
                </c:pt>
              </c:numCache>
            </c:numRef>
          </c:xVal>
          <c:yVal>
            <c:numRef>
              <c:f>Pêndulo!$U$21:$U$24</c:f>
              <c:numCache>
                <c:formatCode>General</c:formatCode>
                <c:ptCount val="4"/>
                <c:pt idx="0">
                  <c:v>50.61848177777776</c:v>
                </c:pt>
                <c:pt idx="1">
                  <c:v>78.004224000000008</c:v>
                </c:pt>
                <c:pt idx="2">
                  <c:v>104.01280177777777</c:v>
                </c:pt>
                <c:pt idx="3">
                  <c:v>131.42329600000002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56-4BEF-A205-92B843287AC1}"/>
            </c:ext>
          </c:extLst>
        </c:ser>
        <c:ser>
          <c:idx val="1"/>
          <c:order val="1"/>
          <c:tx>
            <c:v>Aj Lin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Pêndulo!$Q$21:$Q$24</c:f>
              <c:numCache>
                <c:formatCode>General</c:formatCode>
                <c:ptCount val="4"/>
                <c:pt idx="0">
                  <c:v>2.7330133736983338E-3</c:v>
                </c:pt>
                <c:pt idx="1">
                  <c:v>4.2268444579770005E-3</c:v>
                </c:pt>
                <c:pt idx="2">
                  <c:v>6.4053536251020005E-3</c:v>
                </c:pt>
                <c:pt idx="3">
                  <c:v>7.9451290555140018E-3</c:v>
                </c:pt>
              </c:numCache>
            </c:numRef>
          </c:xVal>
          <c:yVal>
            <c:numRef>
              <c:f>Pêndulo!$AA$21:$AA$24</c:f>
              <c:numCache>
                <c:formatCode>General</c:formatCode>
                <c:ptCount val="4"/>
                <c:pt idx="0">
                  <c:v>52.167025632132166</c:v>
                </c:pt>
                <c:pt idx="1">
                  <c:v>74.533670436872484</c:v>
                </c:pt>
                <c:pt idx="2">
                  <c:v>107.15177649836477</c:v>
                </c:pt>
                <c:pt idx="3">
                  <c:v>130.2063309881861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56-4BEF-A205-92B843287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0292655"/>
        <c:crosses val="autoZero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</a:t>
                </a:r>
                <a:r>
                  <a:rPr lang="en-US" sz="1400" b="0" i="0" baseline="30000">
                    <a:effectLst/>
                  </a:rPr>
                  <a:t>2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751137357830271"/>
          <c:y val="0.17171296296296296"/>
          <c:w val="0.84559973753280848"/>
          <c:h val="0.66954505686789145"/>
        </c:manualLayout>
      </c:layout>
      <c:scatterChart>
        <c:scatterStyle val="lineMarker"/>
        <c:varyColors val="0"/>
        <c:ser>
          <c:idx val="0"/>
          <c:order val="0"/>
          <c:tx>
            <c:v>res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Pêndulo!$U$21:$U$24</c:f>
              <c:numCache>
                <c:formatCode>General</c:formatCode>
                <c:ptCount val="4"/>
                <c:pt idx="0">
                  <c:v>50.61848177777776</c:v>
                </c:pt>
                <c:pt idx="1">
                  <c:v>78.004224000000008</c:v>
                </c:pt>
                <c:pt idx="2">
                  <c:v>104.01280177777777</c:v>
                </c:pt>
                <c:pt idx="3">
                  <c:v>131.42329600000002</c:v>
                </c:pt>
              </c:numCache>
            </c:numRef>
          </c:xVal>
          <c:yVal>
            <c:numRef>
              <c:f>Pêndulo!$Z$21:$Z$24</c:f>
              <c:numCache>
                <c:formatCode>General</c:formatCode>
                <c:ptCount val="4"/>
                <c:pt idx="0">
                  <c:v>8.4122069825467299E-5</c:v>
                </c:pt>
                <c:pt idx="1">
                  <c:v>-2.3800933387092653E-4</c:v>
                </c:pt>
                <c:pt idx="2">
                  <c:v>2.1585781965545187E-4</c:v>
                </c:pt>
                <c:pt idx="3">
                  <c:v>-6.197055560999698E-5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5D-43D9-A6D0-4761D586A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0292655"/>
        <c:crosses val="autoZero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</a:t>
            </a:r>
            <a:r>
              <a:rPr lang="en-US" baseline="0"/>
              <a:t>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751137357830271"/>
          <c:y val="0.17171296296296296"/>
          <c:w val="0.84559973753280848"/>
          <c:h val="0.66954505686789145"/>
        </c:manualLayout>
      </c:layout>
      <c:scatterChart>
        <c:scatterStyle val="lineMarker"/>
        <c:varyColors val="0"/>
        <c:ser>
          <c:idx val="0"/>
          <c:order val="0"/>
          <c:tx>
            <c:v>res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Pêndulo!$R$21:$R$24</c:f>
                <c:numCache>
                  <c:formatCode>General</c:formatCode>
                  <c:ptCount val="4"/>
                  <c:pt idx="0">
                    <c:v>1.0551870569460524</c:v>
                  </c:pt>
                  <c:pt idx="1">
                    <c:v>1.2116929893010313</c:v>
                  </c:pt>
                  <c:pt idx="2">
                    <c:v>1.1769544558738452</c:v>
                  </c:pt>
                  <c:pt idx="3">
                    <c:v>1.3190914649869199</c:v>
                  </c:pt>
                </c:numCache>
              </c:numRef>
            </c:plus>
            <c:minus>
              <c:numRef>
                <c:f>Pêndulo!$R$21:$R$24</c:f>
                <c:numCache>
                  <c:formatCode>General</c:formatCode>
                  <c:ptCount val="4"/>
                  <c:pt idx="0">
                    <c:v>1.0551870569460524</c:v>
                  </c:pt>
                  <c:pt idx="1">
                    <c:v>1.2116929893010313</c:v>
                  </c:pt>
                  <c:pt idx="2">
                    <c:v>1.1769544558738452</c:v>
                  </c:pt>
                  <c:pt idx="3">
                    <c:v>1.3190914649869199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Pêndulo!$Q$21:$Q$24</c:f>
              <c:numCache>
                <c:formatCode>General</c:formatCode>
                <c:ptCount val="4"/>
                <c:pt idx="0">
                  <c:v>2.7330133736983338E-3</c:v>
                </c:pt>
                <c:pt idx="1">
                  <c:v>4.2268444579770005E-3</c:v>
                </c:pt>
                <c:pt idx="2">
                  <c:v>6.4053536251020005E-3</c:v>
                </c:pt>
                <c:pt idx="3">
                  <c:v>7.9451290555140018E-3</c:v>
                </c:pt>
              </c:numCache>
            </c:numRef>
          </c:xVal>
          <c:yVal>
            <c:numRef>
              <c:f>Pêndulo!$AB$21:$AB$24</c:f>
              <c:numCache>
                <c:formatCode>General</c:formatCode>
                <c:ptCount val="4"/>
                <c:pt idx="0">
                  <c:v>-1.5485438543544063</c:v>
                </c:pt>
                <c:pt idx="1">
                  <c:v>3.4705535631275239</c:v>
                </c:pt>
                <c:pt idx="2">
                  <c:v>-3.1389747205870009</c:v>
                </c:pt>
                <c:pt idx="3">
                  <c:v>1.2169650118139259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EC-487C-A4C9-FC8199CD5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0292655"/>
        <c:crosses val="autoZero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</a:t>
                </a:r>
                <a:r>
                  <a:rPr lang="en-US" sz="1400" b="0" i="0" baseline="30000">
                    <a:effectLst/>
                  </a:rPr>
                  <a:t>2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13" Type="http://schemas.openxmlformats.org/officeDocument/2006/relationships/chart" Target="../charts/chart12.xml"/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12" Type="http://schemas.openxmlformats.org/officeDocument/2006/relationships/chart" Target="../charts/chart1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11" Type="http://schemas.openxmlformats.org/officeDocument/2006/relationships/chart" Target="../charts/chart10.xml"/><Relationship Id="rId5" Type="http://schemas.openxmlformats.org/officeDocument/2006/relationships/chart" Target="../charts/chart4.xml"/><Relationship Id="rId10" Type="http://schemas.openxmlformats.org/officeDocument/2006/relationships/chart" Target="../charts/chart9.xml"/><Relationship Id="rId4" Type="http://schemas.openxmlformats.org/officeDocument/2006/relationships/image" Target="../media/image1.png"/><Relationship Id="rId9" Type="http://schemas.openxmlformats.org/officeDocument/2006/relationships/chart" Target="../charts/chart8.xml"/><Relationship Id="rId14" Type="http://schemas.openxmlformats.org/officeDocument/2006/relationships/chart" Target="../charts/chart13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13" Type="http://schemas.openxmlformats.org/officeDocument/2006/relationships/chart" Target="../charts/chart25.xml"/><Relationship Id="rId3" Type="http://schemas.openxmlformats.org/officeDocument/2006/relationships/chart" Target="../charts/chart16.xml"/><Relationship Id="rId7" Type="http://schemas.openxmlformats.org/officeDocument/2006/relationships/chart" Target="../charts/chart19.xml"/><Relationship Id="rId12" Type="http://schemas.openxmlformats.org/officeDocument/2006/relationships/chart" Target="../charts/chart24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8.xml"/><Relationship Id="rId11" Type="http://schemas.openxmlformats.org/officeDocument/2006/relationships/chart" Target="../charts/chart23.xml"/><Relationship Id="rId5" Type="http://schemas.openxmlformats.org/officeDocument/2006/relationships/chart" Target="../charts/chart17.xml"/><Relationship Id="rId10" Type="http://schemas.openxmlformats.org/officeDocument/2006/relationships/chart" Target="../charts/chart22.xml"/><Relationship Id="rId4" Type="http://schemas.openxmlformats.org/officeDocument/2006/relationships/image" Target="../media/image1.png"/><Relationship Id="rId9" Type="http://schemas.openxmlformats.org/officeDocument/2006/relationships/chart" Target="../charts/chart2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image" Target="../media/image2.png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228601</xdr:colOff>
      <xdr:row>49</xdr:row>
      <xdr:rowOff>179293</xdr:rowOff>
    </xdr:from>
    <xdr:to>
      <xdr:col>6</xdr:col>
      <xdr:colOff>722083</xdr:colOff>
      <xdr:row>66</xdr:row>
      <xdr:rowOff>11293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4651A7-CFE3-4A57-A0B2-70B18D7B89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560293</xdr:colOff>
      <xdr:row>50</xdr:row>
      <xdr:rowOff>8963</xdr:rowOff>
    </xdr:from>
    <xdr:to>
      <xdr:col>14</xdr:col>
      <xdr:colOff>775870</xdr:colOff>
      <xdr:row>66</xdr:row>
      <xdr:rowOff>20257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A81223FA-2C17-4FEA-B286-5712FA9F33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121021</xdr:colOff>
      <xdr:row>49</xdr:row>
      <xdr:rowOff>179293</xdr:rowOff>
    </xdr:from>
    <xdr:to>
      <xdr:col>23</xdr:col>
      <xdr:colOff>542786</xdr:colOff>
      <xdr:row>66</xdr:row>
      <xdr:rowOff>11293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27C19823-444E-424C-864A-9DC241B29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17</xdr:col>
      <xdr:colOff>402771</xdr:colOff>
      <xdr:row>37</xdr:row>
      <xdr:rowOff>10886</xdr:rowOff>
    </xdr:from>
    <xdr:to>
      <xdr:col>23</xdr:col>
      <xdr:colOff>109095</xdr:colOff>
      <xdr:row>43</xdr:row>
      <xdr:rowOff>152400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B4C972D4-F584-4554-80CF-C57EF92B2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33071" y="6914606"/>
          <a:ext cx="4270704" cy="1238794"/>
        </a:xfrm>
        <a:prstGeom prst="rect">
          <a:avLst/>
        </a:prstGeom>
      </xdr:spPr>
    </xdr:pic>
    <xdr:clientData/>
  </xdr:twoCellAnchor>
  <xdr:twoCellAnchor>
    <xdr:from>
      <xdr:col>0</xdr:col>
      <xdr:colOff>259977</xdr:colOff>
      <xdr:row>66</xdr:row>
      <xdr:rowOff>71718</xdr:rowOff>
    </xdr:from>
    <xdr:to>
      <xdr:col>6</xdr:col>
      <xdr:colOff>753459</xdr:colOff>
      <xdr:row>82</xdr:row>
      <xdr:rowOff>83012</xdr:rowOff>
    </xdr:to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86791C98-92DB-452B-8A2E-EE505CFEA7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546846</xdr:colOff>
      <xdr:row>66</xdr:row>
      <xdr:rowOff>89647</xdr:rowOff>
    </xdr:from>
    <xdr:to>
      <xdr:col>14</xdr:col>
      <xdr:colOff>762423</xdr:colOff>
      <xdr:row>82</xdr:row>
      <xdr:rowOff>100941</xdr:rowOff>
    </xdr:to>
    <xdr:graphicFrame macro="">
      <xdr:nvGraphicFramePr>
        <xdr:cNvPr id="7" name="Chart 7">
          <a:extLst>
            <a:ext uri="{FF2B5EF4-FFF2-40B4-BE49-F238E27FC236}">
              <a16:creationId xmlns:a16="http://schemas.microsoft.com/office/drawing/2014/main" id="{172BE354-29F1-404A-89CF-85DDFB64AF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89647</xdr:colOff>
      <xdr:row>66</xdr:row>
      <xdr:rowOff>80682</xdr:rowOff>
    </xdr:from>
    <xdr:to>
      <xdr:col>23</xdr:col>
      <xdr:colOff>511412</xdr:colOff>
      <xdr:row>82</xdr:row>
      <xdr:rowOff>91976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2D55CF12-E6E8-4583-AD8E-6A19C6506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273423</xdr:colOff>
      <xdr:row>82</xdr:row>
      <xdr:rowOff>170330</xdr:rowOff>
    </xdr:from>
    <xdr:to>
      <xdr:col>6</xdr:col>
      <xdr:colOff>658905</xdr:colOff>
      <xdr:row>98</xdr:row>
      <xdr:rowOff>44824</xdr:rowOff>
    </xdr:to>
    <xdr:graphicFrame macro="">
      <xdr:nvGraphicFramePr>
        <xdr:cNvPr id="9" name="Chart 10">
          <a:extLst>
            <a:ext uri="{FF2B5EF4-FFF2-40B4-BE49-F238E27FC236}">
              <a16:creationId xmlns:a16="http://schemas.microsoft.com/office/drawing/2014/main" id="{F0B34B9F-60D1-4DD8-B3BD-D5B1061679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555812</xdr:colOff>
      <xdr:row>83</xdr:row>
      <xdr:rowOff>152400</xdr:rowOff>
    </xdr:from>
    <xdr:to>
      <xdr:col>14</xdr:col>
      <xdr:colOff>663389</xdr:colOff>
      <xdr:row>99</xdr:row>
      <xdr:rowOff>26894</xdr:rowOff>
    </xdr:to>
    <xdr:graphicFrame macro="">
      <xdr:nvGraphicFramePr>
        <xdr:cNvPr id="10" name="Chart 11">
          <a:extLst>
            <a:ext uri="{FF2B5EF4-FFF2-40B4-BE49-F238E27FC236}">
              <a16:creationId xmlns:a16="http://schemas.microsoft.com/office/drawing/2014/main" id="{DEB0020F-9C3C-4A03-AD74-6E0559B2A6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0</xdr:colOff>
      <xdr:row>84</xdr:row>
      <xdr:rowOff>0</xdr:rowOff>
    </xdr:from>
    <xdr:to>
      <xdr:col>23</xdr:col>
      <xdr:colOff>313765</xdr:colOff>
      <xdr:row>99</xdr:row>
      <xdr:rowOff>53788</xdr:rowOff>
    </xdr:to>
    <xdr:graphicFrame macro="">
      <xdr:nvGraphicFramePr>
        <xdr:cNvPr id="11" name="Chart 12">
          <a:extLst>
            <a:ext uri="{FF2B5EF4-FFF2-40B4-BE49-F238E27FC236}">
              <a16:creationId xmlns:a16="http://schemas.microsoft.com/office/drawing/2014/main" id="{01AEE87B-6C47-4C6B-B84A-2665879C9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39</xdr:col>
      <xdr:colOff>358589</xdr:colOff>
      <xdr:row>27</xdr:row>
      <xdr:rowOff>8966</xdr:rowOff>
    </xdr:from>
    <xdr:to>
      <xdr:col>47</xdr:col>
      <xdr:colOff>161789</xdr:colOff>
      <xdr:row>42</xdr:row>
      <xdr:rowOff>136801</xdr:rowOff>
    </xdr:to>
    <xdr:graphicFrame macro="">
      <xdr:nvGraphicFramePr>
        <xdr:cNvPr id="12" name="Chart 13">
          <a:extLst>
            <a:ext uri="{FF2B5EF4-FFF2-40B4-BE49-F238E27FC236}">
              <a16:creationId xmlns:a16="http://schemas.microsoft.com/office/drawing/2014/main" id="{5F53C60F-2CE2-4707-84CE-592CFF423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48</xdr:col>
      <xdr:colOff>0</xdr:colOff>
      <xdr:row>27</xdr:row>
      <xdr:rowOff>0</xdr:rowOff>
    </xdr:from>
    <xdr:to>
      <xdr:col>55</xdr:col>
      <xdr:colOff>412800</xdr:colOff>
      <xdr:row>42</xdr:row>
      <xdr:rowOff>127835</xdr:rowOff>
    </xdr:to>
    <xdr:graphicFrame macro="">
      <xdr:nvGraphicFramePr>
        <xdr:cNvPr id="13" name="Chart 14">
          <a:extLst>
            <a:ext uri="{FF2B5EF4-FFF2-40B4-BE49-F238E27FC236}">
              <a16:creationId xmlns:a16="http://schemas.microsoft.com/office/drawing/2014/main" id="{5968CBAA-B0EB-4888-850D-C4C2BC922A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56</xdr:col>
      <xdr:colOff>0</xdr:colOff>
      <xdr:row>27</xdr:row>
      <xdr:rowOff>0</xdr:rowOff>
    </xdr:from>
    <xdr:to>
      <xdr:col>64</xdr:col>
      <xdr:colOff>0</xdr:colOff>
      <xdr:row>41</xdr:row>
      <xdr:rowOff>170329</xdr:rowOff>
    </xdr:to>
    <xdr:graphicFrame macro="">
      <xdr:nvGraphicFramePr>
        <xdr:cNvPr id="14" name="Chart 15">
          <a:extLst>
            <a:ext uri="{FF2B5EF4-FFF2-40B4-BE49-F238E27FC236}">
              <a16:creationId xmlns:a16="http://schemas.microsoft.com/office/drawing/2014/main" id="{DA69FEFC-0D73-43E7-8D13-2D05AD0A1E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23</xdr:col>
      <xdr:colOff>519954</xdr:colOff>
      <xdr:row>49</xdr:row>
      <xdr:rowOff>71717</xdr:rowOff>
    </xdr:from>
    <xdr:to>
      <xdr:col>30</xdr:col>
      <xdr:colOff>574166</xdr:colOff>
      <xdr:row>65</xdr:row>
      <xdr:rowOff>83011</xdr:rowOff>
    </xdr:to>
    <xdr:graphicFrame macro="">
      <xdr:nvGraphicFramePr>
        <xdr:cNvPr id="15" name="Chart 4">
          <a:extLst>
            <a:ext uri="{FF2B5EF4-FFF2-40B4-BE49-F238E27FC236}">
              <a16:creationId xmlns:a16="http://schemas.microsoft.com/office/drawing/2014/main" id="{DD6142AD-BA80-46C3-B9FD-BE8C67E53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228601</xdr:colOff>
      <xdr:row>49</xdr:row>
      <xdr:rowOff>179293</xdr:rowOff>
    </xdr:from>
    <xdr:to>
      <xdr:col>6</xdr:col>
      <xdr:colOff>722083</xdr:colOff>
      <xdr:row>66</xdr:row>
      <xdr:rowOff>11293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595A73-8833-1EC2-FB61-005D03B8C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560293</xdr:colOff>
      <xdr:row>50</xdr:row>
      <xdr:rowOff>8963</xdr:rowOff>
    </xdr:from>
    <xdr:to>
      <xdr:col>14</xdr:col>
      <xdr:colOff>775870</xdr:colOff>
      <xdr:row>66</xdr:row>
      <xdr:rowOff>20257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BC6DC2-95A8-4F13-AC67-C5C6122F8B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121021</xdr:colOff>
      <xdr:row>49</xdr:row>
      <xdr:rowOff>179293</xdr:rowOff>
    </xdr:from>
    <xdr:to>
      <xdr:col>23</xdr:col>
      <xdr:colOff>542786</xdr:colOff>
      <xdr:row>66</xdr:row>
      <xdr:rowOff>11293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FC006A-8689-4F38-8576-E357B1DBDA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17</xdr:col>
      <xdr:colOff>402771</xdr:colOff>
      <xdr:row>37</xdr:row>
      <xdr:rowOff>10886</xdr:rowOff>
    </xdr:from>
    <xdr:to>
      <xdr:col>23</xdr:col>
      <xdr:colOff>109095</xdr:colOff>
      <xdr:row>43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6FE578F-8B1C-205C-A6C3-D0219DA74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58057" y="7010400"/>
          <a:ext cx="4278324" cy="1251857"/>
        </a:xfrm>
        <a:prstGeom prst="rect">
          <a:avLst/>
        </a:prstGeom>
      </xdr:spPr>
    </xdr:pic>
    <xdr:clientData/>
  </xdr:twoCellAnchor>
  <xdr:twoCellAnchor>
    <xdr:from>
      <xdr:col>0</xdr:col>
      <xdr:colOff>259977</xdr:colOff>
      <xdr:row>66</xdr:row>
      <xdr:rowOff>71718</xdr:rowOff>
    </xdr:from>
    <xdr:to>
      <xdr:col>6</xdr:col>
      <xdr:colOff>753459</xdr:colOff>
      <xdr:row>82</xdr:row>
      <xdr:rowOff>83012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09A0FE4-AEA9-41EF-898E-57E257C89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546846</xdr:colOff>
      <xdr:row>66</xdr:row>
      <xdr:rowOff>89647</xdr:rowOff>
    </xdr:from>
    <xdr:to>
      <xdr:col>14</xdr:col>
      <xdr:colOff>762423</xdr:colOff>
      <xdr:row>82</xdr:row>
      <xdr:rowOff>100941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060C730-A55F-495B-BA2E-C946D179F5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89647</xdr:colOff>
      <xdr:row>66</xdr:row>
      <xdr:rowOff>80682</xdr:rowOff>
    </xdr:from>
    <xdr:to>
      <xdr:col>23</xdr:col>
      <xdr:colOff>511412</xdr:colOff>
      <xdr:row>82</xdr:row>
      <xdr:rowOff>91976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F06C8EF-B128-478A-BA5E-33291CF6A5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273423</xdr:colOff>
      <xdr:row>82</xdr:row>
      <xdr:rowOff>170330</xdr:rowOff>
    </xdr:from>
    <xdr:to>
      <xdr:col>6</xdr:col>
      <xdr:colOff>658905</xdr:colOff>
      <xdr:row>98</xdr:row>
      <xdr:rowOff>44824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02EF1D7-D642-E0AD-280F-CEE85CB26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555812</xdr:colOff>
      <xdr:row>83</xdr:row>
      <xdr:rowOff>152400</xdr:rowOff>
    </xdr:from>
    <xdr:to>
      <xdr:col>14</xdr:col>
      <xdr:colOff>663389</xdr:colOff>
      <xdr:row>99</xdr:row>
      <xdr:rowOff>26894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58B042A-8190-4607-8B83-7376EBC2F7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0</xdr:colOff>
      <xdr:row>84</xdr:row>
      <xdr:rowOff>0</xdr:rowOff>
    </xdr:from>
    <xdr:to>
      <xdr:col>23</xdr:col>
      <xdr:colOff>313765</xdr:colOff>
      <xdr:row>99</xdr:row>
      <xdr:rowOff>53788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F377873-0495-4F43-9D0F-32E3C7B74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39</xdr:col>
      <xdr:colOff>358589</xdr:colOff>
      <xdr:row>27</xdr:row>
      <xdr:rowOff>8966</xdr:rowOff>
    </xdr:from>
    <xdr:to>
      <xdr:col>47</xdr:col>
      <xdr:colOff>161789</xdr:colOff>
      <xdr:row>42</xdr:row>
      <xdr:rowOff>136801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7A70034-D1C7-428D-9311-4285C0B21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48</xdr:col>
      <xdr:colOff>0</xdr:colOff>
      <xdr:row>27</xdr:row>
      <xdr:rowOff>0</xdr:rowOff>
    </xdr:from>
    <xdr:to>
      <xdr:col>55</xdr:col>
      <xdr:colOff>412800</xdr:colOff>
      <xdr:row>42</xdr:row>
      <xdr:rowOff>127835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219F77F-5A27-4FA2-B33E-395EA2CD89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56</xdr:col>
      <xdr:colOff>0</xdr:colOff>
      <xdr:row>27</xdr:row>
      <xdr:rowOff>0</xdr:rowOff>
    </xdr:from>
    <xdr:to>
      <xdr:col>64</xdr:col>
      <xdr:colOff>0</xdr:colOff>
      <xdr:row>41</xdr:row>
      <xdr:rowOff>170329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BD91C38-3B75-4CFA-A7C2-2CFFAC2C60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482048</xdr:colOff>
      <xdr:row>19</xdr:row>
      <xdr:rowOff>20871</xdr:rowOff>
    </xdr:from>
    <xdr:to>
      <xdr:col>15</xdr:col>
      <xdr:colOff>238321</xdr:colOff>
      <xdr:row>24</xdr:row>
      <xdr:rowOff>39899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3CF588-FB28-538F-D099-5FE2CB834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00291" y="3565828"/>
          <a:ext cx="2194673" cy="988330"/>
        </a:xfrm>
        <a:prstGeom prst="rect">
          <a:avLst/>
        </a:prstGeom>
      </xdr:spPr>
    </xdr:pic>
    <xdr:clientData/>
  </xdr:twoCellAnchor>
  <xdr:twoCellAnchor>
    <xdr:from>
      <xdr:col>28</xdr:col>
      <xdr:colOff>259080</xdr:colOff>
      <xdr:row>14</xdr:row>
      <xdr:rowOff>133350</xdr:rowOff>
    </xdr:from>
    <xdr:to>
      <xdr:col>35</xdr:col>
      <xdr:colOff>563880</xdr:colOff>
      <xdr:row>29</xdr:row>
      <xdr:rowOff>87630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A20D83-6499-6D2D-C79B-B05E5C34D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571500</xdr:colOff>
      <xdr:row>32</xdr:row>
      <xdr:rowOff>34290</xdr:rowOff>
    </xdr:from>
    <xdr:to>
      <xdr:col>19</xdr:col>
      <xdr:colOff>38100</xdr:colOff>
      <xdr:row>47</xdr:row>
      <xdr:rowOff>11430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89A4C8-C5F5-DA93-E2DF-F6E0536F4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160020</xdr:colOff>
      <xdr:row>31</xdr:row>
      <xdr:rowOff>106680</xdr:rowOff>
    </xdr:from>
    <xdr:to>
      <xdr:col>28</xdr:col>
      <xdr:colOff>464820</xdr:colOff>
      <xdr:row>46</xdr:row>
      <xdr:rowOff>83820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D35C035-8DA5-48A7-BB5B-00F6C7E6F1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48</xdr:row>
      <xdr:rowOff>0</xdr:rowOff>
    </xdr:from>
    <xdr:to>
      <xdr:col>19</xdr:col>
      <xdr:colOff>76200</xdr:colOff>
      <xdr:row>63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5CF4C82-D93D-4E4B-AD36-39316EED94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434340</xdr:colOff>
      <xdr:row>47</xdr:row>
      <xdr:rowOff>175260</xdr:rowOff>
    </xdr:from>
    <xdr:to>
      <xdr:col>29</xdr:col>
      <xdr:colOff>129540</xdr:colOff>
      <xdr:row>62</xdr:row>
      <xdr:rowOff>175260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883A1B7-618E-41E2-8205-8E07B02D13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8E16-F283-4BDE-B20F-1977F5073772}">
  <dimension ref="B2:BL120"/>
  <sheetViews>
    <sheetView topLeftCell="A47" zoomScale="70" zoomScaleNormal="70" workbookViewId="0">
      <selection activeCell="AB35" sqref="AB35"/>
    </sheetView>
  </sheetViews>
  <sheetFormatPr defaultColWidth="8.85546875" defaultRowHeight="15" x14ac:dyDescent="0.25"/>
  <cols>
    <col min="1" max="2" width="8.85546875" style="1"/>
    <col min="3" max="3" width="11.85546875" style="1" customWidth="1"/>
    <col min="4" max="4" width="12.42578125" style="1" bestFit="1" customWidth="1"/>
    <col min="5" max="5" width="11.7109375" style="1" customWidth="1"/>
    <col min="6" max="6" width="12.42578125" style="1" bestFit="1" customWidth="1"/>
    <col min="7" max="7" width="13.7109375" style="1" customWidth="1"/>
    <col min="8" max="9" width="8.85546875" style="1"/>
    <col min="10" max="10" width="12.140625" style="1" customWidth="1"/>
    <col min="11" max="11" width="14.28515625" style="1" customWidth="1"/>
    <col min="12" max="12" width="13.42578125" style="1" customWidth="1"/>
    <col min="13" max="13" width="11.7109375" style="1" customWidth="1"/>
    <col min="14" max="14" width="13.42578125" style="1" customWidth="1"/>
    <col min="15" max="15" width="13.5703125" style="1" customWidth="1"/>
    <col min="16" max="16" width="13.42578125" style="1" customWidth="1"/>
    <col min="17" max="17" width="11.85546875" style="1" customWidth="1"/>
    <col min="18" max="18" width="13.42578125" style="1" customWidth="1"/>
    <col min="19" max="19" width="13.28515625" style="1" bestFit="1" customWidth="1"/>
    <col min="20" max="21" width="8.85546875" style="1"/>
    <col min="22" max="22" width="10.7109375" style="1" customWidth="1"/>
    <col min="23" max="23" width="11.28515625" style="1" customWidth="1"/>
    <col min="24" max="24" width="12.85546875" style="1" customWidth="1"/>
    <col min="25" max="25" width="10.42578125" style="1" customWidth="1"/>
    <col min="26" max="26" width="10.28515625" style="1" customWidth="1"/>
    <col min="27" max="27" width="8.85546875" style="1"/>
    <col min="28" max="28" width="11.42578125" style="1" bestFit="1" customWidth="1"/>
    <col min="29" max="30" width="8.85546875" style="1"/>
    <col min="31" max="31" width="11.7109375" style="1" customWidth="1"/>
    <col min="32" max="32" width="11.85546875" style="1" customWidth="1"/>
    <col min="33" max="33" width="11.7109375" style="1" customWidth="1"/>
    <col min="34" max="34" width="12.85546875" style="1" customWidth="1"/>
    <col min="35" max="35" width="15.7109375" style="1" customWidth="1"/>
    <col min="36" max="36" width="8.85546875" style="1"/>
    <col min="37" max="37" width="13" style="1" bestFit="1" customWidth="1"/>
    <col min="38" max="39" width="13" style="1" customWidth="1"/>
    <col min="40" max="45" width="8.85546875" style="1"/>
    <col min="46" max="46" width="11.28515625" style="1" customWidth="1"/>
    <col min="47" max="47" width="12.42578125" style="1" bestFit="1" customWidth="1"/>
    <col min="48" max="62" width="8.85546875" style="1"/>
    <col min="63" max="63" width="11.28515625" style="1" customWidth="1"/>
    <col min="64" max="16384" width="8.85546875" style="1"/>
  </cols>
  <sheetData>
    <row r="2" spans="2:32" x14ac:dyDescent="0.25">
      <c r="D2" s="4" t="s">
        <v>3</v>
      </c>
      <c r="E2" s="2">
        <v>5.0000000000000001E-4</v>
      </c>
      <c r="G2" s="4" t="s">
        <v>11</v>
      </c>
      <c r="H2" s="2">
        <v>0.01</v>
      </c>
      <c r="J2" s="4" t="s">
        <v>16</v>
      </c>
      <c r="K2" s="2"/>
      <c r="M2" s="4" t="s">
        <v>15</v>
      </c>
      <c r="N2" s="2">
        <v>1E-4</v>
      </c>
    </row>
    <row r="3" spans="2:32" ht="17.25" x14ac:dyDescent="0.25">
      <c r="D3" s="4" t="s">
        <v>4</v>
      </c>
      <c r="E3" s="2">
        <f>E2*0.01</f>
        <v>5.0000000000000004E-6</v>
      </c>
      <c r="G3" s="4"/>
      <c r="H3" s="2"/>
      <c r="J3" s="4" t="s">
        <v>20</v>
      </c>
      <c r="K3" s="2">
        <v>5.0000000000000001E-4</v>
      </c>
      <c r="M3" s="4" t="s">
        <v>27</v>
      </c>
      <c r="N3" s="2">
        <f>SQRT((AC12/2*PI()*AB12*AB13)^2+(PI()/4*AB12^2*AC13)^2)</f>
        <v>2.7404613087652397E-5</v>
      </c>
    </row>
    <row r="5" spans="2:32" ht="16.149999999999999" customHeight="1" x14ac:dyDescent="0.25">
      <c r="D5" s="17" t="s">
        <v>0</v>
      </c>
      <c r="E5" s="17" t="s">
        <v>1</v>
      </c>
      <c r="F5" s="17" t="s">
        <v>2</v>
      </c>
      <c r="G5" s="15" t="s">
        <v>12</v>
      </c>
      <c r="H5" s="15"/>
      <c r="I5" s="15"/>
      <c r="J5" s="15"/>
      <c r="K5" s="15"/>
      <c r="L5" s="15"/>
      <c r="M5" s="15" t="s">
        <v>13</v>
      </c>
      <c r="N5" s="15"/>
      <c r="O5" s="15"/>
      <c r="P5" s="15"/>
      <c r="Q5" s="15"/>
      <c r="R5" s="15"/>
      <c r="S5" s="15" t="s">
        <v>14</v>
      </c>
      <c r="T5" s="15"/>
      <c r="U5" s="15"/>
      <c r="V5" s="15"/>
      <c r="W5" s="15"/>
      <c r="X5" s="15"/>
      <c r="AA5" s="15" t="s">
        <v>17</v>
      </c>
      <c r="AB5" s="15"/>
      <c r="AC5" s="15"/>
    </row>
    <row r="6" spans="2:32" ht="14.45" customHeight="1" x14ac:dyDescent="0.25">
      <c r="D6" s="17"/>
      <c r="E6" s="17"/>
      <c r="F6" s="17"/>
      <c r="G6" s="4" t="s">
        <v>5</v>
      </c>
      <c r="H6" s="4" t="s">
        <v>6</v>
      </c>
      <c r="I6" s="4" t="s">
        <v>9</v>
      </c>
      <c r="J6" s="4" t="s">
        <v>8</v>
      </c>
      <c r="K6" s="4" t="s">
        <v>7</v>
      </c>
      <c r="L6" s="4" t="s">
        <v>10</v>
      </c>
      <c r="M6" s="4" t="s">
        <v>5</v>
      </c>
      <c r="N6" s="4" t="s">
        <v>6</v>
      </c>
      <c r="O6" s="4" t="s">
        <v>9</v>
      </c>
      <c r="P6" s="4" t="s">
        <v>8</v>
      </c>
      <c r="Q6" s="4" t="s">
        <v>7</v>
      </c>
      <c r="R6" s="4" t="s">
        <v>10</v>
      </c>
      <c r="S6" s="4" t="s">
        <v>5</v>
      </c>
      <c r="T6" s="4" t="s">
        <v>6</v>
      </c>
      <c r="U6" s="4" t="s">
        <v>9</v>
      </c>
      <c r="V6" s="4" t="s">
        <v>8</v>
      </c>
      <c r="W6" s="4" t="s">
        <v>7</v>
      </c>
      <c r="X6" s="4" t="s">
        <v>10</v>
      </c>
      <c r="AA6" s="4" t="s">
        <v>109</v>
      </c>
      <c r="AB6" s="4" t="s">
        <v>81</v>
      </c>
      <c r="AC6" s="4" t="s">
        <v>108</v>
      </c>
      <c r="AE6" s="4" t="s">
        <v>24</v>
      </c>
      <c r="AF6" s="2">
        <f>PI()*(AC12/2)^2 * AB12</f>
        <v>1.165314744296211E-3</v>
      </c>
    </row>
    <row r="7" spans="2:32" ht="17.25" x14ac:dyDescent="0.25">
      <c r="B7" s="22">
        <v>0</v>
      </c>
      <c r="C7" s="23">
        <f>(B7/12*(35^4-18^4)+18^4)^(0.25)</f>
        <v>17.999999999999996</v>
      </c>
      <c r="D7" s="23">
        <v>18</v>
      </c>
      <c r="E7" s="21">
        <f>(D7*10^-2)^4</f>
        <v>1.0497599999999998E-3</v>
      </c>
      <c r="F7" s="21">
        <f>ABS(4*E7^3*E$3)</f>
        <v>2.3136627628523511E-14</v>
      </c>
      <c r="G7" s="8">
        <v>0.59</v>
      </c>
      <c r="H7" s="2">
        <f>G7/25</f>
        <v>2.3599999999999999E-2</v>
      </c>
      <c r="I7" s="21">
        <f>AVERAGE(H7:H8)</f>
        <v>2.3800000000000002E-2</v>
      </c>
      <c r="J7" s="21">
        <f>SQRT(2)/50 * H$2</f>
        <v>2.8284271247461902E-4</v>
      </c>
      <c r="K7" s="21">
        <f>I7^2</f>
        <v>5.6644000000000009E-4</v>
      </c>
      <c r="L7" s="21">
        <f>ABS(2*I7*J7)</f>
        <v>1.3463313113791866E-5</v>
      </c>
      <c r="M7" s="8">
        <v>1.17</v>
      </c>
      <c r="N7" s="2">
        <f>M7/50</f>
        <v>2.3399999999999997E-2</v>
      </c>
      <c r="O7" s="21">
        <f>AVERAGE(N7:N8)</f>
        <v>2.35E-2</v>
      </c>
      <c r="P7" s="21">
        <f>SQRT(2)/100 * H$2</f>
        <v>1.4142135623730951E-4</v>
      </c>
      <c r="Q7" s="21">
        <f>O7^2</f>
        <v>5.5225000000000001E-4</v>
      </c>
      <c r="R7" s="21">
        <f>ABS(2*O7*P7)</f>
        <v>6.6468037431535469E-6</v>
      </c>
      <c r="S7" s="8">
        <v>1.77</v>
      </c>
      <c r="T7" s="2">
        <f>S7/75</f>
        <v>2.3599999999999999E-2</v>
      </c>
      <c r="U7" s="21">
        <f>AVERAGE(T7:T8)</f>
        <v>2.3666666666666666E-2</v>
      </c>
      <c r="V7" s="21">
        <f>SQRT(2)/150 * H$2</f>
        <v>9.4280904158206352E-5</v>
      </c>
      <c r="W7" s="21">
        <f>U7^2</f>
        <v>5.6011111111111105E-4</v>
      </c>
      <c r="X7" s="21">
        <f>ABS(2*U7*V7)</f>
        <v>4.462629463488434E-6</v>
      </c>
      <c r="AA7" s="2">
        <v>21.6</v>
      </c>
      <c r="AB7" s="7">
        <v>1.85</v>
      </c>
      <c r="AC7" s="11">
        <v>895</v>
      </c>
      <c r="AE7" s="5" t="s">
        <v>23</v>
      </c>
      <c r="AF7" s="2">
        <f>AA12/AF6</f>
        <v>18.518602039171135</v>
      </c>
    </row>
    <row r="8" spans="2:32" ht="17.25" x14ac:dyDescent="0.25">
      <c r="B8" s="22"/>
      <c r="C8" s="23"/>
      <c r="D8" s="23"/>
      <c r="E8" s="21"/>
      <c r="F8" s="21"/>
      <c r="G8" s="8">
        <v>0.6</v>
      </c>
      <c r="H8" s="2">
        <f t="shared" ref="H8:H32" si="0">G8/25</f>
        <v>2.4E-2</v>
      </c>
      <c r="I8" s="21"/>
      <c r="J8" s="21"/>
      <c r="K8" s="21"/>
      <c r="L8" s="21"/>
      <c r="M8" s="8">
        <v>1.18</v>
      </c>
      <c r="N8" s="2">
        <f t="shared" ref="N8:N32" si="1">M8/50</f>
        <v>2.3599999999999999E-2</v>
      </c>
      <c r="O8" s="21"/>
      <c r="P8" s="21"/>
      <c r="Q8" s="21"/>
      <c r="R8" s="21"/>
      <c r="S8" s="2">
        <v>1.78</v>
      </c>
      <c r="T8" s="2">
        <f t="shared" ref="T8:T32" si="2">S8/75</f>
        <v>2.3733333333333332E-2</v>
      </c>
      <c r="U8" s="21"/>
      <c r="V8" s="21"/>
      <c r="W8" s="21"/>
      <c r="X8" s="21"/>
      <c r="AA8" s="2">
        <v>21.6</v>
      </c>
      <c r="AB8" s="2">
        <v>1.825</v>
      </c>
      <c r="AC8" s="11">
        <v>895.2</v>
      </c>
      <c r="AE8" s="5" t="s">
        <v>25</v>
      </c>
      <c r="AF8" s="2">
        <f>SQRT((1/AF6 * AA13)^2+(AA12/AF6^2*N3)^2)</f>
        <v>15.357002249730872</v>
      </c>
    </row>
    <row r="9" spans="2:32" x14ac:dyDescent="0.25">
      <c r="B9" s="22">
        <v>1</v>
      </c>
      <c r="C9" s="23">
        <f>(B9/12*(35^4-18^4)+18^4)^(0.25)</f>
        <v>21.688802875937288</v>
      </c>
      <c r="D9" s="23">
        <v>21.7</v>
      </c>
      <c r="E9" s="21">
        <f>(D9*10^-2)^4</f>
        <v>2.2173739209999997E-3</v>
      </c>
      <c r="F9" s="21">
        <f>ABS(4*E9^3*E$3)</f>
        <v>2.180453361591296E-13</v>
      </c>
      <c r="G9" s="8">
        <v>0.85</v>
      </c>
      <c r="H9" s="2">
        <f t="shared" si="0"/>
        <v>3.4000000000000002E-2</v>
      </c>
      <c r="I9" s="21">
        <f>AVERAGE(H9:H10)</f>
        <v>3.4000000000000002E-2</v>
      </c>
      <c r="J9" s="21">
        <f>SQRT(2)/50 * H$2</f>
        <v>2.8284271247461902E-4</v>
      </c>
      <c r="K9" s="21">
        <f>I9^2</f>
        <v>1.1560000000000001E-3</v>
      </c>
      <c r="L9" s="21">
        <f>ABS(2*I9*J9)</f>
        <v>1.9233304448274093E-5</v>
      </c>
      <c r="M9" s="8">
        <v>1.72</v>
      </c>
      <c r="N9" s="2">
        <f t="shared" si="1"/>
        <v>3.44E-2</v>
      </c>
      <c r="O9" s="21">
        <f>AVERAGE(N9:N10)</f>
        <v>3.44E-2</v>
      </c>
      <c r="P9" s="21">
        <f>SQRT(2)/100 * H$2</f>
        <v>1.4142135623730951E-4</v>
      </c>
      <c r="Q9" s="21">
        <f>O9^2</f>
        <v>1.1833600000000001E-3</v>
      </c>
      <c r="R9" s="21">
        <f>ABS(2*O9*P9)</f>
        <v>9.7297893091268945E-6</v>
      </c>
      <c r="S9" s="8">
        <v>2.58</v>
      </c>
      <c r="T9" s="2">
        <f t="shared" si="2"/>
        <v>3.44E-2</v>
      </c>
      <c r="U9" s="21">
        <f>AVERAGE(T9:T10)</f>
        <v>3.44E-2</v>
      </c>
      <c r="V9" s="21">
        <f>SQRT(2)/150 * H$2</f>
        <v>9.4280904158206352E-5</v>
      </c>
      <c r="W9" s="21">
        <f>U9^2</f>
        <v>1.1833600000000001E-3</v>
      </c>
      <c r="X9" s="21">
        <f>ABS(2*U9*V9)</f>
        <v>6.4865262060845966E-6</v>
      </c>
      <c r="AA9" s="2">
        <v>21.6</v>
      </c>
      <c r="AB9" s="2">
        <v>1.8280000000000001</v>
      </c>
      <c r="AC9" s="11">
        <v>894.8</v>
      </c>
      <c r="AE9" s="5" t="s">
        <v>26</v>
      </c>
      <c r="AF9" s="6">
        <f>AF8/AF7</f>
        <v>0.82927438136244047</v>
      </c>
    </row>
    <row r="10" spans="2:32" x14ac:dyDescent="0.25">
      <c r="B10" s="22"/>
      <c r="C10" s="23"/>
      <c r="D10" s="23"/>
      <c r="E10" s="21"/>
      <c r="F10" s="21"/>
      <c r="G10" s="8">
        <v>0.85</v>
      </c>
      <c r="H10" s="2">
        <f t="shared" si="0"/>
        <v>3.4000000000000002E-2</v>
      </c>
      <c r="I10" s="21"/>
      <c r="J10" s="21"/>
      <c r="K10" s="21"/>
      <c r="L10" s="21"/>
      <c r="M10" s="8">
        <v>1.72</v>
      </c>
      <c r="N10" s="2">
        <f>M10/50</f>
        <v>3.44E-2</v>
      </c>
      <c r="O10" s="21"/>
      <c r="P10" s="21"/>
      <c r="Q10" s="21"/>
      <c r="R10" s="21"/>
      <c r="S10" s="12">
        <v>2.58</v>
      </c>
      <c r="T10" s="2">
        <f t="shared" si="2"/>
        <v>3.44E-2</v>
      </c>
      <c r="U10" s="21"/>
      <c r="V10" s="21"/>
      <c r="W10" s="21"/>
      <c r="X10" s="21"/>
      <c r="AA10" s="2">
        <v>21.5</v>
      </c>
      <c r="AB10" s="7">
        <v>1.8779999999999999</v>
      </c>
      <c r="AC10" s="11">
        <v>895.1</v>
      </c>
    </row>
    <row r="11" spans="2:32" x14ac:dyDescent="0.25">
      <c r="B11" s="22">
        <v>2</v>
      </c>
      <c r="C11" s="23">
        <f>(B11/12*(35^4-18^4)+18^4)^(0.25)</f>
        <v>24.104355136538413</v>
      </c>
      <c r="D11" s="23">
        <v>24.1</v>
      </c>
      <c r="E11" s="21">
        <f>(D11*10^-2)^4</f>
        <v>3.373402561000001E-3</v>
      </c>
      <c r="F11" s="21">
        <f>ABS(4*E11^3*E$3)</f>
        <v>7.6777595444371106E-13</v>
      </c>
      <c r="G11" s="8">
        <v>1.05</v>
      </c>
      <c r="H11" s="2">
        <f t="shared" si="0"/>
        <v>4.2000000000000003E-2</v>
      </c>
      <c r="I11" s="21">
        <f>AVERAGE(H11:H12)</f>
        <v>4.1800000000000004E-2</v>
      </c>
      <c r="J11" s="21">
        <f>SQRT(2)/50 * H$2</f>
        <v>2.8284271247461902E-4</v>
      </c>
      <c r="K11" s="21">
        <f>I11^2</f>
        <v>1.7472400000000004E-3</v>
      </c>
      <c r="L11" s="21">
        <f>ABS(2*I11*J11)</f>
        <v>2.3645650762878153E-5</v>
      </c>
      <c r="M11" s="8">
        <v>2.1</v>
      </c>
      <c r="N11" s="2">
        <f t="shared" si="1"/>
        <v>4.2000000000000003E-2</v>
      </c>
      <c r="O11" s="21">
        <f>AVERAGE(N11:N12)</f>
        <v>4.2099999999999999E-2</v>
      </c>
      <c r="P11" s="21">
        <f>SQRT(2)/100 * H$2</f>
        <v>1.4142135623730951E-4</v>
      </c>
      <c r="Q11" s="21">
        <f>O11^2</f>
        <v>1.7724099999999999E-3</v>
      </c>
      <c r="R11" s="21">
        <f>ABS(2*O11*P11)</f>
        <v>1.1907678195181461E-5</v>
      </c>
      <c r="S11" s="8">
        <v>3.17</v>
      </c>
      <c r="T11" s="2">
        <f t="shared" si="2"/>
        <v>4.2266666666666668E-2</v>
      </c>
      <c r="U11" s="21">
        <f>AVERAGE(T11:T12)</f>
        <v>4.2266666666666668E-2</v>
      </c>
      <c r="V11" s="21">
        <f>SQRT(2)/150 * H$2</f>
        <v>9.4280904158206352E-5</v>
      </c>
      <c r="W11" s="21">
        <f>U11^2</f>
        <v>1.7864711111111112E-3</v>
      </c>
      <c r="X11" s="21">
        <f>ABS(2*U11*V11)</f>
        <v>7.9698790981737111E-6</v>
      </c>
      <c r="AA11" s="2">
        <v>21.6</v>
      </c>
      <c r="AB11" s="7">
        <v>1.88</v>
      </c>
      <c r="AC11" s="11">
        <v>895</v>
      </c>
    </row>
    <row r="12" spans="2:32" x14ac:dyDescent="0.25">
      <c r="B12" s="22"/>
      <c r="C12" s="23"/>
      <c r="D12" s="23"/>
      <c r="E12" s="21"/>
      <c r="F12" s="21"/>
      <c r="G12" s="8">
        <v>1.04</v>
      </c>
      <c r="H12" s="2">
        <f t="shared" si="0"/>
        <v>4.1599999999999998E-2</v>
      </c>
      <c r="I12" s="21"/>
      <c r="J12" s="21"/>
      <c r="K12" s="21"/>
      <c r="L12" s="21"/>
      <c r="M12" s="8">
        <v>2.11</v>
      </c>
      <c r="N12" s="2">
        <f t="shared" si="1"/>
        <v>4.2199999999999994E-2</v>
      </c>
      <c r="O12" s="21"/>
      <c r="P12" s="21"/>
      <c r="Q12" s="21"/>
      <c r="R12" s="21"/>
      <c r="S12" s="8">
        <v>3.17</v>
      </c>
      <c r="T12" s="2">
        <f t="shared" si="2"/>
        <v>4.2266666666666668E-2</v>
      </c>
      <c r="U12" s="21"/>
      <c r="V12" s="21"/>
      <c r="W12" s="21"/>
      <c r="X12" s="21"/>
      <c r="Z12" s="4" t="s">
        <v>21</v>
      </c>
      <c r="AA12" s="2">
        <f>AVERAGE(AA7:AA11)/1000</f>
        <v>2.1580000000000002E-2</v>
      </c>
      <c r="AB12" s="2">
        <f>AVERAGE(AB7:AB11)/1000</f>
        <v>1.8521999999999998E-3</v>
      </c>
      <c r="AC12" s="2">
        <f>AVERAGE(AC7:AC11)/1000</f>
        <v>0.89502000000000015</v>
      </c>
    </row>
    <row r="13" spans="2:32" x14ac:dyDescent="0.25">
      <c r="B13" s="22">
        <v>3</v>
      </c>
      <c r="C13" s="23">
        <f>(B13/12*(35^4-18^4)+18^4)^(0.25)</f>
        <v>25.955968296806816</v>
      </c>
      <c r="D13" s="23">
        <v>26</v>
      </c>
      <c r="E13" s="21">
        <f>(D13*10^-2)^4</f>
        <v>4.5697600000000008E-3</v>
      </c>
      <c r="F13" s="21">
        <f>ABS(4*E13^3*E$3)</f>
        <v>1.908579133233645E-12</v>
      </c>
      <c r="G13" s="8">
        <v>1.19</v>
      </c>
      <c r="H13" s="2">
        <f t="shared" si="0"/>
        <v>4.7599999999999996E-2</v>
      </c>
      <c r="I13" s="21">
        <f>AVERAGE(H13:H14)</f>
        <v>4.7599999999999996E-2</v>
      </c>
      <c r="J13" s="21">
        <f>SQRT(2)/50 * H$2</f>
        <v>2.8284271247461902E-4</v>
      </c>
      <c r="K13" s="21">
        <f>I13^2</f>
        <v>2.2657599999999995E-3</v>
      </c>
      <c r="L13" s="21">
        <f>ABS(2*I13*J13)</f>
        <v>2.6926626227583728E-5</v>
      </c>
      <c r="M13" s="8">
        <v>2.39</v>
      </c>
      <c r="N13" s="2">
        <f t="shared" si="1"/>
        <v>4.7800000000000002E-2</v>
      </c>
      <c r="O13" s="21">
        <f>AVERAGE(N13:N14)</f>
        <v>4.7899999999999998E-2</v>
      </c>
      <c r="P13" s="21">
        <f>SQRT(2)/100 * H$2</f>
        <v>1.4142135623730951E-4</v>
      </c>
      <c r="Q13" s="21">
        <f>O13^2</f>
        <v>2.2944099999999998E-3</v>
      </c>
      <c r="R13" s="21">
        <f>ABS(2*O13*P13)</f>
        <v>1.354816592753425E-5</v>
      </c>
      <c r="S13" s="8">
        <v>3.81</v>
      </c>
      <c r="T13" s="2">
        <f t="shared" si="2"/>
        <v>5.0799999999999998E-2</v>
      </c>
      <c r="U13" s="21">
        <f>AVERAGE(T13:T14)</f>
        <v>5.1133333333333336E-2</v>
      </c>
      <c r="V13" s="21">
        <f>SQRT(2)/150 * H$2</f>
        <v>9.4280904158206352E-5</v>
      </c>
      <c r="W13" s="21">
        <f>U13^2</f>
        <v>2.614617777777778E-3</v>
      </c>
      <c r="X13" s="21">
        <f>ABS(2*U13*V13)</f>
        <v>9.6417937985792362E-6</v>
      </c>
      <c r="Z13" s="4" t="s">
        <v>22</v>
      </c>
      <c r="AA13" s="2">
        <f>_xlfn.STDEV.P(AA7:AA11)/SQRT(5)</f>
        <v>1.7888543819998572E-2</v>
      </c>
      <c r="AB13" s="2">
        <f>_xlfn.STDEV.P(AB7:AB11)/SQRT(5)</f>
        <v>1.0523877612363203E-2</v>
      </c>
      <c r="AC13" s="2">
        <f>_xlfn.STDEV.P(AC7:AC11)/SQRT(5)</f>
        <v>5.9329587896778793E-2</v>
      </c>
    </row>
    <row r="14" spans="2:32" x14ac:dyDescent="0.25">
      <c r="B14" s="22"/>
      <c r="C14" s="23"/>
      <c r="D14" s="23"/>
      <c r="E14" s="21"/>
      <c r="F14" s="21"/>
      <c r="G14" s="8">
        <v>1.19</v>
      </c>
      <c r="H14" s="2">
        <f t="shared" si="0"/>
        <v>4.7599999999999996E-2</v>
      </c>
      <c r="I14" s="21"/>
      <c r="J14" s="21"/>
      <c r="K14" s="21"/>
      <c r="L14" s="21"/>
      <c r="M14" s="8">
        <v>2.4</v>
      </c>
      <c r="N14" s="2">
        <f t="shared" si="1"/>
        <v>4.8000000000000001E-2</v>
      </c>
      <c r="O14" s="21"/>
      <c r="P14" s="21"/>
      <c r="Q14" s="21"/>
      <c r="R14" s="21"/>
      <c r="S14" s="8">
        <v>3.86</v>
      </c>
      <c r="T14" s="2">
        <f t="shared" si="2"/>
        <v>5.1466666666666668E-2</v>
      </c>
      <c r="U14" s="21"/>
      <c r="V14" s="21"/>
      <c r="W14" s="21"/>
      <c r="X14" s="21"/>
    </row>
    <row r="15" spans="2:32" x14ac:dyDescent="0.25">
      <c r="B15" s="22">
        <v>4</v>
      </c>
      <c r="C15" s="23">
        <f>(B15/12*(35^4-18^4)+18^4)^(0.25)</f>
        <v>27.479279623846551</v>
      </c>
      <c r="D15" s="23">
        <v>27.5</v>
      </c>
      <c r="E15" s="21">
        <f>(D15*10^-2)^4</f>
        <v>5.7191406250000016E-3</v>
      </c>
      <c r="F15" s="21">
        <f>ABS(4*E15^3*E$3)</f>
        <v>3.7412981709492242E-12</v>
      </c>
      <c r="G15" s="8">
        <v>1.35</v>
      </c>
      <c r="H15" s="2">
        <f t="shared" si="0"/>
        <v>5.4000000000000006E-2</v>
      </c>
      <c r="I15" s="21">
        <f>AVERAGE(H15:H16)</f>
        <v>5.3800000000000001E-2</v>
      </c>
      <c r="J15" s="21">
        <f>SQRT(2)/50 * H$2</f>
        <v>2.8284271247461902E-4</v>
      </c>
      <c r="K15" s="21">
        <f>I15^2</f>
        <v>2.8944399999999999E-3</v>
      </c>
      <c r="L15" s="21">
        <f>ABS(2*I15*J15)</f>
        <v>3.0433875862269005E-5</v>
      </c>
      <c r="M15" s="8">
        <v>2.71</v>
      </c>
      <c r="N15" s="2">
        <f t="shared" si="1"/>
        <v>5.4199999999999998E-2</v>
      </c>
      <c r="O15" s="21">
        <f>AVERAGE(N15:N16)</f>
        <v>5.4300000000000001E-2</v>
      </c>
      <c r="P15" s="21">
        <f>SQRT(2)/100 * H$2</f>
        <v>1.4142135623730951E-4</v>
      </c>
      <c r="Q15" s="21">
        <f>O15^2</f>
        <v>2.9484900000000002E-3</v>
      </c>
      <c r="R15" s="21">
        <f>ABS(2*O15*P15)</f>
        <v>1.5358359287371814E-5</v>
      </c>
      <c r="S15" s="8">
        <v>4.09</v>
      </c>
      <c r="T15" s="2">
        <f t="shared" si="2"/>
        <v>5.4533333333333329E-2</v>
      </c>
      <c r="U15" s="21">
        <f>AVERAGE(T15:T16)</f>
        <v>5.4533333333333329E-2</v>
      </c>
      <c r="V15" s="21">
        <f>SQRT(2)/150 * H$2</f>
        <v>9.4280904158206352E-5</v>
      </c>
      <c r="W15" s="21">
        <f>U15^2</f>
        <v>2.9738844444444439E-3</v>
      </c>
      <c r="X15" s="21">
        <f>ABS(2*U15*V15)</f>
        <v>1.0282903946855039E-5</v>
      </c>
    </row>
    <row r="16" spans="2:32" x14ac:dyDescent="0.25">
      <c r="B16" s="22"/>
      <c r="C16" s="23"/>
      <c r="D16" s="23"/>
      <c r="E16" s="21"/>
      <c r="F16" s="21"/>
      <c r="G16" s="8">
        <v>1.34</v>
      </c>
      <c r="H16" s="2">
        <f t="shared" si="0"/>
        <v>5.3600000000000002E-2</v>
      </c>
      <c r="I16" s="21"/>
      <c r="J16" s="21"/>
      <c r="K16" s="21"/>
      <c r="L16" s="21"/>
      <c r="M16" s="8">
        <v>2.72</v>
      </c>
      <c r="N16" s="2">
        <f t="shared" si="1"/>
        <v>5.4400000000000004E-2</v>
      </c>
      <c r="O16" s="21"/>
      <c r="P16" s="21"/>
      <c r="Q16" s="21"/>
      <c r="R16" s="21"/>
      <c r="S16" s="8">
        <v>4.09</v>
      </c>
      <c r="T16" s="2">
        <f t="shared" si="2"/>
        <v>5.4533333333333329E-2</v>
      </c>
      <c r="U16" s="21"/>
      <c r="V16" s="21"/>
      <c r="W16" s="21"/>
      <c r="X16" s="21"/>
    </row>
    <row r="17" spans="2:24" x14ac:dyDescent="0.25">
      <c r="B17" s="22">
        <v>5</v>
      </c>
      <c r="C17" s="23">
        <f>(B17/12*(35^4-18^4)+18^4)^(0.25)</f>
        <v>28.784558239648899</v>
      </c>
      <c r="D17" s="23">
        <v>28.8</v>
      </c>
      <c r="E17" s="21">
        <f>(D17*10^-2)^4</f>
        <v>6.8797071360000026E-3</v>
      </c>
      <c r="F17" s="21">
        <f>ABS(4*E17^3*E$3)</f>
        <v>6.5123817229017856E-12</v>
      </c>
      <c r="G17" s="8">
        <v>1.46</v>
      </c>
      <c r="H17" s="2">
        <f t="shared" si="0"/>
        <v>5.8400000000000001E-2</v>
      </c>
      <c r="I17" s="21">
        <f>AVERAGE(H17:H18)</f>
        <v>5.8599999999999999E-2</v>
      </c>
      <c r="J17" s="21">
        <f>SQRT(2)/50 * H$2</f>
        <v>2.8284271247461902E-4</v>
      </c>
      <c r="K17" s="21">
        <f>I17^2</f>
        <v>3.4339599999999998E-3</v>
      </c>
      <c r="L17" s="21">
        <f>ABS(2*I17*J17)</f>
        <v>3.314916590202535E-5</v>
      </c>
      <c r="M17" s="8">
        <v>2.97</v>
      </c>
      <c r="N17" s="2">
        <f t="shared" si="1"/>
        <v>5.9400000000000001E-2</v>
      </c>
      <c r="O17" s="21">
        <f>AVERAGE(N17:N18)</f>
        <v>5.9300000000000005E-2</v>
      </c>
      <c r="P17" s="21">
        <f>SQRT(2)/100 * H$2</f>
        <v>1.4142135623730951E-4</v>
      </c>
      <c r="Q17" s="21">
        <f>O17^2</f>
        <v>3.5164900000000006E-3</v>
      </c>
      <c r="R17" s="21">
        <f>ABS(2*O17*P17)</f>
        <v>1.6772572849744909E-5</v>
      </c>
      <c r="S17" s="8">
        <v>4.47</v>
      </c>
      <c r="T17" s="2">
        <f t="shared" si="2"/>
        <v>5.9599999999999993E-2</v>
      </c>
      <c r="U17" s="21">
        <f>AVERAGE(T17:T18)</f>
        <v>5.9533333333333327E-2</v>
      </c>
      <c r="V17" s="21">
        <f>SQRT(2)/150 * H$2</f>
        <v>9.4280904158206352E-5</v>
      </c>
      <c r="W17" s="21">
        <f>U17^2</f>
        <v>3.5442177777777772E-3</v>
      </c>
      <c r="X17" s="21">
        <f>ABS(2*U17*V17)</f>
        <v>1.1225712988437101E-5</v>
      </c>
    </row>
    <row r="18" spans="2:24" x14ac:dyDescent="0.25">
      <c r="B18" s="22"/>
      <c r="C18" s="23"/>
      <c r="D18" s="23"/>
      <c r="E18" s="21"/>
      <c r="F18" s="21"/>
      <c r="G18" s="8">
        <v>1.47</v>
      </c>
      <c r="H18" s="2">
        <f t="shared" si="0"/>
        <v>5.8799999999999998E-2</v>
      </c>
      <c r="I18" s="21"/>
      <c r="J18" s="21"/>
      <c r="K18" s="21"/>
      <c r="L18" s="21"/>
      <c r="M18" s="8">
        <v>2.96</v>
      </c>
      <c r="N18" s="2">
        <f t="shared" si="1"/>
        <v>5.9200000000000003E-2</v>
      </c>
      <c r="O18" s="21"/>
      <c r="P18" s="21"/>
      <c r="Q18" s="21"/>
      <c r="R18" s="21"/>
      <c r="S18" s="8">
        <v>4.46</v>
      </c>
      <c r="T18" s="2">
        <f t="shared" si="2"/>
        <v>5.9466666666666668E-2</v>
      </c>
      <c r="U18" s="21"/>
      <c r="V18" s="21"/>
      <c r="W18" s="21"/>
      <c r="X18" s="21"/>
    </row>
    <row r="19" spans="2:24" x14ac:dyDescent="0.25">
      <c r="B19" s="22">
        <v>6</v>
      </c>
      <c r="C19" s="23">
        <f>(B19/12*(35^4-18^4)+18^4)^(0.25)</f>
        <v>29.933114612493615</v>
      </c>
      <c r="D19" s="23">
        <v>30</v>
      </c>
      <c r="E19" s="21">
        <f>(D19*10^-2)^4</f>
        <v>8.0999999999999996E-3</v>
      </c>
      <c r="F19" s="21">
        <f>ABS(4*E19^3*E$3)</f>
        <v>1.0628819999999999E-11</v>
      </c>
      <c r="G19" s="8">
        <v>1.57</v>
      </c>
      <c r="H19" s="2">
        <f t="shared" si="0"/>
        <v>6.2800000000000009E-2</v>
      </c>
      <c r="I19" s="21">
        <f>AVERAGE(H19:H20)</f>
        <v>6.2800000000000009E-2</v>
      </c>
      <c r="J19" s="21">
        <f>SQRT(2)/50 * H$2</f>
        <v>2.8284271247461902E-4</v>
      </c>
      <c r="K19" s="21">
        <f>I19^2</f>
        <v>3.9438400000000014E-3</v>
      </c>
      <c r="L19" s="21">
        <f>ABS(2*I19*J19)</f>
        <v>3.5525044686812156E-5</v>
      </c>
      <c r="M19" s="8">
        <v>3.16</v>
      </c>
      <c r="N19" s="2">
        <f t="shared" si="1"/>
        <v>6.3200000000000006E-2</v>
      </c>
      <c r="O19" s="21">
        <f>AVERAGE(N19:N20)</f>
        <v>6.3299999999999995E-2</v>
      </c>
      <c r="P19" s="21">
        <f>SQRT(2)/100 * H$2</f>
        <v>1.4142135623730951E-4</v>
      </c>
      <c r="Q19" s="21">
        <f>O19^2</f>
        <v>4.0068899999999991E-3</v>
      </c>
      <c r="R19" s="21">
        <f>ABS(2*O19*P19)</f>
        <v>1.7903943699643381E-5</v>
      </c>
      <c r="S19" s="8">
        <v>4.79</v>
      </c>
      <c r="T19" s="2">
        <f t="shared" si="2"/>
        <v>6.3866666666666669E-2</v>
      </c>
      <c r="U19" s="21">
        <f>AVERAGE(T19:T20)</f>
        <v>6.3799999999999996E-2</v>
      </c>
      <c r="V19" s="21">
        <f>SQRT(2)/150 * H$2</f>
        <v>9.4280904158206352E-5</v>
      </c>
      <c r="W19" s="21">
        <f>U19^2</f>
        <v>4.0704399999999998E-3</v>
      </c>
      <c r="X19" s="21">
        <f>ABS(2*U19*V19)</f>
        <v>1.2030243370587129E-5</v>
      </c>
    </row>
    <row r="20" spans="2:24" x14ac:dyDescent="0.25">
      <c r="B20" s="22"/>
      <c r="C20" s="23"/>
      <c r="D20" s="23"/>
      <c r="E20" s="21"/>
      <c r="F20" s="21"/>
      <c r="G20" s="8">
        <v>1.57</v>
      </c>
      <c r="H20" s="2">
        <f t="shared" si="0"/>
        <v>6.2800000000000009E-2</v>
      </c>
      <c r="I20" s="21"/>
      <c r="J20" s="21"/>
      <c r="K20" s="21"/>
      <c r="L20" s="21"/>
      <c r="M20" s="8">
        <v>3.17</v>
      </c>
      <c r="N20" s="2">
        <f t="shared" si="1"/>
        <v>6.3399999999999998E-2</v>
      </c>
      <c r="O20" s="21"/>
      <c r="P20" s="21"/>
      <c r="Q20" s="21"/>
      <c r="R20" s="21"/>
      <c r="S20" s="8">
        <v>4.78</v>
      </c>
      <c r="T20" s="2">
        <f t="shared" si="2"/>
        <v>6.3733333333333336E-2</v>
      </c>
      <c r="U20" s="21"/>
      <c r="V20" s="21"/>
      <c r="W20" s="21"/>
      <c r="X20" s="21"/>
    </row>
    <row r="21" spans="2:24" x14ac:dyDescent="0.25">
      <c r="B21" s="22">
        <v>7</v>
      </c>
      <c r="C21" s="23">
        <f>(B21/12*(35^4-18^4)+18^4)^(0.25)</f>
        <v>30.962871682538633</v>
      </c>
      <c r="D21" s="23">
        <v>31</v>
      </c>
      <c r="E21" s="21">
        <f>(D21*10^-2)^4</f>
        <v>9.2352100000000006E-3</v>
      </c>
      <c r="F21" s="21">
        <f>ABS(4*E21^3*E$3)</f>
        <v>1.5753255675771E-11</v>
      </c>
      <c r="G21" s="8">
        <v>1.7</v>
      </c>
      <c r="H21" s="2">
        <f t="shared" si="0"/>
        <v>6.8000000000000005E-2</v>
      </c>
      <c r="I21" s="21">
        <f>AVERAGE(H21:H22)</f>
        <v>6.8000000000000005E-2</v>
      </c>
      <c r="J21" s="21">
        <f>SQRT(2)/50 * H$2</f>
        <v>2.8284271247461902E-4</v>
      </c>
      <c r="K21" s="21">
        <f>I21^2</f>
        <v>4.6240000000000005E-3</v>
      </c>
      <c r="L21" s="21">
        <f>ABS(2*I21*J21)</f>
        <v>3.8466608896548187E-5</v>
      </c>
      <c r="M21" s="8">
        <v>3.43</v>
      </c>
      <c r="N21" s="2">
        <f t="shared" si="1"/>
        <v>6.8600000000000008E-2</v>
      </c>
      <c r="O21" s="21">
        <f>AVERAGE(N21:N22)</f>
        <v>6.8600000000000008E-2</v>
      </c>
      <c r="P21" s="21">
        <f>SQRT(2)/100 * H$2</f>
        <v>1.4142135623730951E-4</v>
      </c>
      <c r="Q21" s="21">
        <f>O21^2</f>
        <v>4.7059600000000012E-3</v>
      </c>
      <c r="R21" s="21">
        <f>ABS(2*O21*P21)</f>
        <v>1.9403010075758868E-5</v>
      </c>
      <c r="S21" s="8">
        <v>5.16</v>
      </c>
      <c r="T21" s="2">
        <f t="shared" si="2"/>
        <v>6.88E-2</v>
      </c>
      <c r="U21" s="21">
        <f>AVERAGE(T21:T22)</f>
        <v>6.88E-2</v>
      </c>
      <c r="V21" s="21">
        <f>SQRT(2)/150 * H$2</f>
        <v>9.4280904158206352E-5</v>
      </c>
      <c r="W21" s="21">
        <f>U21^2</f>
        <v>4.7334400000000002E-3</v>
      </c>
      <c r="X21" s="21">
        <f>ABS(2*U21*V21)</f>
        <v>1.2973052412169193E-5</v>
      </c>
    </row>
    <row r="22" spans="2:24" x14ac:dyDescent="0.25">
      <c r="B22" s="22"/>
      <c r="C22" s="23"/>
      <c r="D22" s="23"/>
      <c r="E22" s="21"/>
      <c r="F22" s="21"/>
      <c r="G22" s="8">
        <v>1.7</v>
      </c>
      <c r="H22" s="2">
        <f t="shared" si="0"/>
        <v>6.8000000000000005E-2</v>
      </c>
      <c r="I22" s="21"/>
      <c r="J22" s="21"/>
      <c r="K22" s="21"/>
      <c r="L22" s="21"/>
      <c r="M22" s="8">
        <v>3.43</v>
      </c>
      <c r="N22" s="2">
        <f t="shared" si="1"/>
        <v>6.8600000000000008E-2</v>
      </c>
      <c r="O22" s="21"/>
      <c r="P22" s="21"/>
      <c r="Q22" s="21"/>
      <c r="R22" s="21"/>
      <c r="S22" s="8">
        <v>5.16</v>
      </c>
      <c r="T22" s="2">
        <f t="shared" si="2"/>
        <v>6.88E-2</v>
      </c>
      <c r="U22" s="21"/>
      <c r="V22" s="21"/>
      <c r="W22" s="21"/>
      <c r="X22" s="21"/>
    </row>
    <row r="23" spans="2:24" x14ac:dyDescent="0.25">
      <c r="B23" s="22">
        <v>8</v>
      </c>
      <c r="C23" s="23">
        <f>(B23/12*(35^4-18^4)+18^4)^(0.25)</f>
        <v>31.899064662709737</v>
      </c>
      <c r="D23" s="23">
        <v>31.9</v>
      </c>
      <c r="E23" s="21">
        <f>(D23*10^-2)^4</f>
        <v>1.0355301121000001E-2</v>
      </c>
      <c r="F23" s="21">
        <f>ABS(4*E23^3*E$3)</f>
        <v>2.2208447114308659E-11</v>
      </c>
      <c r="G23" s="8">
        <v>1.8</v>
      </c>
      <c r="H23" s="2">
        <f t="shared" si="0"/>
        <v>7.2000000000000008E-2</v>
      </c>
      <c r="I23" s="21">
        <f>AVERAGE(H23:H24)</f>
        <v>7.2000000000000008E-2</v>
      </c>
      <c r="J23" s="21">
        <f>SQRT(2)/50 * H$2</f>
        <v>2.8284271247461902E-4</v>
      </c>
      <c r="K23" s="21">
        <f>I23^2</f>
        <v>5.1840000000000011E-3</v>
      </c>
      <c r="L23" s="21">
        <f>ABS(2*I23*J23)</f>
        <v>4.0729350596345144E-5</v>
      </c>
      <c r="M23" s="8">
        <v>3.63</v>
      </c>
      <c r="N23" s="2">
        <f t="shared" si="1"/>
        <v>7.2599999999999998E-2</v>
      </c>
      <c r="O23" s="21">
        <f>AVERAGE(N23:N24)</f>
        <v>7.2500000000000009E-2</v>
      </c>
      <c r="P23" s="21">
        <f>SQRT(2)/100 * H$2</f>
        <v>1.4142135623730951E-4</v>
      </c>
      <c r="Q23" s="21">
        <f>O23^2</f>
        <v>5.2562500000000014E-3</v>
      </c>
      <c r="R23" s="21">
        <f>ABS(2*O23*P23)</f>
        <v>2.0506096654409882E-5</v>
      </c>
      <c r="S23" s="8">
        <v>5.45</v>
      </c>
      <c r="T23" s="2">
        <f t="shared" si="2"/>
        <v>7.2666666666666671E-2</v>
      </c>
      <c r="U23" s="21">
        <f>AVERAGE(T23:T24)</f>
        <v>7.2666666666666671E-2</v>
      </c>
      <c r="V23" s="21">
        <f>SQRT(2)/150 * H$2</f>
        <v>9.4280904158206352E-5</v>
      </c>
      <c r="W23" s="21">
        <f>U23^2</f>
        <v>5.2804444444444452E-3</v>
      </c>
      <c r="X23" s="21">
        <f>ABS(2*U23*V23)</f>
        <v>1.3702158070992658E-5</v>
      </c>
    </row>
    <row r="24" spans="2:24" x14ac:dyDescent="0.25">
      <c r="B24" s="22"/>
      <c r="C24" s="23"/>
      <c r="D24" s="23"/>
      <c r="E24" s="21"/>
      <c r="F24" s="21"/>
      <c r="G24" s="8">
        <v>1.8</v>
      </c>
      <c r="H24" s="2">
        <f t="shared" si="0"/>
        <v>7.2000000000000008E-2</v>
      </c>
      <c r="I24" s="21"/>
      <c r="J24" s="21"/>
      <c r="K24" s="21"/>
      <c r="L24" s="21"/>
      <c r="M24" s="8">
        <v>3.62</v>
      </c>
      <c r="N24" s="2">
        <f t="shared" si="1"/>
        <v>7.2400000000000006E-2</v>
      </c>
      <c r="O24" s="21"/>
      <c r="P24" s="21"/>
      <c r="Q24" s="21"/>
      <c r="R24" s="21"/>
      <c r="S24" s="8">
        <v>5.45</v>
      </c>
      <c r="T24" s="2">
        <f t="shared" si="2"/>
        <v>7.2666666666666671E-2</v>
      </c>
      <c r="U24" s="21"/>
      <c r="V24" s="21"/>
      <c r="W24" s="21"/>
      <c r="X24" s="21"/>
    </row>
    <row r="25" spans="2:24" x14ac:dyDescent="0.25">
      <c r="B25" s="22">
        <v>9</v>
      </c>
      <c r="C25" s="23">
        <f>(B25/12*(35^4-18^4)+18^4)^(0.25)</f>
        <v>32.759407903138175</v>
      </c>
      <c r="D25" s="23"/>
      <c r="E25" s="21">
        <f>(D25*10^-2)^4</f>
        <v>0</v>
      </c>
      <c r="F25" s="21">
        <f>ABS(4*E25^3*E$3)</f>
        <v>0</v>
      </c>
      <c r="G25" s="8"/>
      <c r="H25" s="2">
        <f t="shared" si="0"/>
        <v>0</v>
      </c>
      <c r="I25" s="21">
        <f>AVERAGE(H25:H26)</f>
        <v>0</v>
      </c>
      <c r="J25" s="21">
        <f>SQRT(2)/50 * H$2</f>
        <v>2.8284271247461902E-4</v>
      </c>
      <c r="K25" s="21">
        <f>I25^2</f>
        <v>0</v>
      </c>
      <c r="L25" s="21">
        <f>ABS(2*I25*J25)</f>
        <v>0</v>
      </c>
      <c r="M25" s="8"/>
      <c r="N25" s="2">
        <f t="shared" si="1"/>
        <v>0</v>
      </c>
      <c r="O25" s="21">
        <f>AVERAGE(N25:N26)</f>
        <v>0</v>
      </c>
      <c r="P25" s="21">
        <f>SQRT(2)/100 * H$2</f>
        <v>1.4142135623730951E-4</v>
      </c>
      <c r="Q25" s="21">
        <f>O25^2</f>
        <v>0</v>
      </c>
      <c r="R25" s="21">
        <f>ABS(2*O25*P25)</f>
        <v>0</v>
      </c>
      <c r="S25" s="8"/>
      <c r="T25" s="2">
        <f t="shared" si="2"/>
        <v>0</v>
      </c>
      <c r="U25" s="21">
        <f>AVERAGE(T25:T26)</f>
        <v>0</v>
      </c>
      <c r="V25" s="21">
        <f>SQRT(2)/150 * H$2</f>
        <v>9.4280904158206352E-5</v>
      </c>
      <c r="W25" s="21">
        <f>U25^2</f>
        <v>0</v>
      </c>
      <c r="X25" s="21">
        <f>ABS(2*U25*V25)</f>
        <v>0</v>
      </c>
    </row>
    <row r="26" spans="2:24" x14ac:dyDescent="0.25">
      <c r="B26" s="22"/>
      <c r="C26" s="23"/>
      <c r="D26" s="23"/>
      <c r="E26" s="21"/>
      <c r="F26" s="21"/>
      <c r="G26" s="8"/>
      <c r="H26" s="2">
        <f t="shared" si="0"/>
        <v>0</v>
      </c>
      <c r="I26" s="21"/>
      <c r="J26" s="21"/>
      <c r="K26" s="21"/>
      <c r="L26" s="21"/>
      <c r="M26" s="8"/>
      <c r="N26" s="2">
        <f t="shared" si="1"/>
        <v>0</v>
      </c>
      <c r="O26" s="21"/>
      <c r="P26" s="21"/>
      <c r="Q26" s="21"/>
      <c r="R26" s="21"/>
      <c r="S26" s="8"/>
      <c r="T26" s="2">
        <f t="shared" si="2"/>
        <v>0</v>
      </c>
      <c r="U26" s="21"/>
      <c r="V26" s="21"/>
      <c r="W26" s="21"/>
      <c r="X26" s="21"/>
    </row>
    <row r="27" spans="2:24" x14ac:dyDescent="0.25">
      <c r="B27" s="22">
        <v>10</v>
      </c>
      <c r="C27" s="23">
        <f>(B27/12*(35^4-18^4)+18^4)^(0.25)</f>
        <v>33.556855264872745</v>
      </c>
      <c r="D27" s="23"/>
      <c r="E27" s="21">
        <f>(D27*10^-2)^4</f>
        <v>0</v>
      </c>
      <c r="F27" s="21">
        <f>ABS(4*E27^3*E$3)</f>
        <v>0</v>
      </c>
      <c r="G27" s="8"/>
      <c r="H27" s="2">
        <f t="shared" si="0"/>
        <v>0</v>
      </c>
      <c r="I27" s="21">
        <f>AVERAGE(H27:H28)</f>
        <v>0</v>
      </c>
      <c r="J27" s="21">
        <f>SQRT(2)/50 * H$2</f>
        <v>2.8284271247461902E-4</v>
      </c>
      <c r="K27" s="21">
        <f>I27^2</f>
        <v>0</v>
      </c>
      <c r="L27" s="21">
        <f>ABS(2*I27*J27)</f>
        <v>0</v>
      </c>
      <c r="M27" s="8"/>
      <c r="N27" s="2">
        <f t="shared" si="1"/>
        <v>0</v>
      </c>
      <c r="O27" s="21">
        <f>AVERAGE(N27:N28)</f>
        <v>0</v>
      </c>
      <c r="P27" s="21">
        <f>SQRT(2)/100 * H$2</f>
        <v>1.4142135623730951E-4</v>
      </c>
      <c r="Q27" s="21">
        <f>O27^2</f>
        <v>0</v>
      </c>
      <c r="R27" s="21">
        <f>ABS(2*O27*P27)</f>
        <v>0</v>
      </c>
      <c r="S27" s="8"/>
      <c r="T27" s="2">
        <f t="shared" si="2"/>
        <v>0</v>
      </c>
      <c r="U27" s="21">
        <f>AVERAGE(T27:T28)</f>
        <v>0</v>
      </c>
      <c r="V27" s="21">
        <f>SQRT(2)/150 * H$2</f>
        <v>9.4280904158206352E-5</v>
      </c>
      <c r="W27" s="21">
        <f>U27^2</f>
        <v>0</v>
      </c>
      <c r="X27" s="21">
        <f>ABS(2*U27*V27)</f>
        <v>0</v>
      </c>
    </row>
    <row r="28" spans="2:24" x14ac:dyDescent="0.25">
      <c r="B28" s="22"/>
      <c r="C28" s="23"/>
      <c r="D28" s="23"/>
      <c r="E28" s="21"/>
      <c r="F28" s="21"/>
      <c r="G28" s="8"/>
      <c r="H28" s="2">
        <f t="shared" si="0"/>
        <v>0</v>
      </c>
      <c r="I28" s="21"/>
      <c r="J28" s="21"/>
      <c r="K28" s="21"/>
      <c r="L28" s="21"/>
      <c r="M28" s="8"/>
      <c r="N28" s="2">
        <f t="shared" si="1"/>
        <v>0</v>
      </c>
      <c r="O28" s="21"/>
      <c r="P28" s="21"/>
      <c r="Q28" s="21"/>
      <c r="R28" s="21"/>
      <c r="S28" s="8"/>
      <c r="T28" s="2">
        <f t="shared" si="2"/>
        <v>0</v>
      </c>
      <c r="U28" s="21"/>
      <c r="V28" s="21"/>
      <c r="W28" s="21"/>
      <c r="X28" s="21"/>
    </row>
    <row r="29" spans="2:24" x14ac:dyDescent="0.25">
      <c r="B29" s="22">
        <v>11</v>
      </c>
      <c r="C29" s="23">
        <f>(B29/12*(35^4-18^4)+18^4)^(0.25)</f>
        <v>34.301190640526301</v>
      </c>
      <c r="D29" s="23"/>
      <c r="E29" s="21">
        <f>(D29*10^-2)^4</f>
        <v>0</v>
      </c>
      <c r="F29" s="21">
        <f>ABS(4*E29^3*E$3)</f>
        <v>0</v>
      </c>
      <c r="G29" s="8"/>
      <c r="H29" s="2">
        <f t="shared" si="0"/>
        <v>0</v>
      </c>
      <c r="I29" s="21">
        <f>AVERAGE(H29:H30)</f>
        <v>0</v>
      </c>
      <c r="J29" s="21">
        <f>SQRT(2)/50 * H$2</f>
        <v>2.8284271247461902E-4</v>
      </c>
      <c r="K29" s="21">
        <f>I29^2</f>
        <v>0</v>
      </c>
      <c r="L29" s="21">
        <f>ABS(2*I29*J29)</f>
        <v>0</v>
      </c>
      <c r="M29" s="8"/>
      <c r="N29" s="2">
        <f t="shared" si="1"/>
        <v>0</v>
      </c>
      <c r="O29" s="21">
        <f>AVERAGE(N29:N30)</f>
        <v>0</v>
      </c>
      <c r="P29" s="21">
        <f>SQRT(2)/100 * H$2</f>
        <v>1.4142135623730951E-4</v>
      </c>
      <c r="Q29" s="21">
        <f>O29^2</f>
        <v>0</v>
      </c>
      <c r="R29" s="21">
        <f>ABS(2*O29*P29)</f>
        <v>0</v>
      </c>
      <c r="S29" s="8"/>
      <c r="T29" s="2">
        <f t="shared" si="2"/>
        <v>0</v>
      </c>
      <c r="U29" s="21">
        <f>AVERAGE(T29:T30)</f>
        <v>0</v>
      </c>
      <c r="V29" s="21">
        <f>SQRT(2)/150 * H$2</f>
        <v>9.4280904158206352E-5</v>
      </c>
      <c r="W29" s="21">
        <f>U29^2</f>
        <v>0</v>
      </c>
      <c r="X29" s="21">
        <f>ABS(2*U29*V29)</f>
        <v>0</v>
      </c>
    </row>
    <row r="30" spans="2:24" x14ac:dyDescent="0.25">
      <c r="B30" s="22"/>
      <c r="C30" s="23"/>
      <c r="D30" s="23"/>
      <c r="E30" s="21"/>
      <c r="F30" s="21"/>
      <c r="G30" s="8"/>
      <c r="H30" s="2">
        <f t="shared" si="0"/>
        <v>0</v>
      </c>
      <c r="I30" s="21"/>
      <c r="J30" s="21"/>
      <c r="K30" s="21"/>
      <c r="L30" s="21"/>
      <c r="M30" s="8"/>
      <c r="N30" s="2">
        <f t="shared" si="1"/>
        <v>0</v>
      </c>
      <c r="O30" s="21"/>
      <c r="P30" s="21"/>
      <c r="Q30" s="21"/>
      <c r="R30" s="21"/>
      <c r="S30" s="8"/>
      <c r="T30" s="2">
        <f t="shared" si="2"/>
        <v>0</v>
      </c>
      <c r="U30" s="21"/>
      <c r="V30" s="21"/>
      <c r="W30" s="21"/>
      <c r="X30" s="21"/>
    </row>
    <row r="31" spans="2:24" x14ac:dyDescent="0.25">
      <c r="B31" s="22">
        <v>12</v>
      </c>
      <c r="C31" s="23">
        <f>(B31/12*(35^4-18^4)+18^4)^(0.25)</f>
        <v>34.999999999999993</v>
      </c>
      <c r="D31" s="23"/>
      <c r="E31" s="21">
        <f>(D31*10^-2)^4</f>
        <v>0</v>
      </c>
      <c r="F31" s="21">
        <f>ABS(4*E31^3*E$3)</f>
        <v>0</v>
      </c>
      <c r="G31" s="8"/>
      <c r="H31" s="2">
        <f t="shared" si="0"/>
        <v>0</v>
      </c>
      <c r="I31" s="21">
        <f>AVERAGE(H31:H32)</f>
        <v>0</v>
      </c>
      <c r="J31" s="21">
        <f>SQRT(2)/50 * H$2</f>
        <v>2.8284271247461902E-4</v>
      </c>
      <c r="K31" s="21">
        <f>I31^2</f>
        <v>0</v>
      </c>
      <c r="L31" s="21">
        <f>ABS(2*I31*J31)</f>
        <v>0</v>
      </c>
      <c r="M31" s="8"/>
      <c r="N31" s="2">
        <f t="shared" si="1"/>
        <v>0</v>
      </c>
      <c r="O31" s="21">
        <f>AVERAGE(N31:N32)</f>
        <v>0</v>
      </c>
      <c r="P31" s="21">
        <f>SQRT(2)/100 * H$2</f>
        <v>1.4142135623730951E-4</v>
      </c>
      <c r="Q31" s="21">
        <f>O31^2</f>
        <v>0</v>
      </c>
      <c r="R31" s="21">
        <f>ABS(2*O31*P31)</f>
        <v>0</v>
      </c>
      <c r="S31" s="8"/>
      <c r="T31" s="2">
        <f t="shared" si="2"/>
        <v>0</v>
      </c>
      <c r="U31" s="21">
        <f>AVERAGE(T31:T32)</f>
        <v>0</v>
      </c>
      <c r="V31" s="21">
        <f>SQRT(2)/150 * H$2</f>
        <v>9.4280904158206352E-5</v>
      </c>
      <c r="W31" s="21">
        <f>U31^2</f>
        <v>0</v>
      </c>
      <c r="X31" s="21">
        <f>ABS(2*U31*V31)</f>
        <v>0</v>
      </c>
    </row>
    <row r="32" spans="2:24" x14ac:dyDescent="0.25">
      <c r="B32" s="22"/>
      <c r="C32" s="23"/>
      <c r="D32" s="23"/>
      <c r="E32" s="21"/>
      <c r="F32" s="21"/>
      <c r="G32" s="8"/>
      <c r="H32" s="2">
        <f t="shared" si="0"/>
        <v>0</v>
      </c>
      <c r="I32" s="21"/>
      <c r="J32" s="21"/>
      <c r="K32" s="21"/>
      <c r="L32" s="21"/>
      <c r="M32" s="8"/>
      <c r="N32" s="2">
        <f t="shared" si="1"/>
        <v>0</v>
      </c>
      <c r="O32" s="21"/>
      <c r="P32" s="21"/>
      <c r="Q32" s="21"/>
      <c r="R32" s="21"/>
      <c r="S32" s="2"/>
      <c r="T32" s="2">
        <f t="shared" si="2"/>
        <v>0</v>
      </c>
      <c r="U32" s="21"/>
      <c r="V32" s="21"/>
      <c r="W32" s="21"/>
      <c r="X32" s="21"/>
    </row>
    <row r="35" spans="3:64" ht="16.149999999999999" customHeight="1" x14ac:dyDescent="0.25">
      <c r="C35" s="17" t="s">
        <v>0</v>
      </c>
      <c r="D35" s="17" t="s">
        <v>1</v>
      </c>
      <c r="E35" s="17" t="s">
        <v>2</v>
      </c>
      <c r="F35" s="15" t="s">
        <v>12</v>
      </c>
      <c r="G35" s="15"/>
      <c r="H35" s="15"/>
      <c r="I35" s="15"/>
      <c r="J35" s="15" t="s">
        <v>13</v>
      </c>
      <c r="K35" s="15"/>
      <c r="L35" s="15"/>
      <c r="M35" s="15"/>
      <c r="N35" s="15" t="s">
        <v>14</v>
      </c>
      <c r="O35" s="15"/>
      <c r="P35" s="15"/>
      <c r="Q35" s="15"/>
      <c r="AC35" s="17" t="s">
        <v>0</v>
      </c>
      <c r="AD35" s="17" t="s">
        <v>1</v>
      </c>
      <c r="AE35" s="17" t="s">
        <v>2</v>
      </c>
      <c r="AF35" s="18" t="s">
        <v>51</v>
      </c>
      <c r="AG35" s="19"/>
      <c r="AH35" s="19"/>
      <c r="AI35" s="19"/>
      <c r="AJ35" s="19"/>
      <c r="AK35" s="19"/>
      <c r="AL35" s="19"/>
      <c r="AM35" s="20"/>
    </row>
    <row r="36" spans="3:64" ht="18" x14ac:dyDescent="0.25">
      <c r="C36" s="17"/>
      <c r="D36" s="17"/>
      <c r="E36" s="17"/>
      <c r="F36" s="4" t="s">
        <v>7</v>
      </c>
      <c r="G36" s="4" t="s">
        <v>10</v>
      </c>
      <c r="H36" s="4" t="s">
        <v>40</v>
      </c>
      <c r="I36" s="4" t="s">
        <v>41</v>
      </c>
      <c r="J36" s="4" t="s">
        <v>7</v>
      </c>
      <c r="K36" s="4" t="s">
        <v>10</v>
      </c>
      <c r="L36" s="4" t="s">
        <v>40</v>
      </c>
      <c r="M36" s="4" t="s">
        <v>41</v>
      </c>
      <c r="N36" s="4" t="s">
        <v>7</v>
      </c>
      <c r="O36" s="4" t="s">
        <v>10</v>
      </c>
      <c r="P36" s="4" t="s">
        <v>40</v>
      </c>
      <c r="Q36" s="4" t="s">
        <v>41</v>
      </c>
      <c r="AC36" s="17"/>
      <c r="AD36" s="17"/>
      <c r="AE36" s="17"/>
      <c r="AF36" s="4" t="s">
        <v>9</v>
      </c>
      <c r="AG36" s="4" t="s">
        <v>8</v>
      </c>
      <c r="AH36" s="4" t="s">
        <v>7</v>
      </c>
      <c r="AI36" s="4" t="s">
        <v>10</v>
      </c>
      <c r="AJ36" s="4" t="s">
        <v>40</v>
      </c>
      <c r="AK36" s="4" t="s">
        <v>41</v>
      </c>
      <c r="AL36" s="4" t="s">
        <v>53</v>
      </c>
      <c r="AM36" s="4" t="s">
        <v>54</v>
      </c>
    </row>
    <row r="37" spans="3:64" x14ac:dyDescent="0.25">
      <c r="C37" s="2">
        <f>D7</f>
        <v>18</v>
      </c>
      <c r="D37" s="2">
        <f>E7</f>
        <v>1.0497599999999998E-3</v>
      </c>
      <c r="E37" s="2">
        <f>F7</f>
        <v>2.3136627628523511E-14</v>
      </c>
      <c r="F37" s="2">
        <f>K7</f>
        <v>5.6644000000000009E-4</v>
      </c>
      <c r="G37" s="2">
        <f>L7</f>
        <v>1.3463313113791866E-5</v>
      </c>
      <c r="H37" s="2">
        <f t="shared" ref="H37:H49" si="3">D37*C$102+D$102</f>
        <v>5.7149370657798401E-4</v>
      </c>
      <c r="I37" s="2">
        <f>F37-H37</f>
        <v>-5.0537065779839279E-6</v>
      </c>
      <c r="J37" s="2">
        <f>Q7</f>
        <v>5.5225000000000001E-4</v>
      </c>
      <c r="K37" s="2">
        <f>R7</f>
        <v>6.6468037431535469E-6</v>
      </c>
      <c r="L37" s="2">
        <f t="shared" ref="L37:L49" si="4">D37*L$102+M$102</f>
        <v>5.4685825065541819E-4</v>
      </c>
      <c r="M37" s="2">
        <f>J37-L37</f>
        <v>5.3917493445818174E-6</v>
      </c>
      <c r="N37" s="2">
        <f>W7</f>
        <v>5.6011111111111105E-4</v>
      </c>
      <c r="O37" s="2">
        <f>X7</f>
        <v>4.462629463488434E-6</v>
      </c>
      <c r="P37" s="2">
        <f t="shared" ref="P37:P49" si="5">D37*S$102+T$102</f>
        <v>5.7174259989816888E-4</v>
      </c>
      <c r="Q37" s="2">
        <f>N37-P37</f>
        <v>-1.1631488787057823E-5</v>
      </c>
      <c r="AC37" s="2">
        <f>C37</f>
        <v>18</v>
      </c>
      <c r="AD37" s="2">
        <f>D37</f>
        <v>1.0497599999999998E-3</v>
      </c>
      <c r="AE37" s="2">
        <f>E37</f>
        <v>2.3136627628523511E-14</v>
      </c>
      <c r="AF37" s="2">
        <f>AVERAGE(I7,O7,U7)</f>
        <v>2.3655555555555555E-2</v>
      </c>
      <c r="AG37" s="2">
        <f>_xlfn.STDEV.P(I7,O7,U7)/SQRT(3)</f>
        <v>7.0856023961885523E-5</v>
      </c>
      <c r="AH37" s="2">
        <f t="shared" ref="AH37:AH49" si="6">AVERAGE(F37,J37,N37)</f>
        <v>5.5960037037037038E-4</v>
      </c>
      <c r="AI37" s="2">
        <f>_xlfn.STDEV.P(F37,J37,N37)/SQRT(3)</f>
        <v>3.3511081775101674E-6</v>
      </c>
      <c r="AJ37" s="2">
        <f>AD37*AP$47+AQ$47</f>
        <v>5.5273337277274488E-4</v>
      </c>
      <c r="AK37" s="2">
        <f>AH37-AJ37</f>
        <v>6.8669975976255043E-6</v>
      </c>
      <c r="AL37" s="2">
        <f>LOG(AC37/100)</f>
        <v>-0.74472749489669399</v>
      </c>
      <c r="AM37" s="2">
        <f>LOG(AF37)</f>
        <v>-1.6260668480010023</v>
      </c>
    </row>
    <row r="38" spans="3:64" x14ac:dyDescent="0.25">
      <c r="C38" s="2">
        <f>D9</f>
        <v>21.7</v>
      </c>
      <c r="D38" s="2">
        <f>E9</f>
        <v>2.2173739209999997E-3</v>
      </c>
      <c r="E38" s="2">
        <f>F9</f>
        <v>2.180453361591296E-13</v>
      </c>
      <c r="F38" s="2">
        <f>K9</f>
        <v>1.1560000000000001E-3</v>
      </c>
      <c r="G38" s="2">
        <f>L9</f>
        <v>1.9233304448274093E-5</v>
      </c>
      <c r="H38" s="2">
        <f t="shared" si="3"/>
        <v>1.1454806099035824E-3</v>
      </c>
      <c r="I38" s="2">
        <f t="shared" ref="I38:I49" si="7">F38-H38</f>
        <v>1.0519390096417692E-5</v>
      </c>
      <c r="J38" s="2">
        <f>Q9</f>
        <v>1.1833600000000001E-3</v>
      </c>
      <c r="K38" s="2">
        <f>R9</f>
        <v>9.7297893091268945E-6</v>
      </c>
      <c r="L38" s="2">
        <f t="shared" si="4"/>
        <v>1.1368642176701716E-3</v>
      </c>
      <c r="M38" s="2">
        <f t="shared" ref="M38:M49" si="8">J38-L38</f>
        <v>4.6495782329828437E-5</v>
      </c>
      <c r="N38" s="2">
        <f>W9</f>
        <v>1.1833600000000001E-3</v>
      </c>
      <c r="O38" s="2">
        <f>X9</f>
        <v>6.4865262060845966E-6</v>
      </c>
      <c r="P38" s="2">
        <f t="shared" si="5"/>
        <v>1.167516191520763E-3</v>
      </c>
      <c r="Q38" s="2">
        <f t="shared" ref="Q38:Q49" si="9">N38-P38</f>
        <v>1.5843808479237094E-5</v>
      </c>
      <c r="AC38" s="2">
        <f t="shared" ref="AC38:AE45" si="10">C38</f>
        <v>21.7</v>
      </c>
      <c r="AD38" s="2">
        <f t="shared" si="10"/>
        <v>2.2173739209999997E-3</v>
      </c>
      <c r="AE38" s="2">
        <f t="shared" si="10"/>
        <v>2.180453361591296E-13</v>
      </c>
      <c r="AF38" s="2">
        <f>AVERAGE(I9,O9,U9)</f>
        <v>3.4266666666666667E-2</v>
      </c>
      <c r="AG38" s="2">
        <f>_xlfn.STDEV.P(I9,O9,U9)/SQRT(3)</f>
        <v>1.0886621079036282E-4</v>
      </c>
      <c r="AH38" s="2">
        <f t="shared" si="6"/>
        <v>1.1742400000000002E-3</v>
      </c>
      <c r="AI38" s="2">
        <f t="shared" ref="AI38:AI49" si="11">_xlfn.STDEV.P(F38,J38,N38)/SQRT(3)</f>
        <v>7.4464488180608418E-6</v>
      </c>
      <c r="AJ38" s="2">
        <f t="shared" ref="AJ38:AJ49" si="12">AD38*AP$47+AQ$47</f>
        <v>1.1413051657367494E-3</v>
      </c>
      <c r="AK38" s="2">
        <f t="shared" ref="AK38:AK49" si="13">AH38-AJ38</f>
        <v>3.2934834263250801E-5</v>
      </c>
      <c r="AL38" s="2">
        <f t="shared" ref="AL38:AL49" si="14">LOG(AC38/100)</f>
        <v>-0.66354026615147055</v>
      </c>
      <c r="AM38" s="2">
        <f t="shared" ref="AM38:AM49" si="15">LOG(AF38)</f>
        <v>-1.4651281400604055</v>
      </c>
    </row>
    <row r="39" spans="3:64" x14ac:dyDescent="0.25">
      <c r="C39" s="2">
        <f>D11</f>
        <v>24.1</v>
      </c>
      <c r="D39" s="2">
        <f>E11</f>
        <v>3.373402561000001E-3</v>
      </c>
      <c r="E39" s="2">
        <f>F11</f>
        <v>7.6777595444371106E-13</v>
      </c>
      <c r="F39" s="2">
        <f>K11</f>
        <v>1.7472400000000004E-3</v>
      </c>
      <c r="G39" s="2">
        <f>L11</f>
        <v>2.3645650762878153E-5</v>
      </c>
      <c r="H39" s="2">
        <f t="shared" si="3"/>
        <v>1.7137723091503782E-3</v>
      </c>
      <c r="I39" s="2">
        <f t="shared" si="7"/>
        <v>3.3467690849622216E-5</v>
      </c>
      <c r="J39" s="2">
        <f>Q11</f>
        <v>1.7724099999999999E-3</v>
      </c>
      <c r="K39" s="2">
        <f>R11</f>
        <v>1.1907678195181461E-5</v>
      </c>
      <c r="L39" s="2">
        <f t="shared" si="4"/>
        <v>1.7210160364972366E-3</v>
      </c>
      <c r="M39" s="2">
        <f t="shared" si="8"/>
        <v>5.1393963502763306E-5</v>
      </c>
      <c r="N39" s="2">
        <f>W11</f>
        <v>1.7864711111111112E-3</v>
      </c>
      <c r="O39" s="2">
        <f>X11</f>
        <v>7.9698790981737111E-6</v>
      </c>
      <c r="P39" s="2">
        <f t="shared" si="5"/>
        <v>1.7573784075189428E-3</v>
      </c>
      <c r="Q39" s="2">
        <f t="shared" si="9"/>
        <v>2.9092703592168345E-5</v>
      </c>
      <c r="AC39" s="2">
        <f t="shared" si="10"/>
        <v>24.1</v>
      </c>
      <c r="AD39" s="2">
        <f t="shared" si="10"/>
        <v>3.373402561000001E-3</v>
      </c>
      <c r="AE39" s="2">
        <f t="shared" si="10"/>
        <v>7.6777595444371106E-13</v>
      </c>
      <c r="AF39" s="2">
        <f>AVERAGE(I11,O11,U11)</f>
        <v>4.2055555555555561E-2</v>
      </c>
      <c r="AG39" s="2">
        <f>_xlfn.STDEV.P(I11,O11,U11)/SQRT(3)</f>
        <v>1.1148086624660964E-4</v>
      </c>
      <c r="AH39" s="2">
        <f t="shared" si="6"/>
        <v>1.7687070370370371E-3</v>
      </c>
      <c r="AI39" s="2">
        <f t="shared" si="11"/>
        <v>9.3696195912568116E-6</v>
      </c>
      <c r="AJ39" s="2">
        <f t="shared" si="12"/>
        <v>1.7240370406529106E-3</v>
      </c>
      <c r="AK39" s="2">
        <f t="shared" si="13"/>
        <v>4.4669996384126467E-5</v>
      </c>
      <c r="AL39" s="2">
        <f t="shared" si="14"/>
        <v>-0.61798295742513154</v>
      </c>
      <c r="AM39" s="2">
        <f t="shared" si="15"/>
        <v>-1.3761766256032333</v>
      </c>
    </row>
    <row r="40" spans="3:64" x14ac:dyDescent="0.25">
      <c r="C40" s="2">
        <f>D13</f>
        <v>26</v>
      </c>
      <c r="D40" s="2">
        <f>E13</f>
        <v>4.5697600000000008E-3</v>
      </c>
      <c r="E40" s="2">
        <f>F13</f>
        <v>1.908579133233645E-12</v>
      </c>
      <c r="F40" s="2">
        <f>K13</f>
        <v>2.2657599999999995E-3</v>
      </c>
      <c r="G40" s="2">
        <f>L13</f>
        <v>2.6926626227583728E-5</v>
      </c>
      <c r="H40" s="2">
        <f t="shared" si="3"/>
        <v>2.3018892280494236E-3</v>
      </c>
      <c r="I40" s="2">
        <f t="shared" si="7"/>
        <v>-3.6129228049424159E-5</v>
      </c>
      <c r="J40" s="2">
        <f>Q13</f>
        <v>2.2944099999999998E-3</v>
      </c>
      <c r="K40" s="2">
        <f>R13</f>
        <v>1.354816592753425E-5</v>
      </c>
      <c r="L40" s="2">
        <f t="shared" si="4"/>
        <v>2.3255463653990695E-3</v>
      </c>
      <c r="M40" s="2">
        <f t="shared" si="8"/>
        <v>-3.1136365399069693E-5</v>
      </c>
      <c r="N40" s="2">
        <f>W13</f>
        <v>2.614617777777778E-3</v>
      </c>
      <c r="O40" s="2">
        <f>X13</f>
        <v>9.6417937985792362E-6</v>
      </c>
      <c r="P40" s="2">
        <f t="shared" si="5"/>
        <v>2.3678183444520331E-3</v>
      </c>
      <c r="Q40" s="2">
        <f t="shared" si="9"/>
        <v>2.4679943332574488E-4</v>
      </c>
      <c r="AC40" s="2">
        <f t="shared" si="10"/>
        <v>26</v>
      </c>
      <c r="AD40" s="2">
        <f t="shared" si="10"/>
        <v>4.5697600000000008E-3</v>
      </c>
      <c r="AE40" s="2">
        <f t="shared" si="10"/>
        <v>1.908579133233645E-12</v>
      </c>
      <c r="AF40" s="2">
        <f>AVERAGE(I13,O13,U13)</f>
        <v>4.8877777777777777E-2</v>
      </c>
      <c r="AG40" s="2">
        <f>_xlfn.STDEV.P(I13,O13,U13)/SQRT(3)</f>
        <v>9.2353766068287179E-4</v>
      </c>
      <c r="AH40" s="2">
        <f t="shared" si="6"/>
        <v>2.3915959259259256E-3</v>
      </c>
      <c r="AI40" s="2">
        <f t="shared" si="11"/>
        <v>9.1298369740309488E-5</v>
      </c>
      <c r="AJ40" s="2">
        <f t="shared" si="12"/>
        <v>2.3270978899917003E-3</v>
      </c>
      <c r="AK40" s="2">
        <f t="shared" si="13"/>
        <v>6.4498035934225286E-5</v>
      </c>
      <c r="AL40" s="2">
        <f t="shared" si="14"/>
        <v>-0.58502665202918203</v>
      </c>
      <c r="AM40" s="2">
        <f t="shared" si="15"/>
        <v>-1.3108885474624619</v>
      </c>
    </row>
    <row r="41" spans="3:64" x14ac:dyDescent="0.25">
      <c r="C41" s="2">
        <f>D15</f>
        <v>27.5</v>
      </c>
      <c r="D41" s="2">
        <f>E15</f>
        <v>5.7191406250000016E-3</v>
      </c>
      <c r="E41" s="2">
        <f>F15</f>
        <v>3.7412981709492242E-12</v>
      </c>
      <c r="F41" s="2">
        <f>K15</f>
        <v>2.8944399999999999E-3</v>
      </c>
      <c r="G41" s="2">
        <f>L15</f>
        <v>3.0433875862269005E-5</v>
      </c>
      <c r="H41" s="2">
        <f t="shared" si="3"/>
        <v>2.8669128320170504E-3</v>
      </c>
      <c r="I41" s="2">
        <f t="shared" si="7"/>
        <v>2.7527167982949446E-5</v>
      </c>
      <c r="J41" s="2">
        <f>Q15</f>
        <v>2.9484900000000002E-3</v>
      </c>
      <c r="K41" s="2">
        <f>R15</f>
        <v>1.5358359287371814E-5</v>
      </c>
      <c r="L41" s="2">
        <f t="shared" si="4"/>
        <v>2.9063388815934246E-3</v>
      </c>
      <c r="M41" s="2">
        <f t="shared" si="8"/>
        <v>4.2151118406575597E-5</v>
      </c>
      <c r="N41" s="2">
        <f>W15</f>
        <v>2.9738844444444439E-3</v>
      </c>
      <c r="O41" s="2">
        <f>X15</f>
        <v>1.0282903946855039E-5</v>
      </c>
      <c r="P41" s="2">
        <f t="shared" si="5"/>
        <v>2.9542884188334712E-3</v>
      </c>
      <c r="Q41" s="2">
        <f t="shared" si="9"/>
        <v>1.9596025610972741E-5</v>
      </c>
      <c r="AC41" s="2">
        <f t="shared" si="10"/>
        <v>27.5</v>
      </c>
      <c r="AD41" s="2">
        <f t="shared" si="10"/>
        <v>5.7191406250000016E-3</v>
      </c>
      <c r="AE41" s="2">
        <f t="shared" si="10"/>
        <v>3.7412981709492242E-12</v>
      </c>
      <c r="AF41" s="2">
        <f>AVERAGE(I15,O15,U15)</f>
        <v>5.4211111111111106E-2</v>
      </c>
      <c r="AG41" s="2">
        <f>_xlfn.STDEV.P(I15,O15,U15)/SQRT(3)</f>
        <v>1.7661657803801932E-4</v>
      </c>
      <c r="AH41" s="2">
        <f t="shared" si="6"/>
        <v>2.9389381481481481E-3</v>
      </c>
      <c r="AI41" s="2">
        <f t="shared" si="11"/>
        <v>1.9126963769165646E-5</v>
      </c>
      <c r="AJ41" s="2">
        <f t="shared" si="12"/>
        <v>2.9064786279970833E-3</v>
      </c>
      <c r="AK41" s="2">
        <f t="shared" si="13"/>
        <v>3.2459520151064888E-5</v>
      </c>
      <c r="AL41" s="2">
        <f t="shared" si="14"/>
        <v>-0.56066730616973737</v>
      </c>
      <c r="AM41" s="2">
        <f t="shared" si="15"/>
        <v>-1.2659116913270587</v>
      </c>
    </row>
    <row r="42" spans="3:64" x14ac:dyDescent="0.25">
      <c r="C42" s="2">
        <f>D17</f>
        <v>28.8</v>
      </c>
      <c r="D42" s="2">
        <f>E17</f>
        <v>6.8797071360000026E-3</v>
      </c>
      <c r="E42" s="2">
        <f>F17</f>
        <v>6.5123817229017856E-12</v>
      </c>
      <c r="F42" s="2">
        <f>K17</f>
        <v>3.4339599999999998E-3</v>
      </c>
      <c r="G42" s="2">
        <f>L17</f>
        <v>3.314916590202535E-5</v>
      </c>
      <c r="H42" s="2">
        <f t="shared" si="3"/>
        <v>3.4374353016204981E-3</v>
      </c>
      <c r="I42" s="2">
        <f t="shared" si="7"/>
        <v>-3.4753016204982883E-6</v>
      </c>
      <c r="J42" s="2">
        <f>Q17</f>
        <v>3.5164900000000006E-3</v>
      </c>
      <c r="K42" s="2">
        <f>R17</f>
        <v>1.6772572849744909E-5</v>
      </c>
      <c r="L42" s="2">
        <f t="shared" si="4"/>
        <v>3.4927837280380862E-3</v>
      </c>
      <c r="M42" s="2">
        <f t="shared" si="8"/>
        <v>2.3706271961914435E-5</v>
      </c>
      <c r="N42" s="2">
        <f>W17</f>
        <v>3.5442177777777772E-3</v>
      </c>
      <c r="O42" s="2">
        <f>X17</f>
        <v>1.1225712988437101E-5</v>
      </c>
      <c r="P42" s="2">
        <f t="shared" si="5"/>
        <v>3.5464660780234166E-3</v>
      </c>
      <c r="Q42" s="2">
        <f t="shared" si="9"/>
        <v>-2.2483002456393821E-6</v>
      </c>
      <c r="AC42" s="2">
        <f t="shared" si="10"/>
        <v>28.8</v>
      </c>
      <c r="AD42" s="2">
        <f t="shared" si="10"/>
        <v>6.8797071360000026E-3</v>
      </c>
      <c r="AE42" s="2">
        <f t="shared" si="10"/>
        <v>6.5123817229017856E-12</v>
      </c>
      <c r="AF42" s="2">
        <f>AVERAGE(I17,O17,U17)</f>
        <v>5.9144444444444444E-2</v>
      </c>
      <c r="AG42" s="2">
        <f>_xlfn.STDEV.P(I17,O17,U17)/SQRT(3)</f>
        <v>2.2897157801590656E-4</v>
      </c>
      <c r="AH42" s="2">
        <f t="shared" si="6"/>
        <v>3.4982225925925922E-3</v>
      </c>
      <c r="AI42" s="2">
        <f t="shared" si="11"/>
        <v>2.7036880244767748E-5</v>
      </c>
      <c r="AJ42" s="2">
        <f t="shared" si="12"/>
        <v>3.4914979566877092E-3</v>
      </c>
      <c r="AK42" s="2">
        <f t="shared" si="13"/>
        <v>6.724635904883057E-6</v>
      </c>
      <c r="AL42" s="2">
        <f t="shared" si="14"/>
        <v>-0.54060751224076908</v>
      </c>
      <c r="AM42" s="2">
        <f t="shared" si="15"/>
        <v>-1.2280860432665701</v>
      </c>
    </row>
    <row r="43" spans="3:64" x14ac:dyDescent="0.25">
      <c r="C43" s="2">
        <f>D19</f>
        <v>30</v>
      </c>
      <c r="D43" s="2">
        <f>E19</f>
        <v>8.0999999999999996E-3</v>
      </c>
      <c r="E43" s="2">
        <f>F19</f>
        <v>1.0628819999999999E-11</v>
      </c>
      <c r="F43" s="2">
        <f>K19</f>
        <v>3.9438400000000014E-3</v>
      </c>
      <c r="G43" s="2">
        <f>L19</f>
        <v>3.5525044686812156E-5</v>
      </c>
      <c r="H43" s="2">
        <f t="shared" si="3"/>
        <v>4.0373186274015073E-3</v>
      </c>
      <c r="I43" s="2">
        <f t="shared" si="7"/>
        <v>-9.3478627401505886E-5</v>
      </c>
      <c r="J43" s="2">
        <f>Q19</f>
        <v>4.0068899999999991E-3</v>
      </c>
      <c r="K43" s="2">
        <f>R19</f>
        <v>1.7903943699643381E-5</v>
      </c>
      <c r="L43" s="2">
        <f t="shared" si="4"/>
        <v>4.1094088455674287E-3</v>
      </c>
      <c r="M43" s="2">
        <f t="shared" si="8"/>
        <v>-1.0251884556742967E-4</v>
      </c>
      <c r="N43" s="2">
        <f>W19</f>
        <v>4.0704399999999998E-3</v>
      </c>
      <c r="O43" s="2">
        <f>X19</f>
        <v>1.2030243370587129E-5</v>
      </c>
      <c r="P43" s="2">
        <f t="shared" si="5"/>
        <v>4.169119036626417E-3</v>
      </c>
      <c r="Q43" s="2">
        <f t="shared" si="9"/>
        <v>-9.8679036626417131E-5</v>
      </c>
      <c r="AC43" s="2">
        <f t="shared" si="10"/>
        <v>30</v>
      </c>
      <c r="AD43" s="2">
        <f t="shared" si="10"/>
        <v>8.0999999999999996E-3</v>
      </c>
      <c r="AE43" s="2">
        <f t="shared" si="10"/>
        <v>1.0628819999999999E-11</v>
      </c>
      <c r="AF43" s="2">
        <f>AVERAGE(I19,O19,U19)</f>
        <v>6.3299999999999995E-2</v>
      </c>
      <c r="AG43" s="2">
        <f>_xlfn.STDEV.P(I19,O19,U19)/SQRT(3)</f>
        <v>2.3570226039551276E-4</v>
      </c>
      <c r="AH43" s="2">
        <f t="shared" si="6"/>
        <v>4.0070566666666665E-3</v>
      </c>
      <c r="AI43" s="2">
        <f t="shared" si="11"/>
        <v>2.9839983740438058E-5</v>
      </c>
      <c r="AJ43" s="2">
        <f t="shared" si="12"/>
        <v>4.1066241948971103E-3</v>
      </c>
      <c r="AK43" s="2">
        <f t="shared" si="13"/>
        <v>-9.9567528230443819E-5</v>
      </c>
      <c r="AL43" s="2">
        <f t="shared" si="14"/>
        <v>-0.52287874528033762</v>
      </c>
      <c r="AM43" s="2">
        <f t="shared" si="15"/>
        <v>-1.198596289982645</v>
      </c>
    </row>
    <row r="44" spans="3:64" x14ac:dyDescent="0.25">
      <c r="C44" s="2">
        <f>D21</f>
        <v>31</v>
      </c>
      <c r="D44" s="2">
        <f>E21</f>
        <v>9.2352100000000006E-3</v>
      </c>
      <c r="E44" s="2">
        <f>F21</f>
        <v>1.5753255675771E-11</v>
      </c>
      <c r="F44" s="2">
        <f>K21</f>
        <v>4.6240000000000005E-3</v>
      </c>
      <c r="G44" s="2">
        <f>L21</f>
        <v>3.8466608896548187E-5</v>
      </c>
      <c r="H44" s="2">
        <f t="shared" si="3"/>
        <v>4.5953760989724136E-3</v>
      </c>
      <c r="I44" s="2">
        <f t="shared" si="7"/>
        <v>2.8623901027586933E-5</v>
      </c>
      <c r="J44" s="2">
        <f>Q21</f>
        <v>4.7059600000000012E-3</v>
      </c>
      <c r="K44" s="2">
        <f>R21</f>
        <v>1.9403010075758868E-5</v>
      </c>
      <c r="L44" s="2">
        <f t="shared" si="4"/>
        <v>4.683040815663491E-3</v>
      </c>
      <c r="M44" s="2">
        <f t="shared" si="8"/>
        <v>2.2919184336510183E-5</v>
      </c>
      <c r="N44" s="2">
        <f>W21</f>
        <v>4.7334400000000002E-3</v>
      </c>
      <c r="O44" s="2">
        <f>X21</f>
        <v>1.2973052412169193E-5</v>
      </c>
      <c r="P44" s="2">
        <f t="shared" si="5"/>
        <v>4.748358566732949E-3</v>
      </c>
      <c r="Q44" s="2">
        <f t="shared" si="9"/>
        <v>-1.4918566732948814E-5</v>
      </c>
      <c r="AC44" s="2">
        <f t="shared" si="10"/>
        <v>31</v>
      </c>
      <c r="AD44" s="2">
        <f t="shared" si="10"/>
        <v>9.2352100000000006E-3</v>
      </c>
      <c r="AE44" s="2">
        <f t="shared" si="10"/>
        <v>1.5753255675771E-11</v>
      </c>
      <c r="AF44" s="2">
        <f>AVERAGE(I21,O21,U21)</f>
        <v>6.8466666666666662E-2</v>
      </c>
      <c r="AG44" s="2">
        <f>_xlfn.STDEV.P(I21,O21,U21)/SQRT(3)</f>
        <v>1.9626135258506261E-4</v>
      </c>
      <c r="AH44" s="2">
        <f t="shared" si="6"/>
        <v>4.6878000000000006E-3</v>
      </c>
      <c r="AI44" s="2">
        <f t="shared" si="11"/>
        <v>2.6839513160015903E-5</v>
      </c>
      <c r="AJ44" s="2">
        <f t="shared" si="12"/>
        <v>4.6788617925085114E-3</v>
      </c>
      <c r="AK44" s="2">
        <f t="shared" si="13"/>
        <v>8.9382074914892695E-6</v>
      </c>
      <c r="AL44" s="2">
        <f t="shared" si="14"/>
        <v>-0.50863830616572736</v>
      </c>
      <c r="AM44" s="2">
        <f t="shared" si="15"/>
        <v>-1.164520815458403</v>
      </c>
    </row>
    <row r="45" spans="3:64" x14ac:dyDescent="0.25">
      <c r="C45" s="2">
        <f>D23</f>
        <v>31.9</v>
      </c>
      <c r="D45" s="2">
        <f>E23</f>
        <v>1.0355301121000001E-2</v>
      </c>
      <c r="E45" s="2">
        <f>F23</f>
        <v>2.2208447114308659E-11</v>
      </c>
      <c r="F45" s="2">
        <f>K23</f>
        <v>5.1840000000000011E-3</v>
      </c>
      <c r="G45" s="2">
        <f>L23</f>
        <v>4.0729350596345144E-5</v>
      </c>
      <c r="H45" s="2">
        <f t="shared" si="3"/>
        <v>5.1460012863071662E-3</v>
      </c>
      <c r="I45" s="2">
        <f t="shared" si="7"/>
        <v>3.799871369283489E-5</v>
      </c>
      <c r="J45" s="2">
        <f>Q23</f>
        <v>5.2562500000000014E-3</v>
      </c>
      <c r="K45" s="2">
        <f>R23</f>
        <v>2.0506096654409882E-5</v>
      </c>
      <c r="L45" s="2">
        <f t="shared" si="4"/>
        <v>5.2490330782636596E-3</v>
      </c>
      <c r="M45" s="2">
        <f t="shared" si="8"/>
        <v>7.2169217363417595E-6</v>
      </c>
      <c r="N45" s="2">
        <f>W23</f>
        <v>5.2804444444444452E-3</v>
      </c>
      <c r="O45" s="2">
        <f>X23</f>
        <v>1.3702158070992658E-5</v>
      </c>
      <c r="P45" s="2">
        <f t="shared" si="5"/>
        <v>5.3198837071074517E-3</v>
      </c>
      <c r="Q45" s="2">
        <f t="shared" si="9"/>
        <v>-3.9439262663006416E-5</v>
      </c>
      <c r="AC45" s="2">
        <f t="shared" si="10"/>
        <v>31.9</v>
      </c>
      <c r="AD45" s="2">
        <f t="shared" si="10"/>
        <v>1.0355301121000001E-2</v>
      </c>
      <c r="AE45" s="2">
        <f t="shared" si="10"/>
        <v>2.2208447114308659E-11</v>
      </c>
      <c r="AF45" s="2">
        <f>AVERAGE(I23,O23,U23)</f>
        <v>7.2388888888888892E-2</v>
      </c>
      <c r="AG45" s="2">
        <f>_xlfn.STDEV.P(I23,O23,U23)/SQRT(3)</f>
        <v>1.6355112715421864E-4</v>
      </c>
      <c r="AH45" s="2">
        <f t="shared" si="6"/>
        <v>5.240231481481482E-3</v>
      </c>
      <c r="AI45" s="2">
        <f t="shared" si="11"/>
        <v>2.3654116004034596E-5</v>
      </c>
      <c r="AJ45" s="2">
        <f t="shared" si="12"/>
        <v>5.2434782530637394E-3</v>
      </c>
      <c r="AK45" s="2">
        <f t="shared" si="13"/>
        <v>-3.2467715822574392E-6</v>
      </c>
      <c r="AL45" s="2">
        <f t="shared" si="14"/>
        <v>-0.49620931694281889</v>
      </c>
      <c r="AM45" s="2">
        <f t="shared" si="15"/>
        <v>-1.1403280893907213</v>
      </c>
    </row>
    <row r="46" spans="3:64" ht="17.25" x14ac:dyDescent="0.25">
      <c r="C46" s="2">
        <f>D25</f>
        <v>0</v>
      </c>
      <c r="D46" s="2">
        <f>E25</f>
        <v>0</v>
      </c>
      <c r="E46" s="2">
        <f>F25</f>
        <v>0</v>
      </c>
      <c r="F46" s="2">
        <f>K25</f>
        <v>0</v>
      </c>
      <c r="G46" s="2">
        <f>L25</f>
        <v>0</v>
      </c>
      <c r="H46" s="2">
        <f t="shared" si="3"/>
        <v>5.5442569470069789E-5</v>
      </c>
      <c r="I46" s="2">
        <f t="shared" si="7"/>
        <v>-5.5442569470069789E-5</v>
      </c>
      <c r="J46" s="2">
        <f>Q25</f>
        <v>0</v>
      </c>
      <c r="K46" s="2">
        <f>R25</f>
        <v>0</v>
      </c>
      <c r="L46" s="2">
        <f t="shared" si="4"/>
        <v>1.6404945163004964E-5</v>
      </c>
      <c r="M46" s="2">
        <f t="shared" si="8"/>
        <v>-1.6404945163004964E-5</v>
      </c>
      <c r="N46" s="2">
        <f>W25</f>
        <v>0</v>
      </c>
      <c r="O46" s="2">
        <f>X25</f>
        <v>0</v>
      </c>
      <c r="P46" s="2">
        <f t="shared" si="5"/>
        <v>3.6103828988264322E-5</v>
      </c>
      <c r="Q46" s="2">
        <f t="shared" si="9"/>
        <v>-3.6103828988264322E-5</v>
      </c>
      <c r="AC46" s="2">
        <f t="shared" ref="AC46:AE49" si="16">C46</f>
        <v>0</v>
      </c>
      <c r="AD46" s="2">
        <f t="shared" si="16"/>
        <v>0</v>
      </c>
      <c r="AE46" s="2">
        <f t="shared" si="16"/>
        <v>0</v>
      </c>
      <c r="AF46" s="2">
        <f>AVERAGE(I25,O25,U25)</f>
        <v>0</v>
      </c>
      <c r="AG46" s="2">
        <f>_xlfn.STDEV.P(I25,O25,U25)/SQRT(3)</f>
        <v>0</v>
      </c>
      <c r="AH46" s="2">
        <f t="shared" si="6"/>
        <v>0</v>
      </c>
      <c r="AI46" s="2">
        <f t="shared" si="11"/>
        <v>0</v>
      </c>
      <c r="AJ46" s="2">
        <f t="shared" si="12"/>
        <v>2.3569481978492034E-5</v>
      </c>
      <c r="AK46" s="2">
        <f t="shared" si="13"/>
        <v>-2.3569481978492034E-5</v>
      </c>
      <c r="AL46" s="2" t="e">
        <f t="shared" si="14"/>
        <v>#NUM!</v>
      </c>
      <c r="AM46" s="2" t="e">
        <f t="shared" si="15"/>
        <v>#NUM!</v>
      </c>
      <c r="AO46" s="15" t="s">
        <v>52</v>
      </c>
      <c r="AP46" s="15"/>
      <c r="AQ46" s="15"/>
      <c r="AR46" s="15"/>
      <c r="AT46" s="3" t="s">
        <v>37</v>
      </c>
      <c r="AU46" s="2">
        <f>5.029*PI()^2 *AF7 /(AP47 *AB12^ 2)</f>
        <v>531512692.04000425</v>
      </c>
      <c r="BF46" s="15" t="s">
        <v>55</v>
      </c>
      <c r="BG46" s="15"/>
      <c r="BH46" s="15"/>
      <c r="BI46" s="15"/>
      <c r="BK46" s="13" t="s">
        <v>47</v>
      </c>
      <c r="BL46" s="14" t="e">
        <f>(BG47-2)/2</f>
        <v>#VALUE!</v>
      </c>
    </row>
    <row r="47" spans="3:64" ht="17.25" x14ac:dyDescent="0.25">
      <c r="C47" s="2">
        <f>D27</f>
        <v>0</v>
      </c>
      <c r="D47" s="2">
        <f>E27</f>
        <v>0</v>
      </c>
      <c r="E47" s="2">
        <f>F27</f>
        <v>0</v>
      </c>
      <c r="F47" s="2">
        <f>K27</f>
        <v>0</v>
      </c>
      <c r="G47" s="2">
        <f>L27</f>
        <v>0</v>
      </c>
      <c r="H47" s="2">
        <f t="shared" si="3"/>
        <v>5.5442569470069789E-5</v>
      </c>
      <c r="I47" s="2">
        <f t="shared" si="7"/>
        <v>-5.5442569470069789E-5</v>
      </c>
      <c r="J47" s="2">
        <f>Q27</f>
        <v>0</v>
      </c>
      <c r="K47" s="2">
        <f>R27</f>
        <v>0</v>
      </c>
      <c r="L47" s="2">
        <f t="shared" si="4"/>
        <v>1.6404945163004964E-5</v>
      </c>
      <c r="M47" s="2">
        <f t="shared" si="8"/>
        <v>-1.6404945163004964E-5</v>
      </c>
      <c r="N47" s="2">
        <f>W27</f>
        <v>0</v>
      </c>
      <c r="O47" s="2">
        <f>X27</f>
        <v>0</v>
      </c>
      <c r="P47" s="2">
        <f t="shared" si="5"/>
        <v>3.6103828988264322E-5</v>
      </c>
      <c r="Q47" s="2">
        <f t="shared" si="9"/>
        <v>-3.6103828988264322E-5</v>
      </c>
      <c r="S47" s="16" t="s">
        <v>36</v>
      </c>
      <c r="T47" s="16"/>
      <c r="U47" s="16"/>
      <c r="V47" s="16"/>
      <c r="W47" s="16"/>
      <c r="AC47" s="2">
        <f t="shared" si="16"/>
        <v>0</v>
      </c>
      <c r="AD47" s="2">
        <f t="shared" si="16"/>
        <v>0</v>
      </c>
      <c r="AE47" s="2">
        <f t="shared" si="16"/>
        <v>0</v>
      </c>
      <c r="AF47" s="2">
        <f>AVERAGE(I27,O27,U27)</f>
        <v>0</v>
      </c>
      <c r="AG47" s="2">
        <f>_xlfn.STDEV.P(I27,O27,U27)/SQRT(3)</f>
        <v>0</v>
      </c>
      <c r="AH47" s="2">
        <f t="shared" si="6"/>
        <v>0</v>
      </c>
      <c r="AI47" s="2">
        <f t="shared" si="11"/>
        <v>0</v>
      </c>
      <c r="AJ47" s="2">
        <f t="shared" si="12"/>
        <v>2.3569481978492034E-5</v>
      </c>
      <c r="AK47" s="2">
        <f t="shared" si="13"/>
        <v>-2.3569481978492034E-5</v>
      </c>
      <c r="AL47" s="2" t="e">
        <f t="shared" si="14"/>
        <v>#NUM!</v>
      </c>
      <c r="AM47" s="2" t="e">
        <f t="shared" si="15"/>
        <v>#NUM!</v>
      </c>
      <c r="AO47" s="4" t="s">
        <v>18</v>
      </c>
      <c r="AP47" s="2">
        <f t="array" ref="AP47:AQ49">LINEST(AH37:AH49,AD37:AD49,1,1)</f>
        <v>0.50408082875538496</v>
      </c>
      <c r="AQ47" s="2">
        <v>2.3569481978492034E-5</v>
      </c>
      <c r="AR47" s="4" t="s">
        <v>31</v>
      </c>
      <c r="AT47" s="3" t="s">
        <v>38</v>
      </c>
      <c r="AU47" s="9">
        <f>SQRT((PI()^2*5.029/((AP47*AB12^2)^2) * AP47 *AB12^ 2*AF8 )^2+(PI()^2*5.029/((AP47*AB12^2)^2)*AF7*AB12^2*AP48)^2+(PI()^2*5.029/((AP47*AB12^2)^2)*AF7*AB12*AP47*AB13)^2)</f>
        <v>3051960612.4405098</v>
      </c>
      <c r="BF47" s="4" t="s">
        <v>18</v>
      </c>
      <c r="BG47" s="2" t="e">
        <f t="array" ref="BG47:BH49">LINEST(AM37:AM49,AL37:AL49,1,1)</f>
        <v>#VALUE!</v>
      </c>
      <c r="BH47" s="2" t="e">
        <v>#VALUE!</v>
      </c>
      <c r="BI47" s="4" t="s">
        <v>31</v>
      </c>
      <c r="BK47" s="13"/>
      <c r="BL47" s="14"/>
    </row>
    <row r="48" spans="3:64" x14ac:dyDescent="0.25">
      <c r="C48" s="2">
        <f>D29</f>
        <v>0</v>
      </c>
      <c r="D48" s="2">
        <f>E29</f>
        <v>0</v>
      </c>
      <c r="E48" s="2">
        <f>F29</f>
        <v>0</v>
      </c>
      <c r="F48" s="2">
        <f>K29</f>
        <v>0</v>
      </c>
      <c r="G48" s="2">
        <f>L29</f>
        <v>0</v>
      </c>
      <c r="H48" s="2">
        <f t="shared" si="3"/>
        <v>5.5442569470069789E-5</v>
      </c>
      <c r="I48" s="2">
        <f t="shared" si="7"/>
        <v>-5.5442569470069789E-5</v>
      </c>
      <c r="J48" s="2">
        <f>Q29</f>
        <v>0</v>
      </c>
      <c r="K48" s="2">
        <f>R29</f>
        <v>0</v>
      </c>
      <c r="L48" s="2">
        <f t="shared" si="4"/>
        <v>1.6404945163004964E-5</v>
      </c>
      <c r="M48" s="2">
        <f t="shared" si="8"/>
        <v>-1.6404945163004964E-5</v>
      </c>
      <c r="N48" s="2">
        <f>W29</f>
        <v>0</v>
      </c>
      <c r="O48" s="2">
        <f>X29</f>
        <v>0</v>
      </c>
      <c r="P48" s="2">
        <f t="shared" si="5"/>
        <v>3.6103828988264322E-5</v>
      </c>
      <c r="Q48" s="2">
        <f t="shared" si="9"/>
        <v>-3.6103828988264322E-5</v>
      </c>
      <c r="AC48" s="2">
        <f t="shared" si="16"/>
        <v>0</v>
      </c>
      <c r="AD48" s="2">
        <f t="shared" si="16"/>
        <v>0</v>
      </c>
      <c r="AE48" s="2">
        <f t="shared" si="16"/>
        <v>0</v>
      </c>
      <c r="AF48" s="2">
        <f>AVERAGE(I29,O29,U29)</f>
        <v>0</v>
      </c>
      <c r="AG48" s="2">
        <f>_xlfn.STDEV.P(I29,O29,U29)/SQRT(3)</f>
        <v>0</v>
      </c>
      <c r="AH48" s="2">
        <f t="shared" si="6"/>
        <v>0</v>
      </c>
      <c r="AI48" s="2">
        <f t="shared" si="11"/>
        <v>0</v>
      </c>
      <c r="AJ48" s="2">
        <f t="shared" si="12"/>
        <v>2.3569481978492034E-5</v>
      </c>
      <c r="AK48" s="2">
        <f t="shared" si="13"/>
        <v>-2.3569481978492034E-5</v>
      </c>
      <c r="AL48" s="2" t="e">
        <f t="shared" si="14"/>
        <v>#NUM!</v>
      </c>
      <c r="AM48" s="2" t="e">
        <f t="shared" si="15"/>
        <v>#NUM!</v>
      </c>
      <c r="AO48" s="4" t="s">
        <v>29</v>
      </c>
      <c r="AP48" s="2">
        <v>3.2965083995963622E-3</v>
      </c>
      <c r="AQ48" s="2">
        <v>1.7739324727123826E-5</v>
      </c>
      <c r="AR48" s="4" t="s">
        <v>32</v>
      </c>
      <c r="AT48" s="3" t="s">
        <v>39</v>
      </c>
      <c r="AU48" s="6">
        <f>AU47/AU46</f>
        <v>5.7420277222858944</v>
      </c>
      <c r="BF48" s="4" t="s">
        <v>29</v>
      </c>
      <c r="BG48" s="2" t="e">
        <v>#VALUE!</v>
      </c>
      <c r="BH48" s="2" t="e">
        <v>#VALUE!</v>
      </c>
      <c r="BI48" s="4" t="s">
        <v>32</v>
      </c>
      <c r="BK48" s="13" t="s">
        <v>48</v>
      </c>
      <c r="BL48" s="14" t="e">
        <f>BG48/BG47</f>
        <v>#VALUE!</v>
      </c>
    </row>
    <row r="49" spans="3:64" ht="18" x14ac:dyDescent="0.25">
      <c r="C49" s="2">
        <f>D31</f>
        <v>0</v>
      </c>
      <c r="D49" s="2">
        <f>E31</f>
        <v>0</v>
      </c>
      <c r="E49" s="2">
        <f>F31</f>
        <v>0</v>
      </c>
      <c r="F49" s="2">
        <f>K31</f>
        <v>0</v>
      </c>
      <c r="G49" s="2">
        <f>L31</f>
        <v>0</v>
      </c>
      <c r="H49" s="2">
        <f t="shared" si="3"/>
        <v>5.5442569470069789E-5</v>
      </c>
      <c r="I49" s="2">
        <f t="shared" si="7"/>
        <v>-5.5442569470069789E-5</v>
      </c>
      <c r="J49" s="2">
        <f>Q31</f>
        <v>0</v>
      </c>
      <c r="K49" s="2">
        <f>R31</f>
        <v>0</v>
      </c>
      <c r="L49" s="2">
        <f t="shared" si="4"/>
        <v>1.6404945163004964E-5</v>
      </c>
      <c r="M49" s="2">
        <f t="shared" si="8"/>
        <v>-1.6404945163004964E-5</v>
      </c>
      <c r="N49" s="2">
        <f>W31</f>
        <v>0</v>
      </c>
      <c r="O49" s="2">
        <f>X31</f>
        <v>0</v>
      </c>
      <c r="P49" s="2">
        <f t="shared" si="5"/>
        <v>3.6103828988264322E-5</v>
      </c>
      <c r="Q49" s="2">
        <f t="shared" si="9"/>
        <v>-3.6103828988264322E-5</v>
      </c>
      <c r="AC49" s="2">
        <f t="shared" si="16"/>
        <v>0</v>
      </c>
      <c r="AD49" s="2">
        <f t="shared" si="16"/>
        <v>0</v>
      </c>
      <c r="AE49" s="2">
        <f t="shared" si="16"/>
        <v>0</v>
      </c>
      <c r="AF49" s="2">
        <f>AVERAGE(I31,O31,U31)</f>
        <v>0</v>
      </c>
      <c r="AG49" s="2">
        <f>_xlfn.STDEV.P(I31,O31,U31)/SQRT(3)</f>
        <v>0</v>
      </c>
      <c r="AH49" s="2">
        <f t="shared" si="6"/>
        <v>0</v>
      </c>
      <c r="AI49" s="2">
        <f t="shared" si="11"/>
        <v>0</v>
      </c>
      <c r="AJ49" s="2">
        <f t="shared" si="12"/>
        <v>2.3569481978492034E-5</v>
      </c>
      <c r="AK49" s="2">
        <f t="shared" si="13"/>
        <v>-2.3569481978492034E-5</v>
      </c>
      <c r="AL49" s="2" t="e">
        <f t="shared" si="14"/>
        <v>#NUM!</v>
      </c>
      <c r="AM49" s="2" t="e">
        <f t="shared" si="15"/>
        <v>#NUM!</v>
      </c>
      <c r="AO49" s="4" t="s">
        <v>30</v>
      </c>
      <c r="AP49" s="2">
        <v>0.99952978504511392</v>
      </c>
      <c r="AQ49" s="2">
        <v>4.3287950282751015E-5</v>
      </c>
      <c r="AR49" s="4" t="s">
        <v>33</v>
      </c>
      <c r="AT49" s="3" t="s">
        <v>49</v>
      </c>
      <c r="AU49" s="9">
        <f>200*10^9</f>
        <v>200000000000</v>
      </c>
      <c r="BF49" s="4" t="s">
        <v>30</v>
      </c>
      <c r="BG49" s="2" t="e">
        <v>#VALUE!</v>
      </c>
      <c r="BH49" s="2" t="e">
        <v>#VALUE!</v>
      </c>
      <c r="BI49" s="4" t="s">
        <v>33</v>
      </c>
      <c r="BK49" s="13"/>
      <c r="BL49" s="14"/>
    </row>
    <row r="50" spans="3:64" x14ac:dyDescent="0.25">
      <c r="AT50" s="3" t="s">
        <v>50</v>
      </c>
      <c r="AU50" s="6">
        <f>(AU46-AU49)/AU49</f>
        <v>-0.99734243653979993</v>
      </c>
    </row>
    <row r="75" spans="8:26" x14ac:dyDescent="0.25">
      <c r="H75" s="4" t="s">
        <v>42</v>
      </c>
      <c r="I75" s="4" t="s">
        <v>43</v>
      </c>
      <c r="P75" s="4" t="s">
        <v>42</v>
      </c>
      <c r="Q75" s="4" t="s">
        <v>43</v>
      </c>
      <c r="Y75" s="4" t="s">
        <v>42</v>
      </c>
      <c r="Z75" s="4" t="s">
        <v>43</v>
      </c>
    </row>
    <row r="76" spans="8:26" x14ac:dyDescent="0.25">
      <c r="H76" s="2">
        <f t="shared" ref="H76:H88" si="17">LOG(C37/100)</f>
        <v>-0.74472749489669399</v>
      </c>
      <c r="I76" s="2">
        <f>LOG(I7)</f>
        <v>-1.6234230429434879</v>
      </c>
      <c r="P76" s="2">
        <f>H76</f>
        <v>-0.74472749489669399</v>
      </c>
      <c r="Q76" s="2">
        <f>LOG(O7)</f>
        <v>-1.6289321377282637</v>
      </c>
      <c r="Y76" s="2">
        <f>P76</f>
        <v>-0.74472749489669399</v>
      </c>
      <c r="Z76" s="2">
        <f>LOG(U7)</f>
        <v>-1.6258629060005871</v>
      </c>
    </row>
    <row r="77" spans="8:26" x14ac:dyDescent="0.25">
      <c r="H77" s="2">
        <f t="shared" si="17"/>
        <v>-0.66354026615147055</v>
      </c>
      <c r="I77" s="2">
        <f>LOG(I9)</f>
        <v>-1.4685210829577449</v>
      </c>
      <c r="P77" s="2">
        <f t="shared" ref="P77:P88" si="18">H77</f>
        <v>-0.66354026615147055</v>
      </c>
      <c r="Q77" s="2">
        <f>LOG(O9)</f>
        <v>-1.4634415574284698</v>
      </c>
      <c r="Y77" s="2">
        <f t="shared" ref="Y77:Y88" si="19">P77</f>
        <v>-0.66354026615147055</v>
      </c>
      <c r="Z77" s="2">
        <f>LOG(U9)</f>
        <v>-1.4634415574284698</v>
      </c>
    </row>
    <row r="78" spans="8:26" x14ac:dyDescent="0.25">
      <c r="H78" s="2">
        <f t="shared" si="17"/>
        <v>-0.61798295742513154</v>
      </c>
      <c r="I78" s="2">
        <f>LOG(I11)</f>
        <v>-1.3788237182249647</v>
      </c>
      <c r="P78" s="2">
        <f t="shared" si="18"/>
        <v>-0.61798295742513154</v>
      </c>
      <c r="Q78" s="2">
        <f>LOG(O11)</f>
        <v>-1.3757179041643317</v>
      </c>
      <c r="Y78" s="2">
        <f t="shared" si="19"/>
        <v>-0.61798295742513154</v>
      </c>
      <c r="Z78" s="2">
        <f>LOG(U11)</f>
        <v>-1.3740020011739484</v>
      </c>
    </row>
    <row r="79" spans="8:26" x14ac:dyDescent="0.25">
      <c r="H79" s="2">
        <f t="shared" si="17"/>
        <v>-0.58502665202918203</v>
      </c>
      <c r="I79" s="2">
        <f>LOG(I13)</f>
        <v>-1.3223930472795069</v>
      </c>
      <c r="P79" s="2">
        <f t="shared" si="18"/>
        <v>-0.58502665202918203</v>
      </c>
      <c r="Q79" s="2">
        <f>LOG(O13)</f>
        <v>-1.3196644865854368</v>
      </c>
      <c r="Y79" s="2">
        <f t="shared" si="19"/>
        <v>-0.58502665202918203</v>
      </c>
      <c r="Z79" s="2">
        <f>LOG(U13)</f>
        <v>-1.2912958951067002</v>
      </c>
    </row>
    <row r="80" spans="8:26" x14ac:dyDescent="0.25">
      <c r="H80" s="2">
        <f t="shared" si="17"/>
        <v>-0.56066730616973737</v>
      </c>
      <c r="I80" s="2">
        <f>LOG(I15)</f>
        <v>-1.2692177243336109</v>
      </c>
      <c r="P80" s="2">
        <f t="shared" si="18"/>
        <v>-0.56066730616973737</v>
      </c>
      <c r="Q80" s="2">
        <f>LOG(O15)</f>
        <v>-1.2652001704111531</v>
      </c>
      <c r="Y80" s="2">
        <f t="shared" si="19"/>
        <v>-0.56066730616973737</v>
      </c>
      <c r="Z80" s="2">
        <f>LOG(U15)</f>
        <v>-1.2633379553843582</v>
      </c>
    </row>
    <row r="81" spans="8:26" x14ac:dyDescent="0.25">
      <c r="H81" s="2">
        <f t="shared" si="17"/>
        <v>-0.54060751224076908</v>
      </c>
      <c r="I81" s="2">
        <f>LOG(I17)</f>
        <v>-1.2321023839819094</v>
      </c>
      <c r="P81" s="2">
        <f t="shared" si="18"/>
        <v>-0.54060751224076908</v>
      </c>
      <c r="Q81" s="2">
        <f>LOG(O17)</f>
        <v>-1.2269453066357374</v>
      </c>
      <c r="Y81" s="2">
        <f t="shared" si="19"/>
        <v>-0.54060751224076908</v>
      </c>
      <c r="Z81" s="2">
        <f>LOG(U17)</f>
        <v>-1.225239800167135</v>
      </c>
    </row>
    <row r="82" spans="8:26" x14ac:dyDescent="0.25">
      <c r="H82" s="2">
        <f t="shared" si="17"/>
        <v>-0.52287874528033762</v>
      </c>
      <c r="I82" s="2">
        <f>LOG(I19)</f>
        <v>-1.2020403562628039</v>
      </c>
      <c r="P82" s="2">
        <f t="shared" si="18"/>
        <v>-0.52287874528033762</v>
      </c>
      <c r="Q82" s="2">
        <f>LOG(O19)</f>
        <v>-1.198596289982645</v>
      </c>
      <c r="Y82" s="2">
        <f t="shared" si="19"/>
        <v>-0.52287874528033762</v>
      </c>
      <c r="Z82" s="2">
        <f>LOG(U19)</f>
        <v>-1.1951793212788377</v>
      </c>
    </row>
    <row r="83" spans="8:26" x14ac:dyDescent="0.25">
      <c r="H83" s="2">
        <f t="shared" si="17"/>
        <v>-0.50863830616572736</v>
      </c>
      <c r="I83" s="2">
        <f>LOG(I21)</f>
        <v>-1.1674910872937636</v>
      </c>
      <c r="P83" s="2">
        <f t="shared" si="18"/>
        <v>-0.50863830616572736</v>
      </c>
      <c r="Q83" s="2">
        <f>LOG(O21)</f>
        <v>-1.1636758842932482</v>
      </c>
      <c r="Y83" s="2">
        <f t="shared" si="19"/>
        <v>-0.50863830616572736</v>
      </c>
      <c r="Z83" s="2">
        <f>LOG(U21)</f>
        <v>-1.1624115617644888</v>
      </c>
    </row>
    <row r="84" spans="8:26" x14ac:dyDescent="0.25">
      <c r="H84" s="2">
        <f t="shared" si="17"/>
        <v>-0.49620931694281889</v>
      </c>
      <c r="I84" s="2">
        <f>LOG(I23)</f>
        <v>-1.1426675035687315</v>
      </c>
      <c r="P84" s="2">
        <f t="shared" si="18"/>
        <v>-0.49620931694281889</v>
      </c>
      <c r="Q84" s="2">
        <f>LOG(O23)</f>
        <v>-1.1396619934290062</v>
      </c>
      <c r="Y84" s="2">
        <f t="shared" si="19"/>
        <v>-0.49620931694281889</v>
      </c>
      <c r="Z84" s="2">
        <f>LOG(U23)</f>
        <v>-1.1386647611150575</v>
      </c>
    </row>
    <row r="85" spans="8:26" x14ac:dyDescent="0.25">
      <c r="H85" s="2" t="e">
        <f t="shared" si="17"/>
        <v>#NUM!</v>
      </c>
      <c r="I85" s="2" t="e">
        <f>LOG(I25)</f>
        <v>#NUM!</v>
      </c>
      <c r="P85" s="2" t="e">
        <f t="shared" si="18"/>
        <v>#NUM!</v>
      </c>
      <c r="Q85" s="2" t="e">
        <f>LOG(O25)</f>
        <v>#NUM!</v>
      </c>
      <c r="Y85" s="2" t="e">
        <f t="shared" si="19"/>
        <v>#NUM!</v>
      </c>
      <c r="Z85" s="2" t="e">
        <f>LOG(U25)</f>
        <v>#NUM!</v>
      </c>
    </row>
    <row r="86" spans="8:26" x14ac:dyDescent="0.25">
      <c r="H86" s="2" t="e">
        <f t="shared" si="17"/>
        <v>#NUM!</v>
      </c>
      <c r="I86" s="2" t="e">
        <f>LOG(I27)</f>
        <v>#NUM!</v>
      </c>
      <c r="P86" s="2" t="e">
        <f t="shared" si="18"/>
        <v>#NUM!</v>
      </c>
      <c r="Q86" s="2" t="e">
        <f>LOG(O27)</f>
        <v>#NUM!</v>
      </c>
      <c r="Y86" s="2" t="e">
        <f t="shared" si="19"/>
        <v>#NUM!</v>
      </c>
      <c r="Z86" s="2" t="e">
        <f>LOG(U27)</f>
        <v>#NUM!</v>
      </c>
    </row>
    <row r="87" spans="8:26" x14ac:dyDescent="0.25">
      <c r="H87" s="2" t="e">
        <f t="shared" si="17"/>
        <v>#NUM!</v>
      </c>
      <c r="I87" s="2" t="e">
        <f>LOG(I29)</f>
        <v>#NUM!</v>
      </c>
      <c r="P87" s="2" t="e">
        <f t="shared" si="18"/>
        <v>#NUM!</v>
      </c>
      <c r="Q87" s="2" t="e">
        <f>LOG(O29)</f>
        <v>#NUM!</v>
      </c>
      <c r="Y87" s="2" t="e">
        <f t="shared" si="19"/>
        <v>#NUM!</v>
      </c>
      <c r="Z87" s="2" t="e">
        <f>LOG(U29)</f>
        <v>#NUM!</v>
      </c>
    </row>
    <row r="88" spans="8:26" x14ac:dyDescent="0.25">
      <c r="H88" s="2" t="e">
        <f t="shared" si="17"/>
        <v>#NUM!</v>
      </c>
      <c r="I88" s="2" t="e">
        <f>LOG(I31)</f>
        <v>#NUM!</v>
      </c>
      <c r="P88" s="2" t="e">
        <f t="shared" si="18"/>
        <v>#NUM!</v>
      </c>
      <c r="Q88" s="2" t="e">
        <f>LOG(O31)</f>
        <v>#NUM!</v>
      </c>
      <c r="Y88" s="2" t="e">
        <f t="shared" si="19"/>
        <v>#NUM!</v>
      </c>
      <c r="Z88" s="2" t="e">
        <f>LOG(U31)</f>
        <v>#NUM!</v>
      </c>
    </row>
    <row r="101" spans="2:21" ht="17.25" x14ac:dyDescent="0.25">
      <c r="B101" s="15" t="s">
        <v>28</v>
      </c>
      <c r="C101" s="15"/>
      <c r="D101" s="15"/>
      <c r="E101" s="15"/>
      <c r="K101" s="15" t="s">
        <v>34</v>
      </c>
      <c r="L101" s="15"/>
      <c r="M101" s="15"/>
      <c r="N101" s="15"/>
      <c r="R101" s="15" t="s">
        <v>35</v>
      </c>
      <c r="S101" s="15"/>
      <c r="T101" s="15"/>
      <c r="U101" s="15"/>
    </row>
    <row r="102" spans="2:21" x14ac:dyDescent="0.25">
      <c r="B102" s="4" t="s">
        <v>18</v>
      </c>
      <c r="C102" s="2">
        <f t="array" ref="C102:D104">LINEST(F37:F45,D37:D45,1,1)</f>
        <v>0.4915896367816589</v>
      </c>
      <c r="D102" s="2">
        <v>5.5442569470069789E-5</v>
      </c>
      <c r="E102" s="4" t="s">
        <v>31</v>
      </c>
      <c r="K102" s="4" t="s">
        <v>18</v>
      </c>
      <c r="L102" s="2">
        <f t="array" ref="L102:M104">LINEST(J37:J49,D37:D49,1,1)</f>
        <v>0.50530912350671897</v>
      </c>
      <c r="M102" s="2">
        <v>1.6404945163004964E-5</v>
      </c>
      <c r="N102" s="4" t="s">
        <v>31</v>
      </c>
      <c r="R102" s="4" t="s">
        <v>18</v>
      </c>
      <c r="S102" s="2">
        <f t="array" ref="S102:T104">LINEST(N37:N49,D37:D49,1,1)</f>
        <v>0.51024879106643861</v>
      </c>
      <c r="T102" s="2">
        <v>3.6103828988264322E-5</v>
      </c>
      <c r="U102" s="4" t="s">
        <v>31</v>
      </c>
    </row>
    <row r="103" spans="2:21" x14ac:dyDescent="0.25">
      <c r="B103" s="4" t="s">
        <v>29</v>
      </c>
      <c r="C103" s="2">
        <v>5.0043171789404782E-3</v>
      </c>
      <c r="D103" s="2">
        <v>3.2365188925025776E-5</v>
      </c>
      <c r="E103" s="4" t="s">
        <v>32</v>
      </c>
      <c r="K103" s="4" t="s">
        <v>29</v>
      </c>
      <c r="L103" s="2">
        <v>3.2717953320135344E-3</v>
      </c>
      <c r="M103" s="2">
        <v>1.7606337615394087E-5</v>
      </c>
      <c r="N103" s="4" t="s">
        <v>32</v>
      </c>
      <c r="R103" s="4" t="s">
        <v>29</v>
      </c>
      <c r="S103" s="2">
        <v>6.4642962676171312E-3</v>
      </c>
      <c r="T103" s="2">
        <v>3.4785972527064014E-5</v>
      </c>
      <c r="U103" s="4" t="s">
        <v>32</v>
      </c>
    </row>
    <row r="104" spans="2:21" ht="17.25" x14ac:dyDescent="0.25">
      <c r="B104" s="4" t="s">
        <v>30</v>
      </c>
      <c r="C104" s="2">
        <v>0.99927511797336399</v>
      </c>
      <c r="D104" s="2">
        <v>4.5249958800552205E-5</v>
      </c>
      <c r="E104" s="4" t="s">
        <v>33</v>
      </c>
      <c r="K104" s="4" t="s">
        <v>30</v>
      </c>
      <c r="L104" s="2">
        <v>0.99953905359714001</v>
      </c>
      <c r="M104" s="2">
        <v>4.2963431758548044E-5</v>
      </c>
      <c r="N104" s="4" t="s">
        <v>33</v>
      </c>
      <c r="R104" s="4" t="s">
        <v>30</v>
      </c>
      <c r="S104" s="2">
        <v>0.99823759732070405</v>
      </c>
      <c r="T104" s="2">
        <v>8.4885612753131883E-5</v>
      </c>
      <c r="U104" s="4" t="s">
        <v>33</v>
      </c>
    </row>
    <row r="106" spans="2:21" x14ac:dyDescent="0.25">
      <c r="B106" s="15" t="s">
        <v>44</v>
      </c>
      <c r="C106" s="15"/>
      <c r="D106" s="15"/>
      <c r="E106" s="15"/>
      <c r="K106" s="15" t="s">
        <v>45</v>
      </c>
      <c r="L106" s="15"/>
      <c r="M106" s="15"/>
      <c r="N106" s="15"/>
      <c r="R106" s="15" t="s">
        <v>46</v>
      </c>
      <c r="S106" s="15"/>
      <c r="T106" s="15"/>
      <c r="U106" s="15"/>
    </row>
    <row r="107" spans="2:21" x14ac:dyDescent="0.25">
      <c r="B107" s="4" t="s">
        <v>18</v>
      </c>
      <c r="C107" s="2">
        <f t="array" ref="C107:D109">LINEST(I76:I84,H76:H84,1,1)</f>
        <v>1.9252290776962084</v>
      </c>
      <c r="D107" s="2">
        <v>-0.1908825881223366</v>
      </c>
      <c r="E107" s="4" t="s">
        <v>31</v>
      </c>
      <c r="K107" s="4" t="s">
        <v>18</v>
      </c>
      <c r="L107" s="2" t="e">
        <f t="array" ref="L107:M109">LINEST(Q76:Q88,P76:P88,1,1)</f>
        <v>#VALUE!</v>
      </c>
      <c r="M107" s="2" t="e">
        <v>#VALUE!</v>
      </c>
      <c r="N107" s="4" t="s">
        <v>31</v>
      </c>
      <c r="R107" s="4" t="s">
        <v>18</v>
      </c>
      <c r="S107" s="2" t="e">
        <f t="array" ref="S107:T109">LINEST(Z76:Z88,Y76:Y88,1,1)</f>
        <v>#VALUE!</v>
      </c>
      <c r="T107" s="2" t="e">
        <v>#VALUE!</v>
      </c>
      <c r="U107" s="4" t="s">
        <v>31</v>
      </c>
    </row>
    <row r="108" spans="2:21" x14ac:dyDescent="0.25">
      <c r="B108" s="4" t="s">
        <v>29</v>
      </c>
      <c r="C108" s="2">
        <v>1.4036804975698477E-2</v>
      </c>
      <c r="D108" s="2">
        <v>8.243437580909032E-3</v>
      </c>
      <c r="E108" s="4" t="s">
        <v>32</v>
      </c>
      <c r="K108" s="4" t="s">
        <v>29</v>
      </c>
      <c r="L108" s="2" t="e">
        <v>#VALUE!</v>
      </c>
      <c r="M108" s="2" t="e">
        <v>#VALUE!</v>
      </c>
      <c r="N108" s="4" t="s">
        <v>32</v>
      </c>
      <c r="R108" s="4" t="s">
        <v>29</v>
      </c>
      <c r="S108" s="2" t="e">
        <v>#VALUE!</v>
      </c>
      <c r="T108" s="2" t="e">
        <v>#VALUE!</v>
      </c>
      <c r="U108" s="4" t="s">
        <v>32</v>
      </c>
    </row>
    <row r="109" spans="2:21" ht="17.25" x14ac:dyDescent="0.25">
      <c r="B109" s="4" t="s">
        <v>30</v>
      </c>
      <c r="C109" s="2">
        <v>0.99962802977927645</v>
      </c>
      <c r="D109" s="2">
        <v>3.2265767525687271E-3</v>
      </c>
      <c r="E109" s="4" t="s">
        <v>33</v>
      </c>
      <c r="K109" s="4" t="s">
        <v>30</v>
      </c>
      <c r="L109" s="2" t="e">
        <v>#VALUE!</v>
      </c>
      <c r="M109" s="2" t="e">
        <v>#VALUE!</v>
      </c>
      <c r="N109" s="4" t="s">
        <v>33</v>
      </c>
      <c r="R109" s="4" t="s">
        <v>30</v>
      </c>
      <c r="S109" s="2" t="e">
        <v>#VALUE!</v>
      </c>
      <c r="T109" s="2" t="e">
        <v>#VALUE!</v>
      </c>
      <c r="U109" s="4" t="s">
        <v>33</v>
      </c>
    </row>
    <row r="111" spans="2:21" ht="17.25" x14ac:dyDescent="0.25">
      <c r="C111" s="3" t="s">
        <v>37</v>
      </c>
      <c r="D111" s="2">
        <f>5.029*PI()^2 *AF7 /(C102 * AB12^2)</f>
        <v>545018320.67003262</v>
      </c>
      <c r="L111" s="3" t="s">
        <v>37</v>
      </c>
      <c r="M111" s="2">
        <f>5.029*PI()^2 *AF7 /(L102 * AB12^2)</f>
        <v>530220702.20738554</v>
      </c>
      <c r="R111" s="3" t="s">
        <v>37</v>
      </c>
      <c r="S111" s="2">
        <f>5.029*PI()^2 *AF7 /(S102 * AB12^2)</f>
        <v>525087688.571603</v>
      </c>
    </row>
    <row r="112" spans="2:21" ht="17.25" x14ac:dyDescent="0.25">
      <c r="C112" s="3" t="s">
        <v>38</v>
      </c>
      <c r="D112" s="9">
        <f>SQRT((PI()^2*5.029/((C102*AB12^2)^2) * C102 * AB12^2*AF8 )^2+(PI()^2*5.029/((C102*AB12^2)^2)*AF7*AB12^2*C103)^2+(PI()^2*5.029/((C102*AB12^2)^2)*AF7*AB12*C102*AB13)^2)</f>
        <v>3129513194.9075651</v>
      </c>
      <c r="L112" s="3" t="s">
        <v>38</v>
      </c>
      <c r="M112" s="9">
        <f>SQRT((PI()^2*5.029/((L102*AB12^2)^2) * L102 * AB12^2*AF8 )^2+(PI()^2*5.029/((L102*AB12^2)^2)*AF7*AB12^2*L103)^2+(PI()^2*5.029/((L102*AB12^2)^2)*AF7*AB12*L102*AB13)^2)</f>
        <v>3044541932.0656734</v>
      </c>
      <c r="R112" s="3" t="s">
        <v>38</v>
      </c>
      <c r="S112" s="9">
        <f>SQRT((PI()^2*5.029/((S102*AB12^2)^2) * S102 * AB12^2*AF8 )^2+(PI()^2*5.029/((S102*AB12^2)^2)*AF7*AB12^2*S103)^2+(PI()^2*5.029/((S102*AB12^2)^2)*AF7*AB12*S102*AB13)^2)</f>
        <v>3015073447.5957155</v>
      </c>
    </row>
    <row r="113" spans="3:19" x14ac:dyDescent="0.25">
      <c r="C113" s="3" t="s">
        <v>39</v>
      </c>
      <c r="D113" s="6">
        <f>D112/D111</f>
        <v>5.7420330220463338</v>
      </c>
      <c r="L113" s="3" t="s">
        <v>39</v>
      </c>
      <c r="M113" s="6">
        <f>M112/M111</f>
        <v>5.7420276488466113</v>
      </c>
      <c r="R113" s="3" t="s">
        <v>39</v>
      </c>
      <c r="S113" s="6">
        <f>S112/S111</f>
        <v>5.7420379742622139</v>
      </c>
    </row>
    <row r="114" spans="3:19" ht="18" x14ac:dyDescent="0.25">
      <c r="C114" s="3" t="s">
        <v>49</v>
      </c>
      <c r="D114" s="9">
        <f>200*10^9</f>
        <v>200000000000</v>
      </c>
      <c r="L114" s="3" t="s">
        <v>49</v>
      </c>
      <c r="M114" s="9">
        <f>200*10^9</f>
        <v>200000000000</v>
      </c>
      <c r="R114" s="3" t="s">
        <v>49</v>
      </c>
      <c r="S114" s="9">
        <f>200*10^9</f>
        <v>200000000000</v>
      </c>
    </row>
    <row r="115" spans="3:19" x14ac:dyDescent="0.25">
      <c r="C115" s="3" t="s">
        <v>50</v>
      </c>
      <c r="D115" s="6">
        <f>(D111-D114)/D114</f>
        <v>-0.99727490839664978</v>
      </c>
      <c r="L115" s="3" t="s">
        <v>50</v>
      </c>
      <c r="M115" s="6">
        <f>(M111-M114)/M114</f>
        <v>-0.99734889648896297</v>
      </c>
      <c r="R115" s="3" t="s">
        <v>50</v>
      </c>
      <c r="S115" s="6">
        <f>(S111-S114)/S114</f>
        <v>-0.99737456155714199</v>
      </c>
    </row>
    <row r="117" spans="3:19" ht="14.45" customHeight="1" x14ac:dyDescent="0.25">
      <c r="C117" s="13" t="s">
        <v>47</v>
      </c>
      <c r="D117" s="14">
        <f>(C107-2)/2</f>
        <v>-3.7385461151895782E-2</v>
      </c>
      <c r="L117" s="13" t="s">
        <v>47</v>
      </c>
      <c r="M117" s="14" t="e">
        <f>(L107-2)/2</f>
        <v>#VALUE!</v>
      </c>
      <c r="R117" s="13" t="s">
        <v>47</v>
      </c>
      <c r="S117" s="14" t="e">
        <f>(S107-2)/2</f>
        <v>#VALUE!</v>
      </c>
    </row>
    <row r="118" spans="3:19" x14ac:dyDescent="0.25">
      <c r="C118" s="13"/>
      <c r="D118" s="14"/>
      <c r="L118" s="13"/>
      <c r="M118" s="14"/>
      <c r="R118" s="13"/>
      <c r="S118" s="14"/>
    </row>
    <row r="119" spans="3:19" ht="14.45" customHeight="1" x14ac:dyDescent="0.25">
      <c r="C119" s="13" t="s">
        <v>48</v>
      </c>
      <c r="D119" s="14">
        <f>C108/C107</f>
        <v>7.290979103897274E-3</v>
      </c>
      <c r="L119" s="13" t="s">
        <v>48</v>
      </c>
      <c r="M119" s="14" t="e">
        <f>L108/L107</f>
        <v>#VALUE!</v>
      </c>
      <c r="R119" s="13" t="s">
        <v>48</v>
      </c>
      <c r="S119" s="14" t="e">
        <f>S108/S107</f>
        <v>#VALUE!</v>
      </c>
    </row>
    <row r="120" spans="3:19" x14ac:dyDescent="0.25">
      <c r="C120" s="13"/>
      <c r="D120" s="14"/>
      <c r="L120" s="13"/>
      <c r="M120" s="14"/>
      <c r="R120" s="13"/>
      <c r="S120" s="14"/>
    </row>
  </sheetData>
  <mergeCells count="263">
    <mergeCell ref="AA5:AC5"/>
    <mergeCell ref="B7:B8"/>
    <mergeCell ref="C7:C8"/>
    <mergeCell ref="D7:D8"/>
    <mergeCell ref="E7:E8"/>
    <mergeCell ref="F7:F8"/>
    <mergeCell ref="I7:I8"/>
    <mergeCell ref="J7:J8"/>
    <mergeCell ref="K7:K8"/>
    <mergeCell ref="L7:L8"/>
    <mergeCell ref="D5:D6"/>
    <mergeCell ref="E5:E6"/>
    <mergeCell ref="F5:F6"/>
    <mergeCell ref="G5:L5"/>
    <mergeCell ref="M5:R5"/>
    <mergeCell ref="S5:X5"/>
    <mergeCell ref="W7:W8"/>
    <mergeCell ref="X7:X8"/>
    <mergeCell ref="B9:B10"/>
    <mergeCell ref="C9:C10"/>
    <mergeCell ref="D9:D10"/>
    <mergeCell ref="E9:E10"/>
    <mergeCell ref="F9:F10"/>
    <mergeCell ref="I9:I10"/>
    <mergeCell ref="J9:J10"/>
    <mergeCell ref="K9:K10"/>
    <mergeCell ref="O7:O8"/>
    <mergeCell ref="P7:P8"/>
    <mergeCell ref="Q7:Q8"/>
    <mergeCell ref="R7:R8"/>
    <mergeCell ref="U7:U8"/>
    <mergeCell ref="V7:V8"/>
    <mergeCell ref="V9:V10"/>
    <mergeCell ref="W9:W10"/>
    <mergeCell ref="X9:X10"/>
    <mergeCell ref="B11:B12"/>
    <mergeCell ref="C11:C12"/>
    <mergeCell ref="D11:D12"/>
    <mergeCell ref="E11:E12"/>
    <mergeCell ref="F11:F12"/>
    <mergeCell ref="I11:I12"/>
    <mergeCell ref="J11:J12"/>
    <mergeCell ref="L9:L10"/>
    <mergeCell ref="O9:O10"/>
    <mergeCell ref="P9:P10"/>
    <mergeCell ref="Q9:Q10"/>
    <mergeCell ref="R9:R10"/>
    <mergeCell ref="U9:U10"/>
    <mergeCell ref="U11:U12"/>
    <mergeCell ref="V11:V12"/>
    <mergeCell ref="W11:W12"/>
    <mergeCell ref="X11:X12"/>
    <mergeCell ref="B13:B14"/>
    <mergeCell ref="C13:C14"/>
    <mergeCell ref="D13:D14"/>
    <mergeCell ref="E13:E14"/>
    <mergeCell ref="F13:F14"/>
    <mergeCell ref="I13:I14"/>
    <mergeCell ref="K11:K12"/>
    <mergeCell ref="L11:L12"/>
    <mergeCell ref="O11:O12"/>
    <mergeCell ref="P11:P12"/>
    <mergeCell ref="Q11:Q12"/>
    <mergeCell ref="R11:R12"/>
    <mergeCell ref="R13:R14"/>
    <mergeCell ref="U13:U14"/>
    <mergeCell ref="V13:V14"/>
    <mergeCell ref="W13:W14"/>
    <mergeCell ref="X13:X14"/>
    <mergeCell ref="B15:B16"/>
    <mergeCell ref="C15:C16"/>
    <mergeCell ref="D15:D16"/>
    <mergeCell ref="E15:E16"/>
    <mergeCell ref="F15:F16"/>
    <mergeCell ref="J13:J14"/>
    <mergeCell ref="K13:K14"/>
    <mergeCell ref="L13:L14"/>
    <mergeCell ref="O13:O14"/>
    <mergeCell ref="P13:P14"/>
    <mergeCell ref="Q13:Q14"/>
    <mergeCell ref="Q15:Q16"/>
    <mergeCell ref="R15:R16"/>
    <mergeCell ref="U15:U16"/>
    <mergeCell ref="V15:V16"/>
    <mergeCell ref="W15:W16"/>
    <mergeCell ref="X15:X16"/>
    <mergeCell ref="I15:I16"/>
    <mergeCell ref="J15:J16"/>
    <mergeCell ref="K15:K16"/>
    <mergeCell ref="L15:L16"/>
    <mergeCell ref="O15:O16"/>
    <mergeCell ref="P15:P16"/>
    <mergeCell ref="R17:R18"/>
    <mergeCell ref="U17:U18"/>
    <mergeCell ref="V17:V18"/>
    <mergeCell ref="W17:W18"/>
    <mergeCell ref="X17:X18"/>
    <mergeCell ref="B19:B20"/>
    <mergeCell ref="C19:C20"/>
    <mergeCell ref="D19:D20"/>
    <mergeCell ref="E19:E20"/>
    <mergeCell ref="F19:F20"/>
    <mergeCell ref="J17:J18"/>
    <mergeCell ref="K17:K18"/>
    <mergeCell ref="L17:L18"/>
    <mergeCell ref="O17:O18"/>
    <mergeCell ref="P17:P18"/>
    <mergeCell ref="Q17:Q18"/>
    <mergeCell ref="B17:B18"/>
    <mergeCell ref="C17:C18"/>
    <mergeCell ref="D17:D18"/>
    <mergeCell ref="E17:E18"/>
    <mergeCell ref="F17:F18"/>
    <mergeCell ref="I17:I18"/>
    <mergeCell ref="Q19:Q20"/>
    <mergeCell ref="R19:R20"/>
    <mergeCell ref="U19:U20"/>
    <mergeCell ref="V19:V20"/>
    <mergeCell ref="W19:W20"/>
    <mergeCell ref="X19:X20"/>
    <mergeCell ref="I19:I20"/>
    <mergeCell ref="J19:J20"/>
    <mergeCell ref="K19:K20"/>
    <mergeCell ref="L19:L20"/>
    <mergeCell ref="O19:O20"/>
    <mergeCell ref="P19:P20"/>
    <mergeCell ref="R21:R22"/>
    <mergeCell ref="U21:U22"/>
    <mergeCell ref="V21:V22"/>
    <mergeCell ref="W21:W22"/>
    <mergeCell ref="X21:X22"/>
    <mergeCell ref="B23:B24"/>
    <mergeCell ref="C23:C24"/>
    <mergeCell ref="D23:D24"/>
    <mergeCell ref="E23:E24"/>
    <mergeCell ref="F23:F24"/>
    <mergeCell ref="J21:J22"/>
    <mergeCell ref="K21:K22"/>
    <mergeCell ref="L21:L22"/>
    <mergeCell ref="O21:O22"/>
    <mergeCell ref="P21:P22"/>
    <mergeCell ref="Q21:Q22"/>
    <mergeCell ref="B21:B22"/>
    <mergeCell ref="C21:C22"/>
    <mergeCell ref="D21:D22"/>
    <mergeCell ref="E21:E22"/>
    <mergeCell ref="F21:F22"/>
    <mergeCell ref="I21:I22"/>
    <mergeCell ref="Q23:Q24"/>
    <mergeCell ref="R23:R24"/>
    <mergeCell ref="U23:U24"/>
    <mergeCell ref="V23:V24"/>
    <mergeCell ref="W23:W24"/>
    <mergeCell ref="X23:X24"/>
    <mergeCell ref="I23:I24"/>
    <mergeCell ref="J23:J24"/>
    <mergeCell ref="K23:K24"/>
    <mergeCell ref="L23:L24"/>
    <mergeCell ref="O23:O24"/>
    <mergeCell ref="P23:P24"/>
    <mergeCell ref="R25:R26"/>
    <mergeCell ref="U25:U26"/>
    <mergeCell ref="V25:V26"/>
    <mergeCell ref="W25:W26"/>
    <mergeCell ref="X25:X26"/>
    <mergeCell ref="B27:B28"/>
    <mergeCell ref="C27:C28"/>
    <mergeCell ref="D27:D28"/>
    <mergeCell ref="E27:E28"/>
    <mergeCell ref="F27:F28"/>
    <mergeCell ref="J25:J26"/>
    <mergeCell ref="K25:K26"/>
    <mergeCell ref="L25:L26"/>
    <mergeCell ref="O25:O26"/>
    <mergeCell ref="P25:P26"/>
    <mergeCell ref="Q25:Q26"/>
    <mergeCell ref="B25:B26"/>
    <mergeCell ref="C25:C26"/>
    <mergeCell ref="D25:D26"/>
    <mergeCell ref="E25:E26"/>
    <mergeCell ref="F25:F26"/>
    <mergeCell ref="I25:I26"/>
    <mergeCell ref="Q27:Q28"/>
    <mergeCell ref="R27:R28"/>
    <mergeCell ref="U27:U28"/>
    <mergeCell ref="V27:V28"/>
    <mergeCell ref="W27:W28"/>
    <mergeCell ref="X27:X28"/>
    <mergeCell ref="I27:I28"/>
    <mergeCell ref="J27:J28"/>
    <mergeCell ref="K27:K28"/>
    <mergeCell ref="L27:L28"/>
    <mergeCell ref="O27:O28"/>
    <mergeCell ref="P27:P28"/>
    <mergeCell ref="R29:R30"/>
    <mergeCell ref="U29:U30"/>
    <mergeCell ref="V29:V30"/>
    <mergeCell ref="W29:W30"/>
    <mergeCell ref="X29:X30"/>
    <mergeCell ref="B31:B32"/>
    <mergeCell ref="C31:C32"/>
    <mergeCell ref="D31:D32"/>
    <mergeCell ref="E31:E32"/>
    <mergeCell ref="F31:F32"/>
    <mergeCell ref="J29:J30"/>
    <mergeCell ref="K29:K30"/>
    <mergeCell ref="L29:L30"/>
    <mergeCell ref="O29:O30"/>
    <mergeCell ref="P29:P30"/>
    <mergeCell ref="Q29:Q30"/>
    <mergeCell ref="B29:B30"/>
    <mergeCell ref="C29:C30"/>
    <mergeCell ref="D29:D30"/>
    <mergeCell ref="E29:E30"/>
    <mergeCell ref="F29:F30"/>
    <mergeCell ref="I29:I30"/>
    <mergeCell ref="Q31:Q32"/>
    <mergeCell ref="R31:R32"/>
    <mergeCell ref="U31:U32"/>
    <mergeCell ref="V31:V32"/>
    <mergeCell ref="W31:W32"/>
    <mergeCell ref="X31:X32"/>
    <mergeCell ref="I31:I32"/>
    <mergeCell ref="J31:J32"/>
    <mergeCell ref="K31:K32"/>
    <mergeCell ref="L31:L32"/>
    <mergeCell ref="O31:O32"/>
    <mergeCell ref="P31:P32"/>
    <mergeCell ref="BK46:BK47"/>
    <mergeCell ref="BL46:BL47"/>
    <mergeCell ref="S47:W47"/>
    <mergeCell ref="BK48:BK49"/>
    <mergeCell ref="BL48:BL49"/>
    <mergeCell ref="B101:E101"/>
    <mergeCell ref="K101:N101"/>
    <mergeCell ref="R101:U101"/>
    <mergeCell ref="AC35:AC36"/>
    <mergeCell ref="AD35:AD36"/>
    <mergeCell ref="AE35:AE36"/>
    <mergeCell ref="AF35:AM35"/>
    <mergeCell ref="AO46:AR46"/>
    <mergeCell ref="BF46:BI46"/>
    <mergeCell ref="C35:C36"/>
    <mergeCell ref="D35:D36"/>
    <mergeCell ref="E35:E36"/>
    <mergeCell ref="F35:I35"/>
    <mergeCell ref="J35:M35"/>
    <mergeCell ref="N35:Q35"/>
    <mergeCell ref="C119:C120"/>
    <mergeCell ref="D119:D120"/>
    <mergeCell ref="L119:L120"/>
    <mergeCell ref="M119:M120"/>
    <mergeCell ref="R119:R120"/>
    <mergeCell ref="S119:S120"/>
    <mergeCell ref="B106:E106"/>
    <mergeCell ref="K106:N106"/>
    <mergeCell ref="R106:U106"/>
    <mergeCell ref="C117:C118"/>
    <mergeCell ref="D117:D118"/>
    <mergeCell ref="L117:L118"/>
    <mergeCell ref="M117:M118"/>
    <mergeCell ref="R117:R118"/>
    <mergeCell ref="S117:S1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6227-EA6D-42A4-B948-14AB097D3D4D}">
  <dimension ref="B2:BL120"/>
  <sheetViews>
    <sheetView tabSelected="1" topLeftCell="A3" zoomScale="70" zoomScaleNormal="70" workbookViewId="0">
      <selection activeCell="D27" sqref="D27:D28"/>
    </sheetView>
  </sheetViews>
  <sheetFormatPr defaultColWidth="8.85546875" defaultRowHeight="15" x14ac:dyDescent="0.25"/>
  <cols>
    <col min="1" max="2" width="8.85546875" style="1"/>
    <col min="3" max="3" width="11.85546875" style="1" customWidth="1"/>
    <col min="4" max="4" width="12.42578125" style="1" bestFit="1" customWidth="1"/>
    <col min="5" max="5" width="11.7109375" style="1" customWidth="1"/>
    <col min="6" max="6" width="12.42578125" style="1" bestFit="1" customWidth="1"/>
    <col min="7" max="7" width="13.7109375" style="1" customWidth="1"/>
    <col min="8" max="9" width="8.85546875" style="1"/>
    <col min="10" max="10" width="12.140625" style="1" customWidth="1"/>
    <col min="11" max="11" width="14.28515625" style="1" customWidth="1"/>
    <col min="12" max="12" width="13.42578125" style="1" customWidth="1"/>
    <col min="13" max="13" width="11.7109375" style="1" customWidth="1"/>
    <col min="14" max="14" width="13.42578125" style="1" customWidth="1"/>
    <col min="15" max="15" width="13.5703125" style="1" customWidth="1"/>
    <col min="16" max="16" width="13.42578125" style="1" customWidth="1"/>
    <col min="17" max="17" width="11.85546875" style="1" customWidth="1"/>
    <col min="18" max="18" width="13.42578125" style="1" customWidth="1"/>
    <col min="19" max="19" width="13.28515625" style="1" bestFit="1" customWidth="1"/>
    <col min="20" max="21" width="8.85546875" style="1"/>
    <col min="22" max="22" width="10.7109375" style="1" customWidth="1"/>
    <col min="23" max="23" width="11.28515625" style="1" customWidth="1"/>
    <col min="24" max="24" width="12.85546875" style="1" customWidth="1"/>
    <col min="25" max="25" width="10.42578125" style="1" customWidth="1"/>
    <col min="26" max="26" width="10.28515625" style="1" customWidth="1"/>
    <col min="27" max="27" width="8.85546875" style="1"/>
    <col min="28" max="28" width="11.42578125" style="1" bestFit="1" customWidth="1"/>
    <col min="29" max="30" width="8.85546875" style="1"/>
    <col min="31" max="31" width="11.7109375" style="1" customWidth="1"/>
    <col min="32" max="32" width="11.85546875" style="1" customWidth="1"/>
    <col min="33" max="33" width="11.7109375" style="1" customWidth="1"/>
    <col min="34" max="34" width="12.85546875" style="1" customWidth="1"/>
    <col min="35" max="35" width="15.7109375" style="1" customWidth="1"/>
    <col min="36" max="36" width="8.85546875" style="1"/>
    <col min="37" max="37" width="13" style="1" bestFit="1" customWidth="1"/>
    <col min="38" max="39" width="13" style="1" customWidth="1"/>
    <col min="40" max="45" width="8.85546875" style="1"/>
    <col min="46" max="46" width="11.28515625" style="1" customWidth="1"/>
    <col min="47" max="47" width="12.42578125" style="1" bestFit="1" customWidth="1"/>
    <col min="48" max="62" width="8.85546875" style="1"/>
    <col min="63" max="63" width="11.28515625" style="1" customWidth="1"/>
    <col min="64" max="16384" width="8.85546875" style="1"/>
  </cols>
  <sheetData>
    <row r="2" spans="2:32" x14ac:dyDescent="0.25">
      <c r="D2" s="4" t="s">
        <v>3</v>
      </c>
      <c r="E2" s="2">
        <v>5.0000000000000001E-4</v>
      </c>
      <c r="G2" s="4" t="s">
        <v>11</v>
      </c>
      <c r="H2" s="2">
        <v>0.01</v>
      </c>
      <c r="J2" s="4" t="s">
        <v>16</v>
      </c>
      <c r="K2" s="2"/>
      <c r="M2" s="4" t="s">
        <v>15</v>
      </c>
      <c r="N2" s="2">
        <v>1E-4</v>
      </c>
    </row>
    <row r="3" spans="2:32" ht="17.25" x14ac:dyDescent="0.25">
      <c r="D3" s="4" t="s">
        <v>4</v>
      </c>
      <c r="E3" s="2">
        <f>E2*0.01</f>
        <v>5.0000000000000004E-6</v>
      </c>
      <c r="G3" s="4"/>
      <c r="H3" s="2"/>
      <c r="J3" s="4" t="s">
        <v>20</v>
      </c>
      <c r="K3" s="2">
        <v>5.0000000000000001E-4</v>
      </c>
      <c r="M3" s="4" t="s">
        <v>27</v>
      </c>
      <c r="N3" s="2">
        <f>SQRT((AC12/2*PI()*AB12*AB13)^2+(PI()/4*AB12^2*AC13)^2)</f>
        <v>6.6229174964693655E-3</v>
      </c>
    </row>
    <row r="5" spans="2:32" ht="16.149999999999999" customHeight="1" x14ac:dyDescent="0.25">
      <c r="D5" s="17" t="s">
        <v>0</v>
      </c>
      <c r="E5" s="17" t="s">
        <v>1</v>
      </c>
      <c r="F5" s="17" t="s">
        <v>2</v>
      </c>
      <c r="G5" s="15" t="s">
        <v>12</v>
      </c>
      <c r="H5" s="15"/>
      <c r="I5" s="15"/>
      <c r="J5" s="15"/>
      <c r="K5" s="15"/>
      <c r="L5" s="15"/>
      <c r="M5" s="15" t="s">
        <v>13</v>
      </c>
      <c r="N5" s="15"/>
      <c r="O5" s="15"/>
      <c r="P5" s="15"/>
      <c r="Q5" s="15"/>
      <c r="R5" s="15"/>
      <c r="S5" s="15" t="s">
        <v>14</v>
      </c>
      <c r="T5" s="15"/>
      <c r="U5" s="15"/>
      <c r="V5" s="15"/>
      <c r="W5" s="15"/>
      <c r="X5" s="15"/>
      <c r="AA5" s="15" t="s">
        <v>17</v>
      </c>
      <c r="AB5" s="15"/>
      <c r="AC5" s="15"/>
    </row>
    <row r="6" spans="2:32" ht="14.45" customHeight="1" x14ac:dyDescent="0.25">
      <c r="D6" s="17"/>
      <c r="E6" s="17"/>
      <c r="F6" s="17"/>
      <c r="G6" s="4" t="s">
        <v>5</v>
      </c>
      <c r="H6" s="4" t="s">
        <v>6</v>
      </c>
      <c r="I6" s="4" t="s">
        <v>9</v>
      </c>
      <c r="J6" s="4" t="s">
        <v>8</v>
      </c>
      <c r="K6" s="4" t="s">
        <v>7</v>
      </c>
      <c r="L6" s="4" t="s">
        <v>10</v>
      </c>
      <c r="M6" s="4" t="s">
        <v>5</v>
      </c>
      <c r="N6" s="4" t="s">
        <v>6</v>
      </c>
      <c r="O6" s="4" t="s">
        <v>9</v>
      </c>
      <c r="P6" s="4" t="s">
        <v>8</v>
      </c>
      <c r="Q6" s="4" t="s">
        <v>7</v>
      </c>
      <c r="R6" s="4" t="s">
        <v>10</v>
      </c>
      <c r="S6" s="4" t="s">
        <v>5</v>
      </c>
      <c r="T6" s="4" t="s">
        <v>6</v>
      </c>
      <c r="U6" s="4" t="s">
        <v>9</v>
      </c>
      <c r="V6" s="4" t="s">
        <v>8</v>
      </c>
      <c r="W6" s="4" t="s">
        <v>7</v>
      </c>
      <c r="X6" s="4" t="s">
        <v>10</v>
      </c>
      <c r="AA6" s="4" t="s">
        <v>109</v>
      </c>
      <c r="AB6" s="4" t="s">
        <v>81</v>
      </c>
      <c r="AC6" s="4" t="s">
        <v>108</v>
      </c>
      <c r="AE6" s="4" t="s">
        <v>24</v>
      </c>
      <c r="AF6" s="2">
        <f>PI()*(AB7/2)^2 * AC7</f>
        <v>1163878.5930955659</v>
      </c>
    </row>
    <row r="7" spans="2:32" ht="17.25" x14ac:dyDescent="0.25">
      <c r="B7" s="22">
        <v>0</v>
      </c>
      <c r="C7" s="24">
        <f>(B7/12*(53^4-18^4)+18^4)^(0.25)</f>
        <v>17.999999999999996</v>
      </c>
      <c r="D7" s="23">
        <v>18</v>
      </c>
      <c r="E7" s="21">
        <f>(D7*10^-2)^4</f>
        <v>1.0497599999999998E-3</v>
      </c>
      <c r="F7" s="21">
        <f>ABS(4*E7^3*E$3)</f>
        <v>2.3136627628523511E-14</v>
      </c>
      <c r="G7" s="8">
        <v>0.59</v>
      </c>
      <c r="H7" s="2">
        <f>G7/25</f>
        <v>2.3599999999999999E-2</v>
      </c>
      <c r="I7" s="21">
        <f>AVERAGE(H7:H8)</f>
        <v>2.3800000000000002E-2</v>
      </c>
      <c r="J7" s="21">
        <f>SQRT(2)/50 * H$2</f>
        <v>2.8284271247461902E-4</v>
      </c>
      <c r="K7" s="21">
        <f>I7^2</f>
        <v>5.6644000000000009E-4</v>
      </c>
      <c r="L7" s="21">
        <f>ABS(2*I7*J7)</f>
        <v>1.3463313113791866E-5</v>
      </c>
      <c r="M7" s="8">
        <v>1.17</v>
      </c>
      <c r="N7" s="2">
        <f>M7/50</f>
        <v>2.3399999999999997E-2</v>
      </c>
      <c r="O7" s="21">
        <f>AVERAGE(N7:N8)</f>
        <v>2.35E-2</v>
      </c>
      <c r="P7" s="21">
        <f>SQRT(2)/100 * H$2</f>
        <v>1.4142135623730951E-4</v>
      </c>
      <c r="Q7" s="21">
        <f>O7^2</f>
        <v>5.5225000000000001E-4</v>
      </c>
      <c r="R7" s="21">
        <f>ABS(2*O7*P7)</f>
        <v>6.6468037431535469E-6</v>
      </c>
      <c r="S7" s="8">
        <v>1.77</v>
      </c>
      <c r="T7" s="2">
        <f>S7/75</f>
        <v>2.3599999999999999E-2</v>
      </c>
      <c r="U7" s="21">
        <f>AVERAGE(T7:T8)</f>
        <v>2.3666666666666666E-2</v>
      </c>
      <c r="V7" s="21">
        <f>SQRT(2)/150 * H$2</f>
        <v>9.4280904158206352E-5</v>
      </c>
      <c r="W7" s="21">
        <f>U7^2</f>
        <v>5.6011111111111105E-4</v>
      </c>
      <c r="X7" s="21">
        <f>ABS(2*U7*V7)</f>
        <v>4.462629463488434E-6</v>
      </c>
      <c r="AA7" s="2">
        <v>21.6</v>
      </c>
      <c r="AB7" s="11">
        <v>895</v>
      </c>
      <c r="AC7" s="7">
        <v>1.85</v>
      </c>
      <c r="AE7" s="5" t="s">
        <v>23</v>
      </c>
      <c r="AF7" s="2">
        <f>AA12/AF6</f>
        <v>1.8541452801020862E-8</v>
      </c>
    </row>
    <row r="8" spans="2:32" ht="17.25" x14ac:dyDescent="0.25">
      <c r="B8" s="22"/>
      <c r="C8" s="25"/>
      <c r="D8" s="23"/>
      <c r="E8" s="21"/>
      <c r="F8" s="21"/>
      <c r="G8" s="8">
        <v>0.6</v>
      </c>
      <c r="H8" s="2">
        <f t="shared" ref="H8:H32" si="0">G8/25</f>
        <v>2.4E-2</v>
      </c>
      <c r="I8" s="21"/>
      <c r="J8" s="21"/>
      <c r="K8" s="21"/>
      <c r="L8" s="21"/>
      <c r="M8" s="8">
        <v>1.18</v>
      </c>
      <c r="N8" s="2">
        <f t="shared" ref="N8:N32" si="1">M8/50</f>
        <v>2.3599999999999999E-2</v>
      </c>
      <c r="O8" s="21"/>
      <c r="P8" s="21"/>
      <c r="Q8" s="21"/>
      <c r="R8" s="21"/>
      <c r="S8" s="2">
        <v>1.78</v>
      </c>
      <c r="T8" s="2">
        <f t="shared" ref="T8:T32" si="2">S8/75</f>
        <v>2.3733333333333332E-2</v>
      </c>
      <c r="U8" s="21"/>
      <c r="V8" s="21"/>
      <c r="W8" s="21"/>
      <c r="X8" s="21"/>
      <c r="AA8" s="2">
        <v>21.6</v>
      </c>
      <c r="AB8" s="11">
        <v>895.2</v>
      </c>
      <c r="AC8" s="2">
        <v>1.825</v>
      </c>
      <c r="AE8" s="5" t="s">
        <v>25</v>
      </c>
      <c r="AF8" s="2">
        <f>SQRT((1/AF6 * AA13)^2+(AA12/AF6^2*N3)^2)</f>
        <v>1.5369767883109219E-8</v>
      </c>
    </row>
    <row r="9" spans="2:32" x14ac:dyDescent="0.25">
      <c r="B9" s="22">
        <v>1</v>
      </c>
      <c r="C9" s="24">
        <f>(B9/12*(53^4-18^4)+18^4)^(0.25)</f>
        <v>29.465202902077582</v>
      </c>
      <c r="D9" s="23">
        <v>29.5</v>
      </c>
      <c r="E9" s="21">
        <f>(D9*10^-2)^4</f>
        <v>7.5733506249999983E-3</v>
      </c>
      <c r="F9" s="21">
        <f>ABS(4*E9^3*E$3)</f>
        <v>8.6874873937477132E-12</v>
      </c>
      <c r="G9" s="8">
        <v>1.53</v>
      </c>
      <c r="H9" s="2">
        <f t="shared" si="0"/>
        <v>6.1200000000000004E-2</v>
      </c>
      <c r="I9" s="21">
        <f>AVERAGE(H9:H10)</f>
        <v>6.1400000000000003E-2</v>
      </c>
      <c r="J9" s="21">
        <f>SQRT(2)/50 * H$2</f>
        <v>2.8284271247461902E-4</v>
      </c>
      <c r="K9" s="21">
        <f>I9^2</f>
        <v>3.7699600000000006E-3</v>
      </c>
      <c r="L9" s="21">
        <f>ABS(2*I9*J9)</f>
        <v>3.4733085091883214E-5</v>
      </c>
      <c r="M9" s="8">
        <v>3.1</v>
      </c>
      <c r="N9" s="2">
        <f t="shared" si="1"/>
        <v>6.2E-2</v>
      </c>
      <c r="O9" s="21">
        <f>AVERAGE(N9:N10)</f>
        <v>6.2E-2</v>
      </c>
      <c r="P9" s="21">
        <f>SQRT(2)/100 * H$2</f>
        <v>1.4142135623730951E-4</v>
      </c>
      <c r="Q9" s="21">
        <f>O9^2</f>
        <v>3.8439999999999998E-3</v>
      </c>
      <c r="R9" s="21">
        <f>ABS(2*O9*P9)</f>
        <v>1.7536248173426379E-5</v>
      </c>
      <c r="S9" s="8">
        <v>4.68</v>
      </c>
      <c r="T9" s="2">
        <f t="shared" si="2"/>
        <v>6.2399999999999997E-2</v>
      </c>
      <c r="U9" s="21">
        <f>AVERAGE(T9:T10)</f>
        <v>6.2333333333333331E-2</v>
      </c>
      <c r="V9" s="21">
        <f>SQRT(2)/150 * H$2</f>
        <v>9.4280904158206352E-5</v>
      </c>
      <c r="W9" s="21">
        <f>U9^2</f>
        <v>3.885444444444444E-3</v>
      </c>
      <c r="X9" s="21">
        <f>ABS(2*U9*V9)</f>
        <v>1.1753686051723058E-5</v>
      </c>
      <c r="AA9" s="2">
        <v>21.6</v>
      </c>
      <c r="AB9" s="11">
        <v>894.8</v>
      </c>
      <c r="AC9" s="2">
        <v>1.8280000000000001</v>
      </c>
      <c r="AE9" s="5" t="s">
        <v>26</v>
      </c>
      <c r="AF9" s="6">
        <f>AF8/AF7</f>
        <v>0.82894086283589297</v>
      </c>
    </row>
    <row r="10" spans="2:32" x14ac:dyDescent="0.25">
      <c r="B10" s="22"/>
      <c r="C10" s="25"/>
      <c r="D10" s="23"/>
      <c r="E10" s="21"/>
      <c r="F10" s="21"/>
      <c r="G10" s="8">
        <v>1.54</v>
      </c>
      <c r="H10" s="2">
        <f t="shared" si="0"/>
        <v>6.1600000000000002E-2</v>
      </c>
      <c r="I10" s="21"/>
      <c r="J10" s="21"/>
      <c r="K10" s="21"/>
      <c r="L10" s="21"/>
      <c r="M10" s="8">
        <v>3.1</v>
      </c>
      <c r="N10" s="2">
        <f t="shared" si="1"/>
        <v>6.2E-2</v>
      </c>
      <c r="O10" s="21"/>
      <c r="P10" s="21"/>
      <c r="Q10" s="21"/>
      <c r="R10" s="21"/>
      <c r="S10" s="8">
        <v>4.67</v>
      </c>
      <c r="T10" s="2">
        <f t="shared" si="2"/>
        <v>6.2266666666666665E-2</v>
      </c>
      <c r="U10" s="21"/>
      <c r="V10" s="21"/>
      <c r="W10" s="21"/>
      <c r="X10" s="21"/>
      <c r="AA10" s="2">
        <v>21.5</v>
      </c>
      <c r="AB10" s="11">
        <v>895.1</v>
      </c>
      <c r="AC10" s="7">
        <v>1.8779999999999999</v>
      </c>
    </row>
    <row r="11" spans="2:32" x14ac:dyDescent="0.25">
      <c r="B11" s="22">
        <v>2</v>
      </c>
      <c r="C11" s="24">
        <f>(B11/12*(53^4-18^4)+18^4)^(0.25)</f>
        <v>34.413621290803526</v>
      </c>
      <c r="D11" s="23">
        <v>34.4</v>
      </c>
      <c r="E11" s="21">
        <f>(D11*10^-2)^4</f>
        <v>1.4003408895999997E-2</v>
      </c>
      <c r="F11" s="21">
        <f>ABS(4*E11^3*E$3)</f>
        <v>5.4920098379032666E-11</v>
      </c>
      <c r="G11" s="8">
        <v>2.09</v>
      </c>
      <c r="H11" s="2">
        <f t="shared" si="0"/>
        <v>8.3599999999999994E-2</v>
      </c>
      <c r="I11" s="21">
        <f>AVERAGE(H11:H12)</f>
        <v>8.3599999999999994E-2</v>
      </c>
      <c r="J11" s="21">
        <f>SQRT(2)/50 * H$2</f>
        <v>2.8284271247461902E-4</v>
      </c>
      <c r="K11" s="21">
        <f>I11^2</f>
        <v>6.9889599999999989E-3</v>
      </c>
      <c r="L11" s="21">
        <f>ABS(2*I11*J11)</f>
        <v>4.7291301525756293E-5</v>
      </c>
      <c r="M11" s="8">
        <v>4.22</v>
      </c>
      <c r="N11" s="2">
        <f t="shared" si="1"/>
        <v>8.4399999999999989E-2</v>
      </c>
      <c r="O11" s="21">
        <f>AVERAGE(N11:N12)</f>
        <v>8.4399999999999989E-2</v>
      </c>
      <c r="P11" s="21">
        <f>SQRT(2)/100 * H$2</f>
        <v>1.4142135623730951E-4</v>
      </c>
      <c r="Q11" s="21">
        <f>O11^2</f>
        <v>7.1233599999999979E-3</v>
      </c>
      <c r="R11" s="21">
        <f>ABS(2*O11*P11)</f>
        <v>2.3871924932857842E-5</v>
      </c>
      <c r="S11" s="8">
        <v>6.35</v>
      </c>
      <c r="T11" s="2">
        <f t="shared" si="2"/>
        <v>8.4666666666666668E-2</v>
      </c>
      <c r="U11" s="21">
        <f>AVERAGE(T11:T12)</f>
        <v>8.4666666666666668E-2</v>
      </c>
      <c r="V11" s="21">
        <f>SQRT(2)/150 * H$2</f>
        <v>9.4280904158206352E-5</v>
      </c>
      <c r="W11" s="21">
        <f>U11^2</f>
        <v>7.1684444444444443E-3</v>
      </c>
      <c r="X11" s="21">
        <f>ABS(2*U11*V11)</f>
        <v>1.5964899770789608E-5</v>
      </c>
      <c r="AA11" s="2">
        <v>21.6</v>
      </c>
      <c r="AB11" s="11">
        <v>895</v>
      </c>
      <c r="AC11" s="7">
        <v>1.88</v>
      </c>
    </row>
    <row r="12" spans="2:32" x14ac:dyDescent="0.25">
      <c r="B12" s="22"/>
      <c r="C12" s="25"/>
      <c r="D12" s="23"/>
      <c r="E12" s="21"/>
      <c r="F12" s="21"/>
      <c r="G12" s="8">
        <v>2.09</v>
      </c>
      <c r="H12" s="2">
        <f t="shared" si="0"/>
        <v>8.3599999999999994E-2</v>
      </c>
      <c r="I12" s="21"/>
      <c r="J12" s="21"/>
      <c r="K12" s="21"/>
      <c r="L12" s="21"/>
      <c r="M12" s="8">
        <v>4.22</v>
      </c>
      <c r="N12" s="2">
        <f t="shared" si="1"/>
        <v>8.4399999999999989E-2</v>
      </c>
      <c r="O12" s="21"/>
      <c r="P12" s="21"/>
      <c r="Q12" s="21"/>
      <c r="R12" s="21"/>
      <c r="S12" s="8">
        <v>6.35</v>
      </c>
      <c r="T12" s="2">
        <f t="shared" si="2"/>
        <v>8.4666666666666668E-2</v>
      </c>
      <c r="U12" s="21"/>
      <c r="V12" s="21"/>
      <c r="W12" s="21"/>
      <c r="X12" s="21"/>
      <c r="Z12" s="4" t="s">
        <v>21</v>
      </c>
      <c r="AA12" s="2">
        <f>AVERAGE(AA7:AA11)/1000</f>
        <v>2.1580000000000002E-2</v>
      </c>
      <c r="AB12" s="2">
        <f>AVERAGE(AB7:AB11)/1000</f>
        <v>0.89502000000000015</v>
      </c>
      <c r="AC12" s="2">
        <f>AVERAGE(AC7:AC11)/1000</f>
        <v>1.8521999999999998E-3</v>
      </c>
    </row>
    <row r="13" spans="2:32" x14ac:dyDescent="0.25">
      <c r="B13" s="22">
        <v>3</v>
      </c>
      <c r="C13" s="24">
        <f>(B13/12*(53^4-18^4)+18^4)^(0.25)</f>
        <v>37.845135151864724</v>
      </c>
      <c r="D13" s="23">
        <v>37.9</v>
      </c>
      <c r="E13" s="21">
        <f>(D13*10^-2)^4</f>
        <v>2.0632736880999997E-2</v>
      </c>
      <c r="F13" s="21">
        <f>ABS(4*E13^3*E$3)</f>
        <v>1.7567117869632878E-10</v>
      </c>
      <c r="G13" s="8">
        <v>2.8</v>
      </c>
      <c r="H13" s="2">
        <f t="shared" si="0"/>
        <v>0.11199999999999999</v>
      </c>
      <c r="I13" s="21">
        <f>AVERAGE(H13:H14)</f>
        <v>0.10679999999999999</v>
      </c>
      <c r="J13" s="21">
        <f>SQRT(2)/50 * H$2</f>
        <v>2.8284271247461902E-4</v>
      </c>
      <c r="K13" s="21">
        <f>I13^2</f>
        <v>1.1406239999999998E-2</v>
      </c>
      <c r="L13" s="21">
        <f>ABS(2*I13*J13)</f>
        <v>6.0415203384578618E-5</v>
      </c>
      <c r="M13" s="8">
        <v>5.12</v>
      </c>
      <c r="N13" s="2">
        <f t="shared" si="1"/>
        <v>0.1024</v>
      </c>
      <c r="O13" s="21">
        <f>AVERAGE(N13:N14)</f>
        <v>0.1024</v>
      </c>
      <c r="P13" s="21">
        <f>SQRT(2)/100 * H$2</f>
        <v>1.4142135623730951E-4</v>
      </c>
      <c r="Q13" s="21">
        <f>O13^2</f>
        <v>1.048576E-2</v>
      </c>
      <c r="R13" s="21">
        <f>ABS(2*O13*P13)</f>
        <v>2.8963093757400989E-5</v>
      </c>
      <c r="S13" s="8">
        <v>7.7</v>
      </c>
      <c r="T13" s="2">
        <f t="shared" si="2"/>
        <v>0.10266666666666667</v>
      </c>
      <c r="U13" s="21">
        <f>AVERAGE(T13:T14)</f>
        <v>0.10266666666666667</v>
      </c>
      <c r="V13" s="21">
        <f>SQRT(2)/150 * H$2</f>
        <v>9.4280904158206352E-5</v>
      </c>
      <c r="W13" s="21">
        <f>U13^2</f>
        <v>1.0540444444444444E-2</v>
      </c>
      <c r="X13" s="21">
        <f>ABS(2*U13*V13)</f>
        <v>1.9359012320485038E-5</v>
      </c>
      <c r="Z13" s="4" t="s">
        <v>22</v>
      </c>
      <c r="AA13" s="2">
        <f>_xlfn.STDEV.P(AA7:AA11)/SQRT(5)</f>
        <v>1.7888543819998572E-2</v>
      </c>
      <c r="AB13" s="2">
        <f>_xlfn.STDEV.P(AB7:AB11)/SQRT(5)</f>
        <v>5.9329587896778793E-2</v>
      </c>
      <c r="AC13" s="2">
        <f>_xlfn.STDEV.P(AC7:AC11)/SQRT(5)</f>
        <v>1.0523877612363203E-2</v>
      </c>
    </row>
    <row r="14" spans="2:32" x14ac:dyDescent="0.25">
      <c r="B14" s="22"/>
      <c r="C14" s="25"/>
      <c r="D14" s="23"/>
      <c r="E14" s="21"/>
      <c r="F14" s="21"/>
      <c r="G14" s="8">
        <v>2.54</v>
      </c>
      <c r="H14" s="2">
        <f t="shared" si="0"/>
        <v>0.1016</v>
      </c>
      <c r="I14" s="21"/>
      <c r="J14" s="21"/>
      <c r="K14" s="21"/>
      <c r="L14" s="21"/>
      <c r="M14" s="8">
        <v>5.12</v>
      </c>
      <c r="N14" s="2">
        <f t="shared" si="1"/>
        <v>0.1024</v>
      </c>
      <c r="O14" s="21"/>
      <c r="P14" s="21"/>
      <c r="Q14" s="21"/>
      <c r="R14" s="21"/>
      <c r="S14" s="8">
        <v>7.7</v>
      </c>
      <c r="T14" s="2">
        <f t="shared" si="2"/>
        <v>0.10266666666666667</v>
      </c>
      <c r="U14" s="21"/>
      <c r="V14" s="21"/>
      <c r="W14" s="21"/>
      <c r="X14" s="21"/>
    </row>
    <row r="15" spans="2:32" x14ac:dyDescent="0.25">
      <c r="B15" s="22">
        <v>4</v>
      </c>
      <c r="C15" s="24">
        <f>(B15/12*(53^4-18^4)+18^4)^(0.25)</f>
        <v>40.536546364524852</v>
      </c>
      <c r="D15" s="23">
        <v>40</v>
      </c>
      <c r="E15" s="21">
        <f>(D15*10^-2)^4</f>
        <v>2.5600000000000012E-2</v>
      </c>
      <c r="F15" s="21">
        <f>ABS(4*E15^3*E$3)</f>
        <v>3.3554432000000049E-10</v>
      </c>
      <c r="G15" s="8">
        <v>2.83</v>
      </c>
      <c r="H15" s="2">
        <f t="shared" si="0"/>
        <v>0.11320000000000001</v>
      </c>
      <c r="I15" s="21">
        <f>AVERAGE(H15:H16)</f>
        <v>0.11320000000000001</v>
      </c>
      <c r="J15" s="21">
        <f>SQRT(2)/50 * H$2</f>
        <v>2.8284271247461902E-4</v>
      </c>
      <c r="K15" s="21">
        <f>I15^2</f>
        <v>1.2814240000000003E-2</v>
      </c>
      <c r="L15" s="21">
        <f>ABS(2*I15*J15)</f>
        <v>6.4035590104253757E-5</v>
      </c>
      <c r="M15" s="8">
        <v>5.72</v>
      </c>
      <c r="N15" s="2">
        <f t="shared" si="1"/>
        <v>0.1144</v>
      </c>
      <c r="O15" s="21">
        <f>AVERAGE(N15:N16)</f>
        <v>0.1144</v>
      </c>
      <c r="P15" s="21">
        <f>SQRT(2)/100 * H$2</f>
        <v>1.4142135623730951E-4</v>
      </c>
      <c r="Q15" s="21">
        <f>O15^2</f>
        <v>1.3087360000000001E-2</v>
      </c>
      <c r="R15" s="21">
        <f>ABS(2*O15*P15)</f>
        <v>3.2357206307096415E-5</v>
      </c>
      <c r="S15" s="8">
        <v>8.61</v>
      </c>
      <c r="T15" s="2">
        <f t="shared" si="2"/>
        <v>0.1148</v>
      </c>
      <c r="U15" s="21">
        <f>AVERAGE(T15:T16)</f>
        <v>0.11473333333333333</v>
      </c>
      <c r="V15" s="21">
        <f>SQRT(2)/150 * H$2</f>
        <v>9.4280904158206352E-5</v>
      </c>
      <c r="W15" s="21">
        <f>U15^2</f>
        <v>1.3163737777777776E-2</v>
      </c>
      <c r="X15" s="21">
        <f>ABS(2*U15*V15)</f>
        <v>2.1634324807503081E-5</v>
      </c>
    </row>
    <row r="16" spans="2:32" x14ac:dyDescent="0.25">
      <c r="B16" s="22"/>
      <c r="C16" s="25"/>
      <c r="D16" s="23"/>
      <c r="E16" s="21"/>
      <c r="F16" s="21"/>
      <c r="G16" s="8">
        <v>2.83</v>
      </c>
      <c r="H16" s="2">
        <f t="shared" si="0"/>
        <v>0.11320000000000001</v>
      </c>
      <c r="I16" s="21"/>
      <c r="J16" s="21"/>
      <c r="K16" s="21"/>
      <c r="L16" s="21"/>
      <c r="M16" s="8">
        <v>5.72</v>
      </c>
      <c r="N16" s="2">
        <f t="shared" si="1"/>
        <v>0.1144</v>
      </c>
      <c r="O16" s="21"/>
      <c r="P16" s="21"/>
      <c r="Q16" s="21"/>
      <c r="R16" s="21"/>
      <c r="S16" s="8">
        <v>8.6</v>
      </c>
      <c r="T16" s="2">
        <f t="shared" si="2"/>
        <v>0.11466666666666667</v>
      </c>
      <c r="U16" s="21"/>
      <c r="V16" s="21"/>
      <c r="W16" s="21"/>
      <c r="X16" s="21"/>
    </row>
    <row r="17" spans="2:24" x14ac:dyDescent="0.25">
      <c r="B17" s="22">
        <v>5</v>
      </c>
      <c r="C17" s="24">
        <f>(B17/12*(53^4-18^4)+18^4)^(0.25)</f>
        <v>42.778615567615979</v>
      </c>
      <c r="D17" s="23">
        <v>42.8</v>
      </c>
      <c r="E17" s="21">
        <f>(D17*10^-2)^4</f>
        <v>3.3556377855999991E-2</v>
      </c>
      <c r="F17" s="21">
        <f>ABS(4*E17^3*E$3)</f>
        <v>7.5571009522757846E-10</v>
      </c>
      <c r="G17" s="8">
        <v>3.23</v>
      </c>
      <c r="H17" s="2">
        <f t="shared" si="0"/>
        <v>0.12920000000000001</v>
      </c>
      <c r="I17" s="21">
        <f>AVERAGE(H17:H18)</f>
        <v>0.12940000000000002</v>
      </c>
      <c r="J17" s="21">
        <f>SQRT(2)/50 * H$2</f>
        <v>2.8284271247461902E-4</v>
      </c>
      <c r="K17" s="21">
        <f>I17^2</f>
        <v>1.6744360000000003E-2</v>
      </c>
      <c r="L17" s="21">
        <f>ABS(2*I17*J17)</f>
        <v>7.3199693988431407E-5</v>
      </c>
      <c r="M17" s="8">
        <v>6.53</v>
      </c>
      <c r="N17" s="2">
        <f t="shared" si="1"/>
        <v>0.13059999999999999</v>
      </c>
      <c r="O17" s="21">
        <f>AVERAGE(N17:N18)</f>
        <v>0.13059999999999999</v>
      </c>
      <c r="P17" s="21">
        <f>SQRT(2)/100 * H$2</f>
        <v>1.4142135623730951E-4</v>
      </c>
      <c r="Q17" s="21">
        <f>O17^2</f>
        <v>1.705636E-2</v>
      </c>
      <c r="R17" s="21">
        <f>ABS(2*O17*P17)</f>
        <v>3.693925824918524E-5</v>
      </c>
      <c r="S17" s="8">
        <v>9.81</v>
      </c>
      <c r="T17" s="2">
        <f t="shared" si="2"/>
        <v>0.1308</v>
      </c>
      <c r="U17" s="21">
        <f>AVERAGE(T17:T18)</f>
        <v>0.1308</v>
      </c>
      <c r="V17" s="21">
        <f>SQRT(2)/150 * H$2</f>
        <v>9.4280904158206352E-5</v>
      </c>
      <c r="W17" s="21">
        <f>U17^2</f>
        <v>1.7108640000000001E-2</v>
      </c>
      <c r="X17" s="21">
        <f>ABS(2*U17*V17)</f>
        <v>2.4663884527786781E-5</v>
      </c>
    </row>
    <row r="18" spans="2:24" x14ac:dyDescent="0.25">
      <c r="B18" s="22"/>
      <c r="C18" s="25"/>
      <c r="D18" s="23"/>
      <c r="E18" s="21"/>
      <c r="F18" s="21"/>
      <c r="G18" s="8">
        <v>3.24</v>
      </c>
      <c r="H18" s="2">
        <f t="shared" si="0"/>
        <v>0.12960000000000002</v>
      </c>
      <c r="I18" s="21"/>
      <c r="J18" s="21"/>
      <c r="K18" s="21"/>
      <c r="L18" s="21"/>
      <c r="M18" s="8">
        <v>6.53</v>
      </c>
      <c r="N18" s="2">
        <f t="shared" si="1"/>
        <v>0.13059999999999999</v>
      </c>
      <c r="O18" s="21"/>
      <c r="P18" s="21"/>
      <c r="Q18" s="21"/>
      <c r="R18" s="21"/>
      <c r="S18" s="8">
        <v>9.81</v>
      </c>
      <c r="T18" s="2">
        <f t="shared" si="2"/>
        <v>0.1308</v>
      </c>
      <c r="U18" s="21"/>
      <c r="V18" s="21"/>
      <c r="W18" s="21"/>
      <c r="X18" s="21"/>
    </row>
    <row r="19" spans="2:24" x14ac:dyDescent="0.25">
      <c r="B19" s="22">
        <v>6</v>
      </c>
      <c r="C19" s="24">
        <f>(B19/12*(53^4-18^4)+18^4)^(0.25)</f>
        <v>44.715009161987169</v>
      </c>
      <c r="D19" s="23">
        <v>44.6</v>
      </c>
      <c r="E19" s="21">
        <f>(D19*10^-2)^4</f>
        <v>3.9567575056000004E-2</v>
      </c>
      <c r="F19" s="21">
        <f>ABS(4*E19^3*E$3)</f>
        <v>1.2389343673789378E-9</v>
      </c>
      <c r="G19" s="8">
        <v>3.48</v>
      </c>
      <c r="H19" s="2">
        <f t="shared" si="0"/>
        <v>0.13919999999999999</v>
      </c>
      <c r="I19" s="21">
        <f>AVERAGE(H19:H20)</f>
        <v>0.13919999999999999</v>
      </c>
      <c r="J19" s="21">
        <f>SQRT(2)/50 * H$2</f>
        <v>2.8284271247461902E-4</v>
      </c>
      <c r="K19" s="21">
        <f>I19^2</f>
        <v>1.9376639999999997E-2</v>
      </c>
      <c r="L19" s="21">
        <f>ABS(2*I19*J19)</f>
        <v>7.8743411152933925E-5</v>
      </c>
      <c r="M19" s="8">
        <v>7.02</v>
      </c>
      <c r="N19" s="2">
        <f t="shared" si="1"/>
        <v>0.1404</v>
      </c>
      <c r="O19" s="21">
        <f>AVERAGE(N19:N20)</f>
        <v>0.14050000000000001</v>
      </c>
      <c r="P19" s="21">
        <f>SQRT(2)/100 * H$2</f>
        <v>1.4142135623730951E-4</v>
      </c>
      <c r="Q19" s="21">
        <f>O19^2</f>
        <v>1.9740250000000004E-2</v>
      </c>
      <c r="R19" s="21">
        <f>ABS(2*O19*P19)</f>
        <v>3.9739401102683978E-5</v>
      </c>
      <c r="S19" s="8">
        <v>10.59</v>
      </c>
      <c r="T19" s="2">
        <f t="shared" si="2"/>
        <v>0.14119999999999999</v>
      </c>
      <c r="U19" s="21">
        <f>AVERAGE(T19:T20)</f>
        <v>0.14113333333333333</v>
      </c>
      <c r="V19" s="21">
        <f>SQRT(2)/150 * H$2</f>
        <v>9.4280904158206352E-5</v>
      </c>
      <c r="W19" s="21">
        <f>U19^2</f>
        <v>1.9918617777777779E-2</v>
      </c>
      <c r="X19" s="21">
        <f>ABS(2*U19*V19)</f>
        <v>2.6612356547056381E-5</v>
      </c>
    </row>
    <row r="20" spans="2:24" x14ac:dyDescent="0.25">
      <c r="B20" s="22"/>
      <c r="C20" s="25"/>
      <c r="D20" s="23"/>
      <c r="E20" s="21"/>
      <c r="F20" s="21"/>
      <c r="G20" s="8">
        <v>3.48</v>
      </c>
      <c r="H20" s="2">
        <f t="shared" si="0"/>
        <v>0.13919999999999999</v>
      </c>
      <c r="I20" s="21"/>
      <c r="J20" s="21"/>
      <c r="K20" s="21"/>
      <c r="L20" s="21"/>
      <c r="M20" s="8">
        <v>7.03</v>
      </c>
      <c r="N20" s="2">
        <f t="shared" si="1"/>
        <v>0.1406</v>
      </c>
      <c r="O20" s="21"/>
      <c r="P20" s="21"/>
      <c r="Q20" s="21"/>
      <c r="R20" s="21"/>
      <c r="S20" s="8">
        <v>10.58</v>
      </c>
      <c r="T20" s="2">
        <f t="shared" si="2"/>
        <v>0.14106666666666667</v>
      </c>
      <c r="U20" s="21"/>
      <c r="V20" s="21"/>
      <c r="W20" s="21"/>
      <c r="X20" s="21"/>
    </row>
    <row r="21" spans="2:24" x14ac:dyDescent="0.25">
      <c r="B21" s="22">
        <v>7</v>
      </c>
      <c r="C21" s="24">
        <f>(B21/12*(53^4-18^4)+18^4)^(0.25)</f>
        <v>46.428212800925323</v>
      </c>
      <c r="D21" s="23">
        <v>46.3</v>
      </c>
      <c r="E21" s="21">
        <f>(D21*10^-2)^4</f>
        <v>4.5954068160999992E-2</v>
      </c>
      <c r="F21" s="21">
        <f>ABS(4*E21^3*E$3)</f>
        <v>1.9408943146478616E-9</v>
      </c>
      <c r="G21" s="8">
        <v>3.76</v>
      </c>
      <c r="H21" s="2">
        <f t="shared" si="0"/>
        <v>0.15039999999999998</v>
      </c>
      <c r="I21" s="21">
        <f>AVERAGE(H21:H22)</f>
        <v>0.15059999999999998</v>
      </c>
      <c r="J21" s="21">
        <f>SQRT(2)/50 * H$2</f>
        <v>2.8284271247461902E-4</v>
      </c>
      <c r="K21" s="21">
        <f>I21^2</f>
        <v>2.2680359999999997E-2</v>
      </c>
      <c r="L21" s="21">
        <f>ABS(2*I21*J21)</f>
        <v>8.519222499735524E-5</v>
      </c>
      <c r="M21" s="8">
        <v>7.59</v>
      </c>
      <c r="N21" s="2">
        <f t="shared" si="1"/>
        <v>0.15179999999999999</v>
      </c>
      <c r="O21" s="21">
        <f>AVERAGE(N21:N22)</f>
        <v>0.15189999999999998</v>
      </c>
      <c r="P21" s="21">
        <f>SQRT(2)/100 * H$2</f>
        <v>1.4142135623730951E-4</v>
      </c>
      <c r="Q21" s="21">
        <f>O21^2</f>
        <v>2.3073609999999994E-2</v>
      </c>
      <c r="R21" s="21">
        <f>ABS(2*O21*P21)</f>
        <v>4.2963808024894622E-5</v>
      </c>
      <c r="S21" s="8">
        <v>11.43</v>
      </c>
      <c r="T21" s="2">
        <f t="shared" si="2"/>
        <v>0.15240000000000001</v>
      </c>
      <c r="U21" s="21">
        <f>AVERAGE(T21:T22)</f>
        <v>0.15233333333333332</v>
      </c>
      <c r="V21" s="21">
        <f>SQRT(2)/150 * H$2</f>
        <v>9.4280904158206352E-5</v>
      </c>
      <c r="W21" s="21">
        <f>U21^2</f>
        <v>2.3205444444444442E-2</v>
      </c>
      <c r="X21" s="21">
        <f>ABS(2*U21*V21)</f>
        <v>2.8724248800200201E-5</v>
      </c>
    </row>
    <row r="22" spans="2:24" x14ac:dyDescent="0.25">
      <c r="B22" s="22"/>
      <c r="C22" s="25"/>
      <c r="D22" s="23"/>
      <c r="E22" s="21"/>
      <c r="F22" s="21"/>
      <c r="G22" s="8">
        <v>3.77</v>
      </c>
      <c r="H22" s="2">
        <f t="shared" si="0"/>
        <v>0.15079999999999999</v>
      </c>
      <c r="I22" s="21"/>
      <c r="J22" s="21"/>
      <c r="K22" s="21"/>
      <c r="L22" s="21"/>
      <c r="M22" s="8">
        <v>7.6</v>
      </c>
      <c r="N22" s="2">
        <f t="shared" si="1"/>
        <v>0.152</v>
      </c>
      <c r="O22" s="21"/>
      <c r="P22" s="21"/>
      <c r="Q22" s="21"/>
      <c r="R22" s="21"/>
      <c r="S22" s="8">
        <v>11.42</v>
      </c>
      <c r="T22" s="2">
        <f t="shared" si="2"/>
        <v>0.15226666666666666</v>
      </c>
      <c r="U22" s="21"/>
      <c r="V22" s="21"/>
      <c r="W22" s="21"/>
      <c r="X22" s="21"/>
    </row>
    <row r="23" spans="2:24" x14ac:dyDescent="0.25">
      <c r="B23" s="22">
        <v>8</v>
      </c>
      <c r="C23" s="24">
        <f>(B23/12*(53^4-18^4)+18^4)^(0.25)</f>
        <v>47.97035165300229</v>
      </c>
      <c r="D23" s="23">
        <v>48.1</v>
      </c>
      <c r="E23" s="21">
        <f>(D23*10^-2)^4</f>
        <v>5.3527912321000015E-2</v>
      </c>
      <c r="F23" s="21">
        <f>ABS(4*E23^3*E$3)</f>
        <v>3.0674035237853666E-9</v>
      </c>
      <c r="G23" s="8">
        <v>4.08</v>
      </c>
      <c r="H23" s="2">
        <f t="shared" si="0"/>
        <v>0.16320000000000001</v>
      </c>
      <c r="I23" s="21">
        <f>AVERAGE(H23:H24)</f>
        <v>0.16300000000000001</v>
      </c>
      <c r="J23" s="21">
        <f>SQRT(2)/50 * H$2</f>
        <v>2.8284271247461902E-4</v>
      </c>
      <c r="K23" s="21">
        <f>I23^2</f>
        <v>2.6569000000000002E-2</v>
      </c>
      <c r="L23" s="21">
        <f>ABS(2*I23*J23)</f>
        <v>9.2206724266725808E-5</v>
      </c>
      <c r="M23" s="8">
        <v>8.2200000000000006</v>
      </c>
      <c r="N23" s="2">
        <f t="shared" si="1"/>
        <v>0.16440000000000002</v>
      </c>
      <c r="O23" s="21">
        <f>AVERAGE(N23:N24)</f>
        <v>0.1643</v>
      </c>
      <c r="P23" s="21">
        <f>SQRT(2)/100 * H$2</f>
        <v>1.4142135623730951E-4</v>
      </c>
      <c r="Q23" s="21">
        <f>O23^2</f>
        <v>2.6994489999999999E-2</v>
      </c>
      <c r="R23" s="21">
        <f>ABS(2*O23*P23)</f>
        <v>4.6471057659579906E-5</v>
      </c>
      <c r="S23" s="8">
        <v>12.37</v>
      </c>
      <c r="T23" s="2">
        <f t="shared" si="2"/>
        <v>0.16493333333333332</v>
      </c>
      <c r="U23" s="21">
        <f>AVERAGE(T23:T24)</f>
        <v>0.16486666666666666</v>
      </c>
      <c r="V23" s="21">
        <f>SQRT(2)/150 * H$2</f>
        <v>9.4280904158206352E-5</v>
      </c>
      <c r="W23" s="21">
        <f>U23^2</f>
        <v>2.7181017777777775E-2</v>
      </c>
      <c r="X23" s="21">
        <f>ABS(2*U23*V23)</f>
        <v>3.1087556797765909E-5</v>
      </c>
    </row>
    <row r="24" spans="2:24" x14ac:dyDescent="0.25">
      <c r="B24" s="22"/>
      <c r="C24" s="25"/>
      <c r="D24" s="23"/>
      <c r="E24" s="21"/>
      <c r="F24" s="21"/>
      <c r="G24" s="8">
        <v>4.07</v>
      </c>
      <c r="H24" s="2">
        <f t="shared" si="0"/>
        <v>0.1628</v>
      </c>
      <c r="I24" s="21"/>
      <c r="J24" s="21"/>
      <c r="K24" s="21"/>
      <c r="L24" s="21"/>
      <c r="M24" s="8">
        <v>8.2100000000000009</v>
      </c>
      <c r="N24" s="2">
        <f t="shared" si="1"/>
        <v>0.16420000000000001</v>
      </c>
      <c r="O24" s="21"/>
      <c r="P24" s="21"/>
      <c r="Q24" s="21"/>
      <c r="R24" s="21"/>
      <c r="S24" s="8">
        <v>12.36</v>
      </c>
      <c r="T24" s="2">
        <f t="shared" si="2"/>
        <v>0.1648</v>
      </c>
      <c r="U24" s="21"/>
      <c r="V24" s="21"/>
      <c r="W24" s="21"/>
      <c r="X24" s="21"/>
    </row>
    <row r="25" spans="2:24" x14ac:dyDescent="0.25">
      <c r="B25" s="22">
        <v>9</v>
      </c>
      <c r="C25" s="24">
        <f>(B25/12*(53^4-18^4)+18^4)^(0.25)</f>
        <v>49.376649092699026</v>
      </c>
      <c r="D25" s="23">
        <v>49.5</v>
      </c>
      <c r="E25" s="21">
        <f>(D25*10^-2)^4</f>
        <v>6.0037250624999997E-2</v>
      </c>
      <c r="F25" s="21">
        <f>ABS(4*E25^3*E$3)</f>
        <v>4.3280511314264118E-9</v>
      </c>
      <c r="G25" s="8">
        <v>4.33</v>
      </c>
      <c r="H25" s="2">
        <f t="shared" si="0"/>
        <v>0.17319999999999999</v>
      </c>
      <c r="I25" s="21">
        <f>AVERAGE(H25:H26)</f>
        <v>0.17319999999999999</v>
      </c>
      <c r="J25" s="21">
        <f>SQRT(2)/50 * H$2</f>
        <v>2.8284271247461902E-4</v>
      </c>
      <c r="K25" s="21">
        <f>I25^2</f>
        <v>2.9998239999999999E-2</v>
      </c>
      <c r="L25" s="21">
        <f>ABS(2*I25*J25)</f>
        <v>9.7976715601208022E-5</v>
      </c>
      <c r="M25" s="8">
        <v>8.74</v>
      </c>
      <c r="N25" s="2">
        <f t="shared" si="1"/>
        <v>0.17480000000000001</v>
      </c>
      <c r="O25" s="21">
        <f>AVERAGE(N25:N26)</f>
        <v>0.17480000000000001</v>
      </c>
      <c r="P25" s="21">
        <f>SQRT(2)/100 * H$2</f>
        <v>1.4142135623730951E-4</v>
      </c>
      <c r="Q25" s="21">
        <f>O25^2</f>
        <v>3.0555040000000006E-2</v>
      </c>
      <c r="R25" s="21">
        <f>ABS(2*O25*P25)</f>
        <v>4.9440906140563409E-5</v>
      </c>
      <c r="S25" s="8">
        <v>13.15</v>
      </c>
      <c r="T25" s="2">
        <f t="shared" si="2"/>
        <v>0.17533333333333334</v>
      </c>
      <c r="U25" s="21">
        <f>AVERAGE(T25:T26)</f>
        <v>0.17526666666666668</v>
      </c>
      <c r="V25" s="21">
        <f>SQRT(2)/150 * H$2</f>
        <v>9.4280904158206352E-5</v>
      </c>
      <c r="W25" s="21">
        <f>U25^2</f>
        <v>3.0718404444444451E-2</v>
      </c>
      <c r="X25" s="21">
        <f>ABS(2*U25*V25)</f>
        <v>3.3048599604256606E-5</v>
      </c>
    </row>
    <row r="26" spans="2:24" x14ac:dyDescent="0.25">
      <c r="B26" s="22"/>
      <c r="C26" s="25"/>
      <c r="D26" s="23"/>
      <c r="E26" s="21"/>
      <c r="F26" s="21"/>
      <c r="G26" s="8">
        <v>4.33</v>
      </c>
      <c r="H26" s="2">
        <f t="shared" si="0"/>
        <v>0.17319999999999999</v>
      </c>
      <c r="I26" s="21"/>
      <c r="J26" s="21"/>
      <c r="K26" s="21"/>
      <c r="L26" s="21"/>
      <c r="M26" s="8">
        <v>8.74</v>
      </c>
      <c r="N26" s="2">
        <f t="shared" si="1"/>
        <v>0.17480000000000001</v>
      </c>
      <c r="O26" s="21"/>
      <c r="P26" s="21"/>
      <c r="Q26" s="21"/>
      <c r="R26" s="21"/>
      <c r="S26" s="8">
        <v>13.14</v>
      </c>
      <c r="T26" s="2">
        <f t="shared" si="2"/>
        <v>0.17519999999999999</v>
      </c>
      <c r="U26" s="21"/>
      <c r="V26" s="21"/>
      <c r="W26" s="21"/>
      <c r="X26" s="21"/>
    </row>
    <row r="27" spans="2:24" x14ac:dyDescent="0.25">
      <c r="B27" s="22">
        <v>10</v>
      </c>
      <c r="C27" s="24">
        <f>(B27/12*(53^4-18^4)+18^4)^(0.25)</f>
        <v>50.67211947050933</v>
      </c>
      <c r="D27" s="23">
        <v>50.5</v>
      </c>
      <c r="E27" s="21">
        <f>(D27*10^-2)^4</f>
        <v>6.5037750625000001E-2</v>
      </c>
      <c r="F27" s="21">
        <f>ABS(4*E27^3*E$3)</f>
        <v>5.5020753424412594E-9</v>
      </c>
      <c r="G27" s="8">
        <v>4.4800000000000004</v>
      </c>
      <c r="H27" s="2">
        <f t="shared" si="0"/>
        <v>0.17920000000000003</v>
      </c>
      <c r="I27" s="21">
        <f>AVERAGE(H27:H28)</f>
        <v>0.17899999999999999</v>
      </c>
      <c r="J27" s="21">
        <f>SQRT(2)/50 * H$2</f>
        <v>2.8284271247461902E-4</v>
      </c>
      <c r="K27" s="21">
        <f>I27^2</f>
        <v>3.2041E-2</v>
      </c>
      <c r="L27" s="21">
        <f>ABS(2*I27*J27)</f>
        <v>1.0125769106591361E-4</v>
      </c>
      <c r="M27" s="8">
        <v>9.0299999999999994</v>
      </c>
      <c r="N27" s="2">
        <f t="shared" si="1"/>
        <v>0.18059999999999998</v>
      </c>
      <c r="O27" s="21">
        <f>AVERAGE(N27:N28)</f>
        <v>0.18059999999999998</v>
      </c>
      <c r="P27" s="21">
        <f>SQRT(2)/100 * H$2</f>
        <v>1.4142135623730951E-4</v>
      </c>
      <c r="Q27" s="21">
        <f>O27^2</f>
        <v>3.2616359999999997E-2</v>
      </c>
      <c r="R27" s="21">
        <f>ABS(2*O27*P27)</f>
        <v>5.108139387291619E-5</v>
      </c>
      <c r="S27" s="8">
        <v>13.6</v>
      </c>
      <c r="T27" s="2">
        <f t="shared" si="2"/>
        <v>0.18133333333333332</v>
      </c>
      <c r="U27" s="21">
        <f>AVERAGE(T27:T28)</f>
        <v>0.18133333333333332</v>
      </c>
      <c r="V27" s="21">
        <f>SQRT(2)/150 * H$2</f>
        <v>9.4280904158206352E-5</v>
      </c>
      <c r="W27" s="21">
        <f>U27^2</f>
        <v>3.2881777777777774E-2</v>
      </c>
      <c r="X27" s="21">
        <f>ABS(2*U27*V27)</f>
        <v>3.4192541241376167E-5</v>
      </c>
    </row>
    <row r="28" spans="2:24" x14ac:dyDescent="0.25">
      <c r="B28" s="22"/>
      <c r="C28" s="25"/>
      <c r="D28" s="23"/>
      <c r="E28" s="21"/>
      <c r="F28" s="21"/>
      <c r="G28" s="8">
        <v>4.47</v>
      </c>
      <c r="H28" s="2">
        <f t="shared" si="0"/>
        <v>0.17879999999999999</v>
      </c>
      <c r="I28" s="21"/>
      <c r="J28" s="21"/>
      <c r="K28" s="21"/>
      <c r="L28" s="21"/>
      <c r="M28" s="8">
        <v>9.0299999999999994</v>
      </c>
      <c r="N28" s="2">
        <f t="shared" si="1"/>
        <v>0.18059999999999998</v>
      </c>
      <c r="O28" s="21"/>
      <c r="P28" s="21"/>
      <c r="Q28" s="21"/>
      <c r="R28" s="21"/>
      <c r="S28" s="8">
        <v>13.6</v>
      </c>
      <c r="T28" s="2">
        <f t="shared" si="2"/>
        <v>0.18133333333333332</v>
      </c>
      <c r="U28" s="21"/>
      <c r="V28" s="21"/>
      <c r="W28" s="21"/>
      <c r="X28" s="21"/>
    </row>
    <row r="29" spans="2:24" x14ac:dyDescent="0.25">
      <c r="B29" s="22">
        <v>11</v>
      </c>
      <c r="C29" s="24">
        <f>(B29/12*(53^4-18^4)+18^4)^(0.25)</f>
        <v>51.875221749713887</v>
      </c>
      <c r="D29" s="23">
        <v>52</v>
      </c>
      <c r="E29" s="21">
        <f>(D29*10^-2)^4</f>
        <v>7.3116160000000013E-2</v>
      </c>
      <c r="F29" s="21">
        <f>ABS(4*E29^3*E$3)</f>
        <v>7.8175401297250098E-9</v>
      </c>
      <c r="G29" s="8">
        <v>4.75</v>
      </c>
      <c r="H29" s="2">
        <f t="shared" si="0"/>
        <v>0.19</v>
      </c>
      <c r="I29" s="21">
        <f>AVERAGE(H29:H30)</f>
        <v>0.19</v>
      </c>
      <c r="J29" s="21">
        <f>SQRT(2)/50 * H$2</f>
        <v>2.8284271247461902E-4</v>
      </c>
      <c r="K29" s="21">
        <f>I29^2</f>
        <v>3.61E-2</v>
      </c>
      <c r="L29" s="21">
        <f>ABS(2*I29*J29)</f>
        <v>1.0748023074035523E-4</v>
      </c>
      <c r="M29" s="8">
        <v>9.59</v>
      </c>
      <c r="N29" s="2">
        <f t="shared" si="1"/>
        <v>0.1918</v>
      </c>
      <c r="O29" s="21">
        <f>AVERAGE(N29:N30)</f>
        <v>0.1918</v>
      </c>
      <c r="P29" s="21">
        <f>SQRT(2)/100 * H$2</f>
        <v>1.4142135623730951E-4</v>
      </c>
      <c r="Q29" s="21">
        <f>O29^2</f>
        <v>3.6787239999999999E-2</v>
      </c>
      <c r="R29" s="21">
        <f>ABS(2*O29*P29)</f>
        <v>5.424923225263193E-5</v>
      </c>
      <c r="S29" s="8">
        <v>14.43</v>
      </c>
      <c r="T29" s="2">
        <f t="shared" si="2"/>
        <v>0.19239999999999999</v>
      </c>
      <c r="U29" s="21">
        <f>AVERAGE(T29:T30)</f>
        <v>0.19246666666666667</v>
      </c>
      <c r="V29" s="21">
        <f>SQRT(2)/150 * H$2</f>
        <v>9.4280904158206352E-5</v>
      </c>
      <c r="W29" s="21">
        <f>U29^2</f>
        <v>3.7043417777777782E-2</v>
      </c>
      <c r="X29" s="21">
        <f>ABS(2*U29*V29)</f>
        <v>3.6291862707298898E-5</v>
      </c>
    </row>
    <row r="30" spans="2:24" x14ac:dyDescent="0.25">
      <c r="B30" s="22"/>
      <c r="C30" s="25"/>
      <c r="D30" s="23"/>
      <c r="E30" s="21"/>
      <c r="F30" s="21"/>
      <c r="G30" s="8">
        <v>4.75</v>
      </c>
      <c r="H30" s="2">
        <f t="shared" si="0"/>
        <v>0.19</v>
      </c>
      <c r="I30" s="21"/>
      <c r="J30" s="21"/>
      <c r="K30" s="21"/>
      <c r="L30" s="21"/>
      <c r="M30" s="8">
        <v>9.59</v>
      </c>
      <c r="N30" s="2">
        <f t="shared" si="1"/>
        <v>0.1918</v>
      </c>
      <c r="O30" s="21"/>
      <c r="P30" s="21"/>
      <c r="Q30" s="21"/>
      <c r="R30" s="21"/>
      <c r="S30" s="8">
        <v>14.44</v>
      </c>
      <c r="T30" s="2">
        <f t="shared" si="2"/>
        <v>0.19253333333333333</v>
      </c>
      <c r="U30" s="21"/>
      <c r="V30" s="21"/>
      <c r="W30" s="21"/>
      <c r="X30" s="21"/>
    </row>
    <row r="31" spans="2:24" x14ac:dyDescent="0.25">
      <c r="B31" s="22">
        <v>12</v>
      </c>
      <c r="C31" s="24">
        <f>(B31/12*(53^4-18^4)+18^4)^(0.25)</f>
        <v>53.000000000000007</v>
      </c>
      <c r="D31" s="23"/>
      <c r="E31" s="21">
        <f>(D31*10^-2)^4</f>
        <v>0</v>
      </c>
      <c r="F31" s="21">
        <f>ABS(4*E31^3*E$3)</f>
        <v>0</v>
      </c>
      <c r="G31" s="8"/>
      <c r="H31" s="2">
        <f t="shared" si="0"/>
        <v>0</v>
      </c>
      <c r="I31" s="21">
        <f>AVERAGE(H31:H32)</f>
        <v>0</v>
      </c>
      <c r="J31" s="21">
        <f>SQRT(2)/50 * H$2</f>
        <v>2.8284271247461902E-4</v>
      </c>
      <c r="K31" s="21">
        <f>I31^2</f>
        <v>0</v>
      </c>
      <c r="L31" s="21">
        <f>ABS(2*I31*J31)</f>
        <v>0</v>
      </c>
      <c r="M31" s="8"/>
      <c r="N31" s="2">
        <f t="shared" si="1"/>
        <v>0</v>
      </c>
      <c r="O31" s="21">
        <f>AVERAGE(N31:N32)</f>
        <v>0</v>
      </c>
      <c r="P31" s="21">
        <f>SQRT(2)/100 * H$2</f>
        <v>1.4142135623730951E-4</v>
      </c>
      <c r="Q31" s="21">
        <f>O31^2</f>
        <v>0</v>
      </c>
      <c r="R31" s="21">
        <f>ABS(2*O31*P31)</f>
        <v>0</v>
      </c>
      <c r="S31" s="8"/>
      <c r="T31" s="2">
        <f t="shared" si="2"/>
        <v>0</v>
      </c>
      <c r="U31" s="21">
        <f>AVERAGE(T31:T32)</f>
        <v>0</v>
      </c>
      <c r="V31" s="21">
        <f>SQRT(2)/150 * H$2</f>
        <v>9.4280904158206352E-5</v>
      </c>
      <c r="W31" s="21">
        <f>U31^2</f>
        <v>0</v>
      </c>
      <c r="X31" s="21">
        <f>ABS(2*U31*V31)</f>
        <v>0</v>
      </c>
    </row>
    <row r="32" spans="2:24" x14ac:dyDescent="0.25">
      <c r="B32" s="22"/>
      <c r="C32" s="25"/>
      <c r="D32" s="23"/>
      <c r="E32" s="21"/>
      <c r="F32" s="21"/>
      <c r="G32" s="8"/>
      <c r="H32" s="2">
        <f t="shared" si="0"/>
        <v>0</v>
      </c>
      <c r="I32" s="21"/>
      <c r="J32" s="21"/>
      <c r="K32" s="21"/>
      <c r="L32" s="21"/>
      <c r="M32" s="8"/>
      <c r="N32" s="2">
        <f t="shared" si="1"/>
        <v>0</v>
      </c>
      <c r="O32" s="21"/>
      <c r="P32" s="21"/>
      <c r="Q32" s="21"/>
      <c r="R32" s="21"/>
      <c r="S32" s="2"/>
      <c r="T32" s="2">
        <f t="shared" si="2"/>
        <v>0</v>
      </c>
      <c r="U32" s="21"/>
      <c r="V32" s="21"/>
      <c r="W32" s="21"/>
      <c r="X32" s="21"/>
    </row>
    <row r="35" spans="3:64" ht="16.149999999999999" customHeight="1" x14ac:dyDescent="0.25">
      <c r="C35" s="17" t="s">
        <v>0</v>
      </c>
      <c r="D35" s="17" t="s">
        <v>1</v>
      </c>
      <c r="E35" s="17" t="s">
        <v>2</v>
      </c>
      <c r="F35" s="15" t="s">
        <v>12</v>
      </c>
      <c r="G35" s="15"/>
      <c r="H35" s="15"/>
      <c r="I35" s="15"/>
      <c r="J35" s="15" t="s">
        <v>13</v>
      </c>
      <c r="K35" s="15"/>
      <c r="L35" s="15"/>
      <c r="M35" s="15"/>
      <c r="N35" s="15" t="s">
        <v>14</v>
      </c>
      <c r="O35" s="15"/>
      <c r="P35" s="15"/>
      <c r="Q35" s="15"/>
      <c r="AC35" s="17" t="s">
        <v>0</v>
      </c>
      <c r="AD35" s="17" t="s">
        <v>1</v>
      </c>
      <c r="AE35" s="17" t="s">
        <v>2</v>
      </c>
      <c r="AF35" s="18" t="s">
        <v>51</v>
      </c>
      <c r="AG35" s="19"/>
      <c r="AH35" s="19"/>
      <c r="AI35" s="19"/>
      <c r="AJ35" s="19"/>
      <c r="AK35" s="19"/>
      <c r="AL35" s="19"/>
      <c r="AM35" s="20"/>
    </row>
    <row r="36" spans="3:64" ht="18" x14ac:dyDescent="0.25">
      <c r="C36" s="17"/>
      <c r="D36" s="17"/>
      <c r="E36" s="17"/>
      <c r="F36" s="4" t="s">
        <v>7</v>
      </c>
      <c r="G36" s="4" t="s">
        <v>10</v>
      </c>
      <c r="H36" s="4" t="s">
        <v>40</v>
      </c>
      <c r="I36" s="4" t="s">
        <v>41</v>
      </c>
      <c r="J36" s="4" t="s">
        <v>7</v>
      </c>
      <c r="K36" s="4" t="s">
        <v>10</v>
      </c>
      <c r="L36" s="4" t="s">
        <v>40</v>
      </c>
      <c r="M36" s="4" t="s">
        <v>41</v>
      </c>
      <c r="N36" s="4" t="s">
        <v>7</v>
      </c>
      <c r="O36" s="4" t="s">
        <v>10</v>
      </c>
      <c r="P36" s="4" t="s">
        <v>40</v>
      </c>
      <c r="Q36" s="4" t="s">
        <v>41</v>
      </c>
      <c r="AC36" s="17"/>
      <c r="AD36" s="17"/>
      <c r="AE36" s="17"/>
      <c r="AF36" s="4" t="s">
        <v>9</v>
      </c>
      <c r="AG36" s="4" t="s">
        <v>8</v>
      </c>
      <c r="AH36" s="4" t="s">
        <v>7</v>
      </c>
      <c r="AI36" s="4" t="s">
        <v>10</v>
      </c>
      <c r="AJ36" s="4" t="s">
        <v>40</v>
      </c>
      <c r="AK36" s="4" t="s">
        <v>41</v>
      </c>
      <c r="AL36" s="4" t="s">
        <v>53</v>
      </c>
      <c r="AM36" s="4" t="s">
        <v>54</v>
      </c>
    </row>
    <row r="37" spans="3:64" x14ac:dyDescent="0.25">
      <c r="C37" s="2">
        <f>D7</f>
        <v>18</v>
      </c>
      <c r="D37" s="2">
        <f>E7</f>
        <v>1.0497599999999998E-3</v>
      </c>
      <c r="E37" s="2">
        <f>F7</f>
        <v>2.3136627628523511E-14</v>
      </c>
      <c r="F37" s="2">
        <f>K7</f>
        <v>5.6644000000000009E-4</v>
      </c>
      <c r="G37" s="2">
        <f>L7</f>
        <v>1.3463313113791866E-5</v>
      </c>
      <c r="H37" s="2">
        <f t="shared" ref="H37:H49" si="3">D37*C$102+D$102</f>
        <v>7.2698272049712966E-4</v>
      </c>
      <c r="I37" s="2">
        <f>F37-H37</f>
        <v>-1.6054272049712958E-4</v>
      </c>
      <c r="J37" s="2">
        <f>Q7</f>
        <v>5.5225000000000001E-4</v>
      </c>
      <c r="K37" s="2">
        <f>R7</f>
        <v>6.6468037431535469E-6</v>
      </c>
      <c r="L37" s="2">
        <f t="shared" ref="L37:L49" si="4">D37*L$102+M$102</f>
        <v>5.8651067549836866E-4</v>
      </c>
      <c r="M37" s="2">
        <f>J37-L37</f>
        <v>-3.4260675498368654E-5</v>
      </c>
      <c r="N37" s="2">
        <f>W7</f>
        <v>5.6011111111111105E-4</v>
      </c>
      <c r="O37" s="2">
        <f>X7</f>
        <v>4.462629463488434E-6</v>
      </c>
      <c r="P37" s="2">
        <f t="shared" ref="P37:P49" si="5">D37*S$102+T$102</f>
        <v>5.8528468564027539E-4</v>
      </c>
      <c r="Q37" s="2">
        <f>N37-P37</f>
        <v>-2.517357452916434E-5</v>
      </c>
      <c r="AC37" s="2">
        <f>C37</f>
        <v>18</v>
      </c>
      <c r="AD37" s="2">
        <f>D37</f>
        <v>1.0497599999999998E-3</v>
      </c>
      <c r="AE37" s="2">
        <f>E37</f>
        <v>2.3136627628523511E-14</v>
      </c>
      <c r="AF37" s="2">
        <f>AVERAGE(I7,O7,U7)</f>
        <v>2.3655555555555555E-2</v>
      </c>
      <c r="AG37" s="2">
        <f>_xlfn.STDEV.P(I7,O7,U7)/SQRT(3)</f>
        <v>7.0856023961885523E-5</v>
      </c>
      <c r="AH37" s="2">
        <f t="shared" ref="AH37:AH49" si="6">AVERAGE(F37,J37,N37)</f>
        <v>5.5960037037037038E-4</v>
      </c>
      <c r="AI37" s="2">
        <f>_xlfn.STDEV.P(F37,J37,N37)/SQRT(3)</f>
        <v>3.3511081775101674E-6</v>
      </c>
      <c r="AJ37" s="2">
        <f>AD37*AP$47+AQ$47</f>
        <v>6.3292602721192902E-4</v>
      </c>
      <c r="AK37" s="2">
        <f>AH37-AJ37</f>
        <v>-7.3325656841558636E-5</v>
      </c>
      <c r="AL37" s="2">
        <f>LOG(AC37/100)</f>
        <v>-0.74472749489669399</v>
      </c>
      <c r="AM37" s="2">
        <f>LOG(AF37)</f>
        <v>-1.6260668480010023</v>
      </c>
    </row>
    <row r="38" spans="3:64" x14ac:dyDescent="0.25">
      <c r="C38" s="2">
        <f>D9</f>
        <v>29.5</v>
      </c>
      <c r="D38" s="2">
        <f>E9</f>
        <v>7.5733506249999983E-3</v>
      </c>
      <c r="E38" s="2">
        <f>F9</f>
        <v>8.6874873937477132E-12</v>
      </c>
      <c r="F38" s="2">
        <f>K9</f>
        <v>3.7699600000000006E-3</v>
      </c>
      <c r="G38" s="2">
        <f>L9</f>
        <v>3.4733085091883214E-5</v>
      </c>
      <c r="H38" s="2">
        <f t="shared" si="3"/>
        <v>3.9367118887295542E-3</v>
      </c>
      <c r="I38" s="2">
        <f t="shared" ref="I38:I49" si="7">F38-H38</f>
        <v>-1.6675188872955363E-4</v>
      </c>
      <c r="J38" s="2">
        <f>Q9</f>
        <v>3.8439999999999998E-3</v>
      </c>
      <c r="K38" s="2">
        <f>R9</f>
        <v>1.7536248173426379E-5</v>
      </c>
      <c r="L38" s="2">
        <f t="shared" si="4"/>
        <v>3.8680096372900757E-3</v>
      </c>
      <c r="M38" s="2">
        <f t="shared" ref="M38:M49" si="8">J38-L38</f>
        <v>-2.4009637290075929E-5</v>
      </c>
      <c r="N38" s="2">
        <f>W9</f>
        <v>3.885444444444444E-3</v>
      </c>
      <c r="O38" s="2">
        <f>X9</f>
        <v>1.1753686051723058E-5</v>
      </c>
      <c r="P38" s="2">
        <f t="shared" si="5"/>
        <v>3.8893762091195281E-3</v>
      </c>
      <c r="Q38" s="2">
        <f t="shared" ref="Q38:Q49" si="9">N38-P38</f>
        <v>-3.9317646750840901E-6</v>
      </c>
      <c r="AC38" s="2">
        <f t="shared" ref="AC38:AC45" si="10">C38</f>
        <v>29.5</v>
      </c>
      <c r="AD38" s="2">
        <f t="shared" ref="AD38:AD45" si="11">D38</f>
        <v>7.5733506249999983E-3</v>
      </c>
      <c r="AE38" s="2">
        <f t="shared" ref="AE38:AE45" si="12">E38</f>
        <v>8.6874873937477132E-12</v>
      </c>
      <c r="AF38" s="2">
        <f>AVERAGE(I9,O9,U9)</f>
        <v>6.1911111111111111E-2</v>
      </c>
      <c r="AG38" s="2">
        <f>_xlfn.STDEV.P(I9,O9,U9)/SQRT(3)</f>
        <v>2.229617324932196E-4</v>
      </c>
      <c r="AH38" s="2">
        <f t="shared" si="6"/>
        <v>3.8331348148148148E-3</v>
      </c>
      <c r="AI38" s="2">
        <f t="shared" ref="AI38:AI49" si="13">_xlfn.STDEV.P(F38,J38,N38)/SQRT(3)</f>
        <v>2.7578991255389012E-5</v>
      </c>
      <c r="AJ38" s="2">
        <f t="shared" ref="AJ38:AJ49" si="14">AD38*AP$47+AQ$47</f>
        <v>3.8980325783797226E-3</v>
      </c>
      <c r="AK38" s="2">
        <f t="shared" ref="AK38:AK49" si="15">AH38-AJ38</f>
        <v>-6.4897763564907875E-5</v>
      </c>
      <c r="AL38" s="2">
        <f t="shared" ref="AL38:AL49" si="16">LOG(AC38/100)</f>
        <v>-0.53017798402183702</v>
      </c>
      <c r="AM38" s="2">
        <f t="shared" ref="AM38:AM49" si="17">LOG(AF38)</f>
        <v>-1.208231401687399</v>
      </c>
    </row>
    <row r="39" spans="3:64" x14ac:dyDescent="0.25">
      <c r="C39" s="2">
        <f>D11</f>
        <v>34.4</v>
      </c>
      <c r="D39" s="2">
        <f>E11</f>
        <v>1.4003408895999997E-2</v>
      </c>
      <c r="E39" s="2">
        <f>F11</f>
        <v>5.4920098379032666E-11</v>
      </c>
      <c r="F39" s="2">
        <f>K11</f>
        <v>6.9889599999999989E-3</v>
      </c>
      <c r="G39" s="2">
        <f>L11</f>
        <v>4.7291301525756293E-5</v>
      </c>
      <c r="H39" s="2">
        <f t="shared" si="3"/>
        <v>7.1004213812857122E-3</v>
      </c>
      <c r="I39" s="2">
        <f t="shared" si="7"/>
        <v>-1.1146138128571327E-4</v>
      </c>
      <c r="J39" s="2">
        <f>Q11</f>
        <v>7.1233599999999979E-3</v>
      </c>
      <c r="K39" s="2">
        <f>R11</f>
        <v>2.3871924932857842E-5</v>
      </c>
      <c r="L39" s="2">
        <f t="shared" si="4"/>
        <v>7.1024599198822149E-3</v>
      </c>
      <c r="M39" s="2">
        <f t="shared" si="8"/>
        <v>2.0900080117782979E-5</v>
      </c>
      <c r="N39" s="2">
        <f>W11</f>
        <v>7.1684444444444443E-3</v>
      </c>
      <c r="O39" s="2">
        <f>X11</f>
        <v>1.5964899770789608E-5</v>
      </c>
      <c r="P39" s="2">
        <f t="shared" si="5"/>
        <v>7.1460951312528062E-3</v>
      </c>
      <c r="Q39" s="2">
        <f t="shared" si="9"/>
        <v>2.2349313191638055E-5</v>
      </c>
      <c r="AC39" s="2">
        <f t="shared" si="10"/>
        <v>34.4</v>
      </c>
      <c r="AD39" s="2">
        <f t="shared" si="11"/>
        <v>1.4003408895999997E-2</v>
      </c>
      <c r="AE39" s="2">
        <f t="shared" si="12"/>
        <v>5.4920098379032666E-11</v>
      </c>
      <c r="AF39" s="2">
        <f>AVERAGE(I11,O11,U11)</f>
        <v>8.4222222222222212E-2</v>
      </c>
      <c r="AG39" s="2">
        <f>_xlfn.STDEV.P(I11,O11,U11)/SQRT(3)</f>
        <v>2.6168180344675204E-4</v>
      </c>
      <c r="AH39" s="2">
        <f t="shared" si="6"/>
        <v>7.093588148148147E-3</v>
      </c>
      <c r="AI39" s="2">
        <f t="shared" si="13"/>
        <v>4.4016256646832496E-5</v>
      </c>
      <c r="AJ39" s="2">
        <f t="shared" si="14"/>
        <v>7.1163254774735795E-3</v>
      </c>
      <c r="AK39" s="2">
        <f t="shared" si="15"/>
        <v>-2.273732932543248E-5</v>
      </c>
      <c r="AL39" s="2">
        <f t="shared" si="16"/>
        <v>-0.46344155742846993</v>
      </c>
      <c r="AM39" s="2">
        <f t="shared" si="17"/>
        <v>-1.0745733038072713</v>
      </c>
    </row>
    <row r="40" spans="3:64" x14ac:dyDescent="0.25">
      <c r="C40" s="2">
        <f>D13</f>
        <v>37.9</v>
      </c>
      <c r="D40" s="2">
        <f>E13</f>
        <v>2.0632736880999997E-2</v>
      </c>
      <c r="E40" s="2">
        <f>F13</f>
        <v>1.7567117869632878E-10</v>
      </c>
      <c r="F40" s="2">
        <f>K13</f>
        <v>1.1406239999999998E-2</v>
      </c>
      <c r="G40" s="2">
        <f>L13</f>
        <v>6.0415203384578618E-5</v>
      </c>
      <c r="H40" s="2">
        <f t="shared" si="3"/>
        <v>1.0362175317483079E-2</v>
      </c>
      <c r="I40" s="2">
        <f t="shared" si="7"/>
        <v>1.0440646825169188E-3</v>
      </c>
      <c r="J40" s="2">
        <f>Q13</f>
        <v>1.048576E-2</v>
      </c>
      <c r="K40" s="2">
        <f>R13</f>
        <v>2.8963093757400989E-5</v>
      </c>
      <c r="L40" s="2">
        <f t="shared" si="4"/>
        <v>1.0437146927492263E-2</v>
      </c>
      <c r="M40" s="2">
        <f t="shared" si="8"/>
        <v>4.8613072507737096E-5</v>
      </c>
      <c r="N40" s="2">
        <f>W13</f>
        <v>1.0540444444444444E-2</v>
      </c>
      <c r="O40" s="2">
        <f>X13</f>
        <v>1.9359012320485038E-5</v>
      </c>
      <c r="P40" s="2">
        <f t="shared" si="5"/>
        <v>1.050374089119077E-2</v>
      </c>
      <c r="Q40" s="2">
        <f t="shared" si="9"/>
        <v>3.6703553253674553E-5</v>
      </c>
      <c r="AC40" s="2">
        <f t="shared" si="10"/>
        <v>37.9</v>
      </c>
      <c r="AD40" s="2">
        <f t="shared" si="11"/>
        <v>2.0632736880999997E-2</v>
      </c>
      <c r="AE40" s="2">
        <f t="shared" si="12"/>
        <v>1.7567117869632878E-10</v>
      </c>
      <c r="AF40" s="2">
        <f>AVERAGE(I13,O13,U13)</f>
        <v>0.10395555555555556</v>
      </c>
      <c r="AG40" s="2">
        <f>_xlfn.STDEV.P(I13,O13,U13)/SQRT(3)</f>
        <v>1.1629393722542407E-3</v>
      </c>
      <c r="AH40" s="2">
        <f t="shared" si="6"/>
        <v>1.0810814814814815E-2</v>
      </c>
      <c r="AI40" s="2">
        <f t="shared" si="13"/>
        <v>2.4342279655897167E-4</v>
      </c>
      <c r="AJ40" s="2">
        <f t="shared" si="14"/>
        <v>1.0434354378722038E-2</v>
      </c>
      <c r="AK40" s="2">
        <f t="shared" si="15"/>
        <v>3.7646043609277681E-4</v>
      </c>
      <c r="AL40" s="2">
        <f t="shared" si="16"/>
        <v>-0.42136079003192767</v>
      </c>
      <c r="AM40" s="2">
        <f t="shared" si="17"/>
        <v>-0.98315229630220935</v>
      </c>
    </row>
    <row r="41" spans="3:64" x14ac:dyDescent="0.25">
      <c r="C41" s="2">
        <f>D15</f>
        <v>40</v>
      </c>
      <c r="D41" s="2">
        <f>E15</f>
        <v>2.5600000000000012E-2</v>
      </c>
      <c r="E41" s="2">
        <f>F15</f>
        <v>3.3554432000000049E-10</v>
      </c>
      <c r="F41" s="2">
        <f>K15</f>
        <v>1.2814240000000003E-2</v>
      </c>
      <c r="G41" s="2">
        <f>L15</f>
        <v>6.4035590104253757E-5</v>
      </c>
      <c r="H41" s="2">
        <f t="shared" si="3"/>
        <v>1.2806162108781702E-2</v>
      </c>
      <c r="I41" s="2">
        <f t="shared" si="7"/>
        <v>8.0778912183009782E-6</v>
      </c>
      <c r="J41" s="2">
        <f>Q15</f>
        <v>1.3087360000000001E-2</v>
      </c>
      <c r="K41" s="2">
        <f>R15</f>
        <v>3.2357206307096415E-5</v>
      </c>
      <c r="L41" s="2">
        <f t="shared" si="4"/>
        <v>1.2935781453312895E-2</v>
      </c>
      <c r="M41" s="2">
        <f t="shared" si="8"/>
        <v>1.5157854668710648E-4</v>
      </c>
      <c r="N41" s="2">
        <f>W15</f>
        <v>1.3163737777777776E-2</v>
      </c>
      <c r="O41" s="2">
        <f>X15</f>
        <v>2.1634324807503081E-5</v>
      </c>
      <c r="P41" s="2">
        <f t="shared" si="5"/>
        <v>1.3019578090337377E-2</v>
      </c>
      <c r="Q41" s="2">
        <f t="shared" si="9"/>
        <v>1.4415968744039935E-4</v>
      </c>
      <c r="AC41" s="2">
        <f t="shared" si="10"/>
        <v>40</v>
      </c>
      <c r="AD41" s="2">
        <f t="shared" si="11"/>
        <v>2.5600000000000012E-2</v>
      </c>
      <c r="AE41" s="2">
        <f t="shared" si="12"/>
        <v>3.3554432000000049E-10</v>
      </c>
      <c r="AF41" s="2">
        <f>AVERAGE(I15,O15,U15)</f>
        <v>0.11411111111111112</v>
      </c>
      <c r="AG41" s="2">
        <f>_xlfn.STDEV.P(I15,O15,U15)/SQRT(3)</f>
        <v>3.8016673838092507E-4</v>
      </c>
      <c r="AH41" s="2">
        <f t="shared" si="6"/>
        <v>1.3021779259259259E-2</v>
      </c>
      <c r="AI41" s="2">
        <f t="shared" si="13"/>
        <v>8.6618960376247484E-5</v>
      </c>
      <c r="AJ41" s="2">
        <f t="shared" si="14"/>
        <v>1.2920507217477324E-2</v>
      </c>
      <c r="AK41" s="2">
        <f t="shared" si="15"/>
        <v>1.0127204178193502E-4</v>
      </c>
      <c r="AL41" s="2">
        <f t="shared" si="16"/>
        <v>-0.3979400086720376</v>
      </c>
      <c r="AM41" s="2">
        <f t="shared" si="17"/>
        <v>-0.94267206584204666</v>
      </c>
    </row>
    <row r="42" spans="3:64" x14ac:dyDescent="0.25">
      <c r="C42" s="2">
        <f>D17</f>
        <v>42.8</v>
      </c>
      <c r="D42" s="2">
        <f>E17</f>
        <v>3.3556377855999991E-2</v>
      </c>
      <c r="E42" s="2">
        <f>F17</f>
        <v>7.5571009522757846E-10</v>
      </c>
      <c r="F42" s="2">
        <f>K17</f>
        <v>1.6744360000000003E-2</v>
      </c>
      <c r="G42" s="2">
        <f>L17</f>
        <v>7.3199693988431407E-5</v>
      </c>
      <c r="H42" s="2">
        <f t="shared" si="3"/>
        <v>1.672084951727949E-2</v>
      </c>
      <c r="I42" s="2">
        <f t="shared" si="7"/>
        <v>2.3510482720513759E-5</v>
      </c>
      <c r="J42" s="2">
        <f>Q17</f>
        <v>1.705636E-2</v>
      </c>
      <c r="K42" s="2">
        <f>R17</f>
        <v>3.693925824918524E-5</v>
      </c>
      <c r="L42" s="2">
        <f t="shared" si="4"/>
        <v>1.6938001576389129E-2</v>
      </c>
      <c r="M42" s="2">
        <f t="shared" si="8"/>
        <v>1.1835842361087104E-4</v>
      </c>
      <c r="N42" s="2">
        <f>W17</f>
        <v>1.7108640000000001E-2</v>
      </c>
      <c r="O42" s="2">
        <f>X17</f>
        <v>2.4663884527786781E-5</v>
      </c>
      <c r="P42" s="2">
        <f t="shared" si="5"/>
        <v>1.7049352817596196E-2</v>
      </c>
      <c r="Q42" s="2">
        <f t="shared" si="9"/>
        <v>5.9287182403805483E-5</v>
      </c>
      <c r="AC42" s="2">
        <f t="shared" si="10"/>
        <v>42.8</v>
      </c>
      <c r="AD42" s="2">
        <f t="shared" si="11"/>
        <v>3.3556377855999991E-2</v>
      </c>
      <c r="AE42" s="2">
        <f t="shared" si="12"/>
        <v>7.5571009522757846E-10</v>
      </c>
      <c r="AF42" s="2">
        <f>AVERAGE(I17,O17,U17)</f>
        <v>0.13026666666666667</v>
      </c>
      <c r="AG42" s="2">
        <f>_xlfn.STDEV.P(I17,O17,U17)/SQRT(3)</f>
        <v>3.5694174231575107E-4</v>
      </c>
      <c r="AH42" s="2">
        <f t="shared" si="6"/>
        <v>1.696978666666667E-2</v>
      </c>
      <c r="AI42" s="2">
        <f t="shared" si="13"/>
        <v>9.2851358074592352E-5</v>
      </c>
      <c r="AJ42" s="2">
        <f t="shared" si="14"/>
        <v>1.690273463708827E-2</v>
      </c>
      <c r="AK42" s="2">
        <f t="shared" si="15"/>
        <v>6.705202957840023E-5</v>
      </c>
      <c r="AL42" s="2">
        <f t="shared" si="16"/>
        <v>-0.36855623098682799</v>
      </c>
      <c r="AM42" s="2">
        <f t="shared" si="17"/>
        <v>-0.88516669967292694</v>
      </c>
    </row>
    <row r="43" spans="3:64" x14ac:dyDescent="0.25">
      <c r="C43" s="2">
        <f>D19</f>
        <v>44.6</v>
      </c>
      <c r="D43" s="2">
        <f>E19</f>
        <v>3.9567575056000004E-2</v>
      </c>
      <c r="E43" s="2">
        <f>F19</f>
        <v>1.2389343673789378E-9</v>
      </c>
      <c r="F43" s="2">
        <f>K19</f>
        <v>1.9376639999999997E-2</v>
      </c>
      <c r="G43" s="2">
        <f>L19</f>
        <v>7.8743411152933925E-5</v>
      </c>
      <c r="H43" s="2">
        <f t="shared" si="3"/>
        <v>1.9678471492345886E-2</v>
      </c>
      <c r="I43" s="2">
        <f t="shared" si="7"/>
        <v>-3.0183149234588869E-4</v>
      </c>
      <c r="J43" s="2">
        <f>Q19</f>
        <v>1.9740250000000004E-2</v>
      </c>
      <c r="K43" s="2">
        <f>R19</f>
        <v>3.9739401102683978E-5</v>
      </c>
      <c r="L43" s="2">
        <f t="shared" si="4"/>
        <v>1.9961756208589899E-2</v>
      </c>
      <c r="M43" s="2">
        <f t="shared" si="8"/>
        <v>-2.2150620858989514E-4</v>
      </c>
      <c r="N43" s="2">
        <f>W19</f>
        <v>1.9918617777777779E-2</v>
      </c>
      <c r="O43" s="2">
        <f>X19</f>
        <v>2.6612356547056381E-5</v>
      </c>
      <c r="P43" s="2">
        <f t="shared" si="5"/>
        <v>2.00939254856554E-2</v>
      </c>
      <c r="Q43" s="2">
        <f t="shared" si="9"/>
        <v>-1.7530770787762065E-4</v>
      </c>
      <c r="AC43" s="2">
        <f t="shared" si="10"/>
        <v>44.6</v>
      </c>
      <c r="AD43" s="2">
        <f t="shared" si="11"/>
        <v>3.9567575056000004E-2</v>
      </c>
      <c r="AE43" s="2">
        <f t="shared" si="12"/>
        <v>1.2389343673789378E-9</v>
      </c>
      <c r="AF43" s="2">
        <f>AVERAGE(I19,O19,U19)</f>
        <v>0.14027777777777778</v>
      </c>
      <c r="AG43" s="2">
        <f>_xlfn.STDEV.P(I19,O19,U19)/SQRT(3)</f>
        <v>4.6463402120653453E-4</v>
      </c>
      <c r="AH43" s="2">
        <f t="shared" si="6"/>
        <v>1.9678502592592594E-2</v>
      </c>
      <c r="AI43" s="2">
        <f t="shared" si="13"/>
        <v>1.3020883622720023E-4</v>
      </c>
      <c r="AJ43" s="2">
        <f t="shared" si="14"/>
        <v>1.9911384395530394E-2</v>
      </c>
      <c r="AK43" s="2">
        <f t="shared" si="15"/>
        <v>-2.3288180293780034E-4</v>
      </c>
      <c r="AL43" s="2">
        <f t="shared" si="16"/>
        <v>-0.35066514128785814</v>
      </c>
      <c r="AM43" s="2">
        <f t="shared" si="17"/>
        <v>-0.85301112264862589</v>
      </c>
    </row>
    <row r="44" spans="3:64" x14ac:dyDescent="0.25">
      <c r="C44" s="2">
        <f>D21</f>
        <v>46.3</v>
      </c>
      <c r="D44" s="2">
        <f>E21</f>
        <v>4.5954068160999992E-2</v>
      </c>
      <c r="E44" s="2">
        <f>F21</f>
        <v>1.9408943146478616E-9</v>
      </c>
      <c r="F44" s="2">
        <f>K21</f>
        <v>2.2680359999999997E-2</v>
      </c>
      <c r="G44" s="2">
        <f>L21</f>
        <v>8.519222499735524E-5</v>
      </c>
      <c r="H44" s="2">
        <f t="shared" si="3"/>
        <v>2.2820746104624107E-2</v>
      </c>
      <c r="I44" s="2">
        <f t="shared" si="7"/>
        <v>-1.4038610462411075E-4</v>
      </c>
      <c r="J44" s="2">
        <f>Q21</f>
        <v>2.3073609999999994E-2</v>
      </c>
      <c r="K44" s="2">
        <f>R21</f>
        <v>4.2963808024894622E-5</v>
      </c>
      <c r="L44" s="2">
        <f t="shared" si="4"/>
        <v>2.3174292325315857E-2</v>
      </c>
      <c r="M44" s="2">
        <f t="shared" si="8"/>
        <v>-1.006823253158623E-4</v>
      </c>
      <c r="N44" s="2">
        <f>W21</f>
        <v>2.3205444444444442E-2</v>
      </c>
      <c r="O44" s="2">
        <f>X21</f>
        <v>2.8724248800200201E-5</v>
      </c>
      <c r="P44" s="2">
        <f t="shared" si="5"/>
        <v>2.3328579366621322E-2</v>
      </c>
      <c r="Q44" s="2">
        <f t="shared" si="9"/>
        <v>-1.2313492217688043E-4</v>
      </c>
      <c r="AC44" s="2">
        <f t="shared" si="10"/>
        <v>46.3</v>
      </c>
      <c r="AD44" s="2">
        <f t="shared" si="11"/>
        <v>4.5954068160999992E-2</v>
      </c>
      <c r="AE44" s="2">
        <f t="shared" si="12"/>
        <v>1.9408943146478616E-9</v>
      </c>
      <c r="AF44" s="2">
        <f>AVERAGE(I21,O21,U21)</f>
        <v>0.15161111111111111</v>
      </c>
      <c r="AG44" s="2">
        <f>_xlfn.STDEV.P(I21,O21,U21)/SQRT(3)</f>
        <v>4.2523293060097079E-4</v>
      </c>
      <c r="AH44" s="2">
        <f t="shared" si="6"/>
        <v>2.2986471481481478E-2</v>
      </c>
      <c r="AI44" s="2">
        <f t="shared" si="13"/>
        <v>1.2877479006784961E-4</v>
      </c>
      <c r="AJ44" s="2">
        <f t="shared" si="14"/>
        <v>2.310787259885376E-2</v>
      </c>
      <c r="AK44" s="2">
        <f t="shared" si="15"/>
        <v>-1.2140111737228218E-4</v>
      </c>
      <c r="AL44" s="2">
        <f t="shared" si="16"/>
        <v>-0.33441900898204691</v>
      </c>
      <c r="AM44" s="2">
        <f t="shared" si="17"/>
        <v>-0.81926896943340954</v>
      </c>
    </row>
    <row r="45" spans="3:64" x14ac:dyDescent="0.25">
      <c r="C45" s="2">
        <f>D23</f>
        <v>48.1</v>
      </c>
      <c r="D45" s="2">
        <f>E23</f>
        <v>5.3527912321000015E-2</v>
      </c>
      <c r="E45" s="2">
        <f>F23</f>
        <v>3.0674035237853666E-9</v>
      </c>
      <c r="F45" s="2">
        <f>K23</f>
        <v>2.6569000000000002E-2</v>
      </c>
      <c r="G45" s="2">
        <f>L23</f>
        <v>9.2206724266725808E-5</v>
      </c>
      <c r="H45" s="2">
        <f t="shared" si="3"/>
        <v>2.6547219746737249E-2</v>
      </c>
      <c r="I45" s="2">
        <f t="shared" si="7"/>
        <v>2.1780253262753541E-5</v>
      </c>
      <c r="J45" s="2">
        <f>Q23</f>
        <v>2.6994489999999999E-2</v>
      </c>
      <c r="K45" s="2">
        <f>R23</f>
        <v>4.6471057659579906E-5</v>
      </c>
      <c r="L45" s="2">
        <f t="shared" si="4"/>
        <v>2.6984090207569124E-2</v>
      </c>
      <c r="M45" s="2">
        <f t="shared" si="8"/>
        <v>1.0399792430875604E-5</v>
      </c>
      <c r="N45" s="2">
        <f>W23</f>
        <v>2.7181017777777775E-2</v>
      </c>
      <c r="O45" s="2">
        <f>X23</f>
        <v>3.1087556797765909E-5</v>
      </c>
      <c r="P45" s="2">
        <f t="shared" si="5"/>
        <v>2.7164607058688364E-2</v>
      </c>
      <c r="Q45" s="2">
        <f t="shared" si="9"/>
        <v>1.6410719089410969E-5</v>
      </c>
      <c r="AC45" s="2">
        <f t="shared" si="10"/>
        <v>48.1</v>
      </c>
      <c r="AD45" s="2">
        <f t="shared" si="11"/>
        <v>5.3527912321000015E-2</v>
      </c>
      <c r="AE45" s="2">
        <f t="shared" si="12"/>
        <v>3.0674035237853666E-9</v>
      </c>
      <c r="AF45" s="2">
        <f>AVERAGE(I23,O23,U23)</f>
        <v>0.16405555555555557</v>
      </c>
      <c r="AG45" s="2">
        <f>_xlfn.STDEV.P(I23,O23,U23)/SQRT(3)</f>
        <v>4.5115307230495899E-4</v>
      </c>
      <c r="AH45" s="2">
        <f t="shared" si="6"/>
        <v>2.6914835925925928E-2</v>
      </c>
      <c r="AI45" s="2">
        <f t="shared" si="13"/>
        <v>1.4787383414884399E-4</v>
      </c>
      <c r="AJ45" s="2">
        <f t="shared" si="14"/>
        <v>2.6898639004331575E-2</v>
      </c>
      <c r="AK45" s="2">
        <f t="shared" si="15"/>
        <v>1.6196921594352487E-5</v>
      </c>
      <c r="AL45" s="2">
        <f t="shared" si="16"/>
        <v>-0.31785492362616818</v>
      </c>
      <c r="AM45" s="2">
        <f t="shared" si="17"/>
        <v>-0.78500905813822763</v>
      </c>
    </row>
    <row r="46" spans="3:64" ht="17.25" x14ac:dyDescent="0.25">
      <c r="C46" s="2">
        <f>D25</f>
        <v>49.5</v>
      </c>
      <c r="D46" s="2">
        <f>E25</f>
        <v>6.0037250624999997E-2</v>
      </c>
      <c r="E46" s="2">
        <f>F25</f>
        <v>4.3280511314264118E-9</v>
      </c>
      <c r="F46" s="2">
        <f>K25</f>
        <v>2.9998239999999999E-2</v>
      </c>
      <c r="G46" s="2">
        <f>L25</f>
        <v>9.7976715601208022E-5</v>
      </c>
      <c r="H46" s="2">
        <f t="shared" si="3"/>
        <v>2.9749936505231171E-2</v>
      </c>
      <c r="I46" s="2">
        <f t="shared" si="7"/>
        <v>2.483034947688284E-4</v>
      </c>
      <c r="J46" s="2">
        <f>Q25</f>
        <v>3.0555040000000006E-2</v>
      </c>
      <c r="K46" s="2">
        <f>R25</f>
        <v>4.9440906140563409E-5</v>
      </c>
      <c r="L46" s="2">
        <f t="shared" si="4"/>
        <v>3.0258419961595791E-2</v>
      </c>
      <c r="M46" s="2">
        <f t="shared" si="8"/>
        <v>2.9662003840421475E-4</v>
      </c>
      <c r="N46" s="2">
        <f>W25</f>
        <v>3.0718404444444451E-2</v>
      </c>
      <c r="O46" s="2">
        <f>X25</f>
        <v>3.3048599604256606E-5</v>
      </c>
      <c r="P46" s="2">
        <f t="shared" si="5"/>
        <v>3.0461480015627648E-2</v>
      </c>
      <c r="Q46" s="2">
        <f t="shared" si="9"/>
        <v>2.5692442881680363E-4</v>
      </c>
      <c r="AC46" s="2">
        <f t="shared" ref="AC46:AE49" si="18">C46</f>
        <v>49.5</v>
      </c>
      <c r="AD46" s="2">
        <f t="shared" si="18"/>
        <v>6.0037250624999997E-2</v>
      </c>
      <c r="AE46" s="2">
        <f t="shared" si="18"/>
        <v>4.3280511314264118E-9</v>
      </c>
      <c r="AF46" s="2">
        <f>AVERAGE(I25,O25,U25)</f>
        <v>0.17442222222222223</v>
      </c>
      <c r="AG46" s="2">
        <f>_xlfn.STDEV.P(I25,O25,U25)/SQRT(3)</f>
        <v>5.1095005514016959E-4</v>
      </c>
      <c r="AH46" s="2">
        <f t="shared" si="6"/>
        <v>3.0423894814814816E-2</v>
      </c>
      <c r="AI46" s="2">
        <f t="shared" si="13"/>
        <v>1.7798782820958379E-4</v>
      </c>
      <c r="AJ46" s="2">
        <f t="shared" si="14"/>
        <v>3.0156612160818198E-2</v>
      </c>
      <c r="AK46" s="2">
        <f t="shared" si="15"/>
        <v>2.6728265399661791E-4</v>
      </c>
      <c r="AL46" s="2">
        <f t="shared" si="16"/>
        <v>-0.3053948010664313</v>
      </c>
      <c r="AM46" s="2">
        <f t="shared" si="17"/>
        <v>-0.7583981846920429</v>
      </c>
      <c r="AO46" s="15" t="s">
        <v>52</v>
      </c>
      <c r="AP46" s="15"/>
      <c r="AQ46" s="15"/>
      <c r="AR46" s="15"/>
      <c r="AT46" s="3" t="s">
        <v>37</v>
      </c>
      <c r="AU46" s="2">
        <f>5.029*PI()^2 *AF7 /(AP47 *AB12^ 2)</f>
        <v>2.2953504506588647E-6</v>
      </c>
      <c r="BF46" s="15" t="s">
        <v>55</v>
      </c>
      <c r="BG46" s="15"/>
      <c r="BH46" s="15"/>
      <c r="BI46" s="15"/>
      <c r="BK46" s="13" t="s">
        <v>47</v>
      </c>
      <c r="BL46" s="14" t="e">
        <f>(BG47-2)/2</f>
        <v>#VALUE!</v>
      </c>
    </row>
    <row r="47" spans="3:64" ht="17.25" x14ac:dyDescent="0.25">
      <c r="C47" s="2">
        <f>D27</f>
        <v>50.5</v>
      </c>
      <c r="D47" s="2">
        <f>E27</f>
        <v>6.5037750625000001E-2</v>
      </c>
      <c r="E47" s="2">
        <f>F27</f>
        <v>5.5020753424412594E-9</v>
      </c>
      <c r="F47" s="2">
        <f>K27</f>
        <v>3.2041E-2</v>
      </c>
      <c r="G47" s="2">
        <f>L27</f>
        <v>1.0125769106591361E-4</v>
      </c>
      <c r="H47" s="2">
        <f t="shared" si="3"/>
        <v>3.2210276466515336E-2</v>
      </c>
      <c r="I47" s="2">
        <f t="shared" si="7"/>
        <v>-1.6927646651533623E-4</v>
      </c>
      <c r="J47" s="2">
        <f>Q27</f>
        <v>3.2616359999999997E-2</v>
      </c>
      <c r="K47" s="2">
        <f>R27</f>
        <v>5.108139387291619E-5</v>
      </c>
      <c r="L47" s="2">
        <f t="shared" si="4"/>
        <v>3.2773773315553298E-2</v>
      </c>
      <c r="M47" s="2">
        <f t="shared" si="8"/>
        <v>-1.5741331555330085E-4</v>
      </c>
      <c r="N47" s="2">
        <f>W27</f>
        <v>3.2881777777777774E-2</v>
      </c>
      <c r="O47" s="2">
        <f>X27</f>
        <v>3.4192541241376167E-5</v>
      </c>
      <c r="P47" s="2">
        <f t="shared" si="5"/>
        <v>3.2994151149196516E-2</v>
      </c>
      <c r="Q47" s="2">
        <f t="shared" si="9"/>
        <v>-1.1237337141874193E-4</v>
      </c>
      <c r="S47" s="16" t="s">
        <v>36</v>
      </c>
      <c r="T47" s="16"/>
      <c r="U47" s="16"/>
      <c r="V47" s="16"/>
      <c r="W47" s="16"/>
      <c r="AC47" s="2">
        <f t="shared" si="18"/>
        <v>50.5</v>
      </c>
      <c r="AD47" s="2">
        <f t="shared" si="18"/>
        <v>6.5037750625000001E-2</v>
      </c>
      <c r="AE47" s="2">
        <f t="shared" si="18"/>
        <v>5.5020753424412594E-9</v>
      </c>
      <c r="AF47" s="2">
        <f>AVERAGE(I27,O27,U27)</f>
        <v>0.18031111111111109</v>
      </c>
      <c r="AG47" s="2">
        <f>_xlfn.STDEV.P(I27,O27,U27)/SQRT(3)</f>
        <v>5.62475422416876E-4</v>
      </c>
      <c r="AH47" s="2">
        <f t="shared" si="6"/>
        <v>3.2513045925925924E-2</v>
      </c>
      <c r="AI47" s="2">
        <f t="shared" si="13"/>
        <v>2.0261192590081617E-4</v>
      </c>
      <c r="AJ47" s="2">
        <f t="shared" si="14"/>
        <v>3.2659400310421707E-2</v>
      </c>
      <c r="AK47" s="2">
        <f t="shared" si="15"/>
        <v>-1.4635438449578375E-4</v>
      </c>
      <c r="AL47" s="2">
        <f t="shared" si="16"/>
        <v>-0.29670862188133862</v>
      </c>
      <c r="AM47" s="2">
        <f t="shared" si="17"/>
        <v>-0.7439775104070363</v>
      </c>
      <c r="AO47" s="4" t="s">
        <v>18</v>
      </c>
      <c r="AP47" s="2">
        <f t="array" ref="AP47:AQ49">LINEST(AH37:AH49,AD37:AD49,1,1)</f>
        <v>0.50050757916278577</v>
      </c>
      <c r="AQ47" s="2">
        <v>1.0751319091000314E-4</v>
      </c>
      <c r="AR47" s="4" t="s">
        <v>31</v>
      </c>
      <c r="AT47" s="3" t="s">
        <v>38</v>
      </c>
      <c r="AU47" s="9">
        <f>SQRT((PI()^2*5.029/((AP47*AB12^2)^2) * AP47 *AB12^ 2*AF8 )^2+(PI()^2*5.029/((AP47*AB12^2)^2)*AF7*AB12^2*AP48)^2+(PI()^2*5.029/((AP47*AB12^2)^2)*AF7*AB12*AP47*AB13)^2)</f>
        <v>1.908807388271795E-6</v>
      </c>
      <c r="BF47" s="4" t="s">
        <v>18</v>
      </c>
      <c r="BG47" s="2" t="e">
        <f t="array" ref="BG47:BH49">LINEST(AM37:AM49,AL37:AL49,1,1)</f>
        <v>#VALUE!</v>
      </c>
      <c r="BH47" s="2" t="e">
        <v>#VALUE!</v>
      </c>
      <c r="BI47" s="4" t="s">
        <v>31</v>
      </c>
      <c r="BK47" s="13"/>
      <c r="BL47" s="14"/>
    </row>
    <row r="48" spans="3:64" x14ac:dyDescent="0.25">
      <c r="C48" s="2">
        <f>D29</f>
        <v>52</v>
      </c>
      <c r="D48" s="2">
        <f>E29</f>
        <v>7.3116160000000013E-2</v>
      </c>
      <c r="E48" s="2">
        <f>F29</f>
        <v>7.8175401297250098E-9</v>
      </c>
      <c r="F48" s="2">
        <f>K29</f>
        <v>3.61E-2</v>
      </c>
      <c r="G48" s="2">
        <f>L29</f>
        <v>1.0748023074035523E-4</v>
      </c>
      <c r="H48" s="2">
        <f t="shared" si="3"/>
        <v>3.6185005675379481E-2</v>
      </c>
      <c r="I48" s="2">
        <f t="shared" si="7"/>
        <v>-8.5005675379480616E-5</v>
      </c>
      <c r="J48" s="2">
        <f>Q29</f>
        <v>3.6787239999999999E-2</v>
      </c>
      <c r="K48" s="2">
        <f>R29</f>
        <v>5.424923225263193E-5</v>
      </c>
      <c r="L48" s="2">
        <f t="shared" si="4"/>
        <v>3.683737777831661E-2</v>
      </c>
      <c r="M48" s="2">
        <f t="shared" si="8"/>
        <v>-5.0137778316611259E-5</v>
      </c>
      <c r="N48" s="2">
        <f>W29</f>
        <v>3.7043417777777782E-2</v>
      </c>
      <c r="O48" s="2">
        <f>X29</f>
        <v>3.6291862707298898E-5</v>
      </c>
      <c r="P48" s="2">
        <f t="shared" si="5"/>
        <v>3.7085732836870694E-2</v>
      </c>
      <c r="Q48" s="2">
        <f t="shared" si="9"/>
        <v>-4.2315059092912222E-5</v>
      </c>
      <c r="AC48" s="2">
        <f t="shared" si="18"/>
        <v>52</v>
      </c>
      <c r="AD48" s="2">
        <f t="shared" si="18"/>
        <v>7.3116160000000013E-2</v>
      </c>
      <c r="AE48" s="2">
        <f t="shared" si="18"/>
        <v>7.8175401297250098E-9</v>
      </c>
      <c r="AF48" s="2">
        <f>AVERAGE(I29,O29,U29)</f>
        <v>0.19142222222222224</v>
      </c>
      <c r="AG48" s="2">
        <f>_xlfn.STDEV.P(I29,O29,U29)/SQRT(3)</f>
        <v>6.0150702372331318E-4</v>
      </c>
      <c r="AH48" s="2">
        <f t="shared" si="6"/>
        <v>3.6643552592592589E-2</v>
      </c>
      <c r="AI48" s="2">
        <f t="shared" si="13"/>
        <v>2.2997286271905513E-4</v>
      </c>
      <c r="AJ48" s="2">
        <f t="shared" si="14"/>
        <v>3.6702705430188914E-2</v>
      </c>
      <c r="AK48" s="2">
        <f t="shared" si="15"/>
        <v>-5.9152837596325447E-5</v>
      </c>
      <c r="AL48" s="2">
        <f t="shared" si="16"/>
        <v>-0.28399665636520083</v>
      </c>
      <c r="AM48" s="2">
        <f t="shared" si="17"/>
        <v>-0.71800764634876235</v>
      </c>
      <c r="AO48" s="4" t="s">
        <v>29</v>
      </c>
      <c r="AP48" s="2">
        <v>2.0667594662323865E-3</v>
      </c>
      <c r="AQ48" s="2">
        <v>8.5377649242136946E-5</v>
      </c>
      <c r="AR48" s="4" t="s">
        <v>32</v>
      </c>
      <c r="AT48" s="3" t="s">
        <v>39</v>
      </c>
      <c r="AU48" s="6">
        <f>AU47/AU46</f>
        <v>0.8315973657634218</v>
      </c>
      <c r="BF48" s="4" t="s">
        <v>29</v>
      </c>
      <c r="BG48" s="2" t="e">
        <v>#VALUE!</v>
      </c>
      <c r="BH48" s="2" t="e">
        <v>#VALUE!</v>
      </c>
      <c r="BI48" s="4" t="s">
        <v>32</v>
      </c>
      <c r="BK48" s="13" t="s">
        <v>48</v>
      </c>
      <c r="BL48" s="14" t="e">
        <f>BG48/BG47</f>
        <v>#VALUE!</v>
      </c>
    </row>
    <row r="49" spans="3:64" ht="18" x14ac:dyDescent="0.25">
      <c r="C49" s="2">
        <f>D31</f>
        <v>0</v>
      </c>
      <c r="D49" s="2">
        <f>E31</f>
        <v>0</v>
      </c>
      <c r="E49" s="2">
        <f>F31</f>
        <v>0</v>
      </c>
      <c r="F49" s="2">
        <f>K31</f>
        <v>0</v>
      </c>
      <c r="G49" s="2">
        <f>L31</f>
        <v>0</v>
      </c>
      <c r="H49" s="2">
        <f t="shared" si="3"/>
        <v>2.1048107511013533E-4</v>
      </c>
      <c r="I49" s="2">
        <f t="shared" si="7"/>
        <v>-2.1048107511013533E-4</v>
      </c>
      <c r="J49" s="2">
        <f>Q31</f>
        <v>0</v>
      </c>
      <c r="K49" s="2">
        <f>R31</f>
        <v>0</v>
      </c>
      <c r="L49" s="2">
        <f t="shared" si="4"/>
        <v>5.8460013194514687E-5</v>
      </c>
      <c r="M49" s="2">
        <f t="shared" si="8"/>
        <v>-5.8460013194514687E-5</v>
      </c>
      <c r="N49" s="2">
        <f>W31</f>
        <v>0</v>
      </c>
      <c r="O49" s="2">
        <f>X31</f>
        <v>0</v>
      </c>
      <c r="P49" s="2">
        <f t="shared" si="5"/>
        <v>5.3598484425345511E-5</v>
      </c>
      <c r="Q49" s="2">
        <f t="shared" si="9"/>
        <v>-5.3598484425345511E-5</v>
      </c>
      <c r="AC49" s="2">
        <f t="shared" si="18"/>
        <v>0</v>
      </c>
      <c r="AD49" s="2">
        <f t="shared" si="18"/>
        <v>0</v>
      </c>
      <c r="AE49" s="2">
        <f t="shared" si="18"/>
        <v>0</v>
      </c>
      <c r="AF49" s="2">
        <f>AVERAGE(I31,O31,U31)</f>
        <v>0</v>
      </c>
      <c r="AG49" s="2">
        <f>_xlfn.STDEV.P(I31,O31,U31)/SQRT(3)</f>
        <v>0</v>
      </c>
      <c r="AH49" s="2">
        <f t="shared" si="6"/>
        <v>0</v>
      </c>
      <c r="AI49" s="2">
        <f t="shared" si="13"/>
        <v>0</v>
      </c>
      <c r="AJ49" s="2">
        <f t="shared" si="14"/>
        <v>1.0751319091000314E-4</v>
      </c>
      <c r="AK49" s="2">
        <f t="shared" si="15"/>
        <v>-1.0751319091000314E-4</v>
      </c>
      <c r="AL49" s="2" t="e">
        <f t="shared" si="16"/>
        <v>#NUM!</v>
      </c>
      <c r="AM49" s="2" t="e">
        <f t="shared" si="17"/>
        <v>#NUM!</v>
      </c>
      <c r="AO49" s="4" t="s">
        <v>30</v>
      </c>
      <c r="AP49" s="2">
        <v>0.99981247041666932</v>
      </c>
      <c r="AQ49" s="2">
        <v>1.7677209055322977E-4</v>
      </c>
      <c r="AR49" s="4" t="s">
        <v>33</v>
      </c>
      <c r="AT49" s="3" t="s">
        <v>49</v>
      </c>
      <c r="AU49" s="9">
        <f>200*10^9</f>
        <v>200000000000</v>
      </c>
      <c r="BF49" s="4" t="s">
        <v>30</v>
      </c>
      <c r="BG49" s="2" t="e">
        <v>#VALUE!</v>
      </c>
      <c r="BH49" s="2" t="e">
        <v>#VALUE!</v>
      </c>
      <c r="BI49" s="4" t="s">
        <v>33</v>
      </c>
      <c r="BK49" s="13"/>
      <c r="BL49" s="14"/>
    </row>
    <row r="50" spans="3:64" x14ac:dyDescent="0.25">
      <c r="AT50" s="3" t="s">
        <v>50</v>
      </c>
      <c r="AU50" s="6">
        <f>(AU46-AU49)/AU49</f>
        <v>-1</v>
      </c>
    </row>
    <row r="75" spans="8:26" x14ac:dyDescent="0.25">
      <c r="H75" s="4" t="s">
        <v>42</v>
      </c>
      <c r="I75" s="4" t="s">
        <v>43</v>
      </c>
      <c r="P75" s="4" t="s">
        <v>42</v>
      </c>
      <c r="Q75" s="4" t="s">
        <v>43</v>
      </c>
      <c r="Y75" s="4" t="s">
        <v>42</v>
      </c>
      <c r="Z75" s="4" t="s">
        <v>43</v>
      </c>
    </row>
    <row r="76" spans="8:26" x14ac:dyDescent="0.25">
      <c r="H76" s="2">
        <f t="shared" ref="H76:H88" si="19">LOG(C37/100)</f>
        <v>-0.74472749489669399</v>
      </c>
      <c r="I76" s="2">
        <f>LOG(I7)</f>
        <v>-1.6234230429434879</v>
      </c>
      <c r="P76" s="2">
        <f>H76</f>
        <v>-0.74472749489669399</v>
      </c>
      <c r="Q76" s="2">
        <f>LOG(O7)</f>
        <v>-1.6289321377282637</v>
      </c>
      <c r="Y76" s="2">
        <f>P76</f>
        <v>-0.74472749489669399</v>
      </c>
      <c r="Z76" s="2">
        <f>LOG(U7)</f>
        <v>-1.6258629060005871</v>
      </c>
    </row>
    <row r="77" spans="8:26" x14ac:dyDescent="0.25">
      <c r="H77" s="2">
        <f t="shared" si="19"/>
        <v>-0.53017798402183702</v>
      </c>
      <c r="I77" s="2">
        <f>LOG(I9)</f>
        <v>-1.2118316288588322</v>
      </c>
      <c r="P77" s="2">
        <f t="shared" ref="P77:P88" si="20">H77</f>
        <v>-0.53017798402183702</v>
      </c>
      <c r="Q77" s="2">
        <f>LOG(O9)</f>
        <v>-1.2076083105017461</v>
      </c>
      <c r="Y77" s="2">
        <f t="shared" ref="Y77:Y88" si="21">P77</f>
        <v>-0.53017798402183702</v>
      </c>
      <c r="Z77" s="2">
        <f>LOG(U9)</f>
        <v>-1.2052796481831636</v>
      </c>
    </row>
    <row r="78" spans="8:26" x14ac:dyDescent="0.25">
      <c r="H78" s="2">
        <f t="shared" si="19"/>
        <v>-0.46344155742846993</v>
      </c>
      <c r="I78" s="2">
        <f>LOG(I11)</f>
        <v>-1.0777937225609837</v>
      </c>
      <c r="P78" s="2">
        <f t="shared" si="20"/>
        <v>-0.46344155742846993</v>
      </c>
      <c r="Q78" s="2">
        <f>LOG(O11)</f>
        <v>-1.0736575533743451</v>
      </c>
      <c r="Y78" s="2">
        <f t="shared" si="21"/>
        <v>-0.46344155742846993</v>
      </c>
      <c r="Z78" s="2">
        <f>LOG(U11)</f>
        <v>-1.0722875380997243</v>
      </c>
    </row>
    <row r="79" spans="8:26" x14ac:dyDescent="0.25">
      <c r="H79" s="2">
        <f t="shared" si="19"/>
        <v>-0.42136079003192767</v>
      </c>
      <c r="I79" s="2">
        <f>LOG(I13)</f>
        <v>-0.97142874730746243</v>
      </c>
      <c r="P79" s="2">
        <f t="shared" si="20"/>
        <v>-0.42136079003192767</v>
      </c>
      <c r="Q79" s="2">
        <f>LOG(O13)</f>
        <v>-0.98970004336018802</v>
      </c>
      <c r="Y79" s="2">
        <f t="shared" si="21"/>
        <v>-0.42136079003192767</v>
      </c>
      <c r="Z79" s="2">
        <f>LOG(U13)</f>
        <v>-0.98857053821921814</v>
      </c>
    </row>
    <row r="80" spans="8:26" x14ac:dyDescent="0.25">
      <c r="H80" s="2">
        <f t="shared" si="19"/>
        <v>-0.3979400086720376</v>
      </c>
      <c r="I80" s="2">
        <f>LOG(I15)</f>
        <v>-0.94615357314774728</v>
      </c>
      <c r="P80" s="2">
        <f t="shared" si="20"/>
        <v>-0.3979400086720376</v>
      </c>
      <c r="Q80" s="2">
        <f>LOG(O15)</f>
        <v>-0.9415739755429946</v>
      </c>
      <c r="Y80" s="2">
        <f t="shared" si="21"/>
        <v>-0.3979400086720376</v>
      </c>
      <c r="Z80" s="2">
        <f>LOG(U15)</f>
        <v>-0.940310388728121</v>
      </c>
    </row>
    <row r="81" spans="8:26" x14ac:dyDescent="0.25">
      <c r="H81" s="2">
        <f t="shared" si="19"/>
        <v>-0.36855623098682799</v>
      </c>
      <c r="I81" s="2">
        <f>LOG(I17)</f>
        <v>-0.8880657236673184</v>
      </c>
      <c r="P81" s="2">
        <f t="shared" si="20"/>
        <v>-0.36855623098682799</v>
      </c>
      <c r="Q81" s="2">
        <f>LOG(O17)</f>
        <v>-0.88405682306094491</v>
      </c>
      <c r="Y81" s="2">
        <f t="shared" si="21"/>
        <v>-0.36855623098682799</v>
      </c>
      <c r="Z81" s="2">
        <f>LOG(U17)</f>
        <v>-0.88339225601175153</v>
      </c>
    </row>
    <row r="82" spans="8:26" x14ac:dyDescent="0.25">
      <c r="H82" s="2">
        <f t="shared" si="19"/>
        <v>-0.35066514128785814</v>
      </c>
      <c r="I82" s="2">
        <f>LOG(I19)</f>
        <v>-0.85636076472545675</v>
      </c>
      <c r="P82" s="2">
        <f t="shared" si="20"/>
        <v>-0.35066514128785814</v>
      </c>
      <c r="Q82" s="2">
        <f>LOG(O19)</f>
        <v>-0.85232367575890122</v>
      </c>
      <c r="Y82" s="2">
        <f t="shared" si="21"/>
        <v>-0.35066514128785814</v>
      </c>
      <c r="Z82" s="2">
        <f>LOG(U19)</f>
        <v>-0.85037040103626926</v>
      </c>
    </row>
    <row r="83" spans="8:26" x14ac:dyDescent="0.25">
      <c r="H83" s="2">
        <f t="shared" si="19"/>
        <v>-0.33441900898204691</v>
      </c>
      <c r="I83" s="2">
        <f>LOG(I21)</f>
        <v>-0.82217502813531829</v>
      </c>
      <c r="P83" s="2">
        <f t="shared" si="20"/>
        <v>-0.33441900898204691</v>
      </c>
      <c r="Q83" s="2">
        <f>LOG(O21)</f>
        <v>-0.81844222613721374</v>
      </c>
      <c r="Y83" s="2">
        <f t="shared" si="21"/>
        <v>-0.33441900898204691</v>
      </c>
      <c r="Z83" s="2">
        <f>LOG(U21)</f>
        <v>-0.8172050546498123</v>
      </c>
    </row>
    <row r="84" spans="8:26" x14ac:dyDescent="0.25">
      <c r="H84" s="2">
        <f t="shared" si="19"/>
        <v>-0.31785492362616818</v>
      </c>
      <c r="I84" s="2">
        <f>LOG(I23)</f>
        <v>-0.78781239559604221</v>
      </c>
      <c r="P84" s="2">
        <f t="shared" si="20"/>
        <v>-0.31785492362616818</v>
      </c>
      <c r="Q84" s="2">
        <f>LOG(O23)</f>
        <v>-0.78436243656493831</v>
      </c>
      <c r="Y84" s="2">
        <f t="shared" si="21"/>
        <v>-0.31785492362616818</v>
      </c>
      <c r="Z84" s="2">
        <f>LOG(U23)</f>
        <v>-0.78286714269438396</v>
      </c>
    </row>
    <row r="85" spans="8:26" x14ac:dyDescent="0.25">
      <c r="H85" s="2">
        <f t="shared" si="19"/>
        <v>-0.3053948010664313</v>
      </c>
      <c r="I85" s="2">
        <f>LOG(I25)</f>
        <v>-0.76145211231867216</v>
      </c>
      <c r="P85" s="2">
        <f t="shared" si="20"/>
        <v>-0.3053948010664313</v>
      </c>
      <c r="Q85" s="2">
        <f>LOG(O25)</f>
        <v>-0.75745857170161579</v>
      </c>
      <c r="Y85" s="2">
        <f t="shared" si="21"/>
        <v>-0.3053948010664313</v>
      </c>
      <c r="Z85" s="2">
        <f>LOG(U25)</f>
        <v>-0.75630067294931846</v>
      </c>
    </row>
    <row r="86" spans="8:26" x14ac:dyDescent="0.25">
      <c r="H86" s="2">
        <f t="shared" si="19"/>
        <v>-0.29670862188133862</v>
      </c>
      <c r="I86" s="2">
        <f>LOG(I27)</f>
        <v>-0.7471469690201068</v>
      </c>
      <c r="P86" s="2">
        <f t="shared" si="20"/>
        <v>-0.29670862188133862</v>
      </c>
      <c r="Q86" s="2">
        <f>LOG(O27)</f>
        <v>-0.74328225402251302</v>
      </c>
      <c r="Y86" s="2">
        <f t="shared" si="21"/>
        <v>-0.29670862188133862</v>
      </c>
      <c r="Z86" s="2">
        <f>LOG(U27)</f>
        <v>-0.74152235502148256</v>
      </c>
    </row>
    <row r="87" spans="8:26" x14ac:dyDescent="0.25">
      <c r="H87" s="2">
        <f t="shared" si="19"/>
        <v>-0.28399665636520083</v>
      </c>
      <c r="I87" s="2">
        <f>LOG(I29)</f>
        <v>-0.72124639904717103</v>
      </c>
      <c r="P87" s="2">
        <f t="shared" si="20"/>
        <v>-0.28399665636520083</v>
      </c>
      <c r="Q87" s="2">
        <f>LOG(O29)</f>
        <v>-0.71715139716535525</v>
      </c>
      <c r="Y87" s="2">
        <f t="shared" si="21"/>
        <v>-0.28399665636520083</v>
      </c>
      <c r="Z87" s="2">
        <f>LOG(U29)</f>
        <v>-0.71564447517496077</v>
      </c>
    </row>
    <row r="88" spans="8:26" x14ac:dyDescent="0.25">
      <c r="H88" s="2" t="e">
        <f t="shared" si="19"/>
        <v>#NUM!</v>
      </c>
      <c r="I88" s="2" t="e">
        <f>LOG(I31)</f>
        <v>#NUM!</v>
      </c>
      <c r="P88" s="2" t="e">
        <f t="shared" si="20"/>
        <v>#NUM!</v>
      </c>
      <c r="Q88" s="2" t="e">
        <f>LOG(O31)</f>
        <v>#NUM!</v>
      </c>
      <c r="Y88" s="2" t="e">
        <f t="shared" si="21"/>
        <v>#NUM!</v>
      </c>
      <c r="Z88" s="2" t="e">
        <f>LOG(U31)</f>
        <v>#NUM!</v>
      </c>
    </row>
    <row r="101" spans="2:21" ht="17.25" x14ac:dyDescent="0.25">
      <c r="B101" s="15" t="s">
        <v>28</v>
      </c>
      <c r="C101" s="15"/>
      <c r="D101" s="15"/>
      <c r="E101" s="15"/>
      <c r="K101" s="15" t="s">
        <v>34</v>
      </c>
      <c r="L101" s="15"/>
      <c r="M101" s="15"/>
      <c r="N101" s="15"/>
      <c r="R101" s="15" t="s">
        <v>35</v>
      </c>
      <c r="S101" s="15"/>
      <c r="T101" s="15"/>
      <c r="U101" s="15"/>
    </row>
    <row r="102" spans="2:21" x14ac:dyDescent="0.25">
      <c r="B102" s="4" t="s">
        <v>18</v>
      </c>
      <c r="C102" s="2">
        <f t="array" ref="C102:D104">LINEST(F37:F49,D37:D49,1,1)</f>
        <v>0.49201879037779533</v>
      </c>
      <c r="D102" s="2">
        <v>2.1048107511013533E-4</v>
      </c>
      <c r="E102" s="4" t="s">
        <v>31</v>
      </c>
      <c r="K102" s="4" t="s">
        <v>18</v>
      </c>
      <c r="L102" s="2">
        <f t="array" ref="L102:M104">LINEST(J37:J49,D37:D49,1,1)</f>
        <v>0.50302036875462397</v>
      </c>
      <c r="M102" s="2">
        <v>5.8460013194514687E-5</v>
      </c>
      <c r="N102" s="4" t="s">
        <v>31</v>
      </c>
      <c r="R102" s="4" t="s">
        <v>18</v>
      </c>
      <c r="S102" s="2">
        <f t="array" ref="S102:T104">LINEST(N37:N49,D37:D49,1,1)</f>
        <v>0.50648357835593849</v>
      </c>
      <c r="T102" s="2">
        <v>5.3598484425345511E-5</v>
      </c>
      <c r="U102" s="4" t="s">
        <v>31</v>
      </c>
    </row>
    <row r="103" spans="2:21" x14ac:dyDescent="0.25">
      <c r="B103" s="4" t="s">
        <v>29</v>
      </c>
      <c r="C103" s="2">
        <v>4.1856313908623759E-3</v>
      </c>
      <c r="D103" s="2">
        <v>1.7290805949343318E-4</v>
      </c>
      <c r="E103" s="4" t="s">
        <v>32</v>
      </c>
      <c r="K103" s="4" t="s">
        <v>29</v>
      </c>
      <c r="L103" s="2">
        <v>1.6517171010298846E-3</v>
      </c>
      <c r="M103" s="2">
        <v>6.823228614795782E-5</v>
      </c>
      <c r="N103" s="4" t="s">
        <v>32</v>
      </c>
      <c r="R103" s="4" t="s">
        <v>29</v>
      </c>
      <c r="S103" s="2">
        <v>1.3934827332231022E-3</v>
      </c>
      <c r="T103" s="2">
        <v>5.7564647442490076E-5</v>
      </c>
      <c r="U103" s="4" t="s">
        <v>32</v>
      </c>
    </row>
    <row r="104" spans="2:21" ht="17.25" x14ac:dyDescent="0.25">
      <c r="B104" s="4" t="s">
        <v>30</v>
      </c>
      <c r="C104" s="2">
        <v>0.99920456320825979</v>
      </c>
      <c r="D104" s="2">
        <v>3.5800141397042965E-4</v>
      </c>
      <c r="E104" s="4" t="s">
        <v>33</v>
      </c>
      <c r="K104" s="4" t="s">
        <v>30</v>
      </c>
      <c r="L104" s="2">
        <v>0.99988141182981671</v>
      </c>
      <c r="M104" s="2">
        <v>1.4127308461484166E-4</v>
      </c>
      <c r="N104" s="4" t="s">
        <v>33</v>
      </c>
      <c r="R104" s="4" t="s">
        <v>30</v>
      </c>
      <c r="S104" s="2">
        <v>0.99991674142555875</v>
      </c>
      <c r="T104" s="2">
        <v>1.1918603007573165E-4</v>
      </c>
      <c r="U104" s="4" t="s">
        <v>33</v>
      </c>
    </row>
    <row r="106" spans="2:21" x14ac:dyDescent="0.25">
      <c r="B106" s="15" t="s">
        <v>44</v>
      </c>
      <c r="C106" s="15"/>
      <c r="D106" s="15"/>
      <c r="E106" s="15"/>
      <c r="K106" s="15" t="s">
        <v>45</v>
      </c>
      <c r="L106" s="15"/>
      <c r="M106" s="15"/>
      <c r="N106" s="15"/>
      <c r="R106" s="15" t="s">
        <v>46</v>
      </c>
      <c r="S106" s="15"/>
      <c r="T106" s="15"/>
      <c r="U106" s="15"/>
    </row>
    <row r="107" spans="2:21" x14ac:dyDescent="0.25">
      <c r="B107" s="4" t="s">
        <v>18</v>
      </c>
      <c r="C107" s="2" t="e">
        <f t="array" ref="C107:D109">LINEST(I76:I88,H76:H88,1,1)</f>
        <v>#VALUE!</v>
      </c>
      <c r="D107" s="2" t="e">
        <v>#VALUE!</v>
      </c>
      <c r="E107" s="4" t="s">
        <v>31</v>
      </c>
      <c r="K107" s="4" t="s">
        <v>18</v>
      </c>
      <c r="L107" s="2" t="e">
        <f t="array" ref="L107:M109">LINEST(Q76:Q88,P76:P88,1,1)</f>
        <v>#VALUE!</v>
      </c>
      <c r="M107" s="2" t="e">
        <v>#VALUE!</v>
      </c>
      <c r="N107" s="4" t="s">
        <v>31</v>
      </c>
      <c r="R107" s="4" t="s">
        <v>18</v>
      </c>
      <c r="S107" s="2" t="e">
        <f t="array" ref="S107:T109">LINEST(Z76:Z88,Y76:Y88,1,1)</f>
        <v>#VALUE!</v>
      </c>
      <c r="T107" s="2" t="e">
        <v>#VALUE!</v>
      </c>
      <c r="U107" s="4" t="s">
        <v>31</v>
      </c>
    </row>
    <row r="108" spans="2:21" x14ac:dyDescent="0.25">
      <c r="B108" s="4" t="s">
        <v>29</v>
      </c>
      <c r="C108" s="2" t="e">
        <v>#VALUE!</v>
      </c>
      <c r="D108" s="2" t="e">
        <v>#VALUE!</v>
      </c>
      <c r="E108" s="4" t="s">
        <v>32</v>
      </c>
      <c r="K108" s="4" t="s">
        <v>29</v>
      </c>
      <c r="L108" s="2" t="e">
        <v>#VALUE!</v>
      </c>
      <c r="M108" s="2" t="e">
        <v>#VALUE!</v>
      </c>
      <c r="N108" s="4" t="s">
        <v>32</v>
      </c>
      <c r="R108" s="4" t="s">
        <v>29</v>
      </c>
      <c r="S108" s="2" t="e">
        <v>#VALUE!</v>
      </c>
      <c r="T108" s="2" t="e">
        <v>#VALUE!</v>
      </c>
      <c r="U108" s="4" t="s">
        <v>32</v>
      </c>
    </row>
    <row r="109" spans="2:21" ht="17.25" x14ac:dyDescent="0.25">
      <c r="B109" s="4" t="s">
        <v>30</v>
      </c>
      <c r="C109" s="2" t="e">
        <v>#VALUE!</v>
      </c>
      <c r="D109" s="2" t="e">
        <v>#VALUE!</v>
      </c>
      <c r="E109" s="4" t="s">
        <v>33</v>
      </c>
      <c r="K109" s="4" t="s">
        <v>30</v>
      </c>
      <c r="L109" s="2" t="e">
        <v>#VALUE!</v>
      </c>
      <c r="M109" s="2" t="e">
        <v>#VALUE!</v>
      </c>
      <c r="N109" s="4" t="s">
        <v>33</v>
      </c>
      <c r="R109" s="4" t="s">
        <v>30</v>
      </c>
      <c r="S109" s="2" t="e">
        <v>#VALUE!</v>
      </c>
      <c r="T109" s="2" t="e">
        <v>#VALUE!</v>
      </c>
      <c r="U109" s="4" t="s">
        <v>33</v>
      </c>
    </row>
    <row r="111" spans="2:21" ht="17.25" x14ac:dyDescent="0.25">
      <c r="C111" s="3" t="s">
        <v>37</v>
      </c>
      <c r="D111" s="2">
        <f>5.029*PI()^2 *AF7 /(C102 * AB12^2)</f>
        <v>2.3349520787759827E-6</v>
      </c>
      <c r="L111" s="3" t="s">
        <v>37</v>
      </c>
      <c r="M111" s="2">
        <f>5.029*PI()^2 *AF7 /(L102 * AB12^2)</f>
        <v>2.2838842495260627E-6</v>
      </c>
      <c r="R111" s="3" t="s">
        <v>37</v>
      </c>
      <c r="S111" s="2">
        <f>5.029*PI()^2 *AF7 /(S102 * AB12^2)</f>
        <v>2.268267613174447E-6</v>
      </c>
    </row>
    <row r="112" spans="2:21" ht="17.25" x14ac:dyDescent="0.25">
      <c r="C112" s="3" t="s">
        <v>38</v>
      </c>
      <c r="D112" s="9">
        <f>SQRT((PI()^2*5.029/((C102*AB12^2)^2) * C102 * AB12^2*AF8 )^2+(PI()^2*5.029/((C102*AB12^2)^2)*AF7*AB12^2*C103)^2+(PI()^2*5.029/((C102*AB12^2)^2)*AF7*AB12*C102*AB13)^2)</f>
        <v>1.9418176579744371E-6</v>
      </c>
      <c r="L112" s="3" t="s">
        <v>38</v>
      </c>
      <c r="M112" s="9">
        <f>SQRT((PI()^2*5.029/((L102*AB12^2)^2) * L102 * AB12^2*AF8 )^2+(PI()^2*5.029/((L102*AB12^2)^2)*AF7*AB12^2*L103)^2+(PI()^2*5.029/((L102*AB12^2)^2)*AF7*AB12*L102*AB13)^2)</f>
        <v>1.8992635166200461E-6</v>
      </c>
      <c r="R112" s="3" t="s">
        <v>38</v>
      </c>
      <c r="S112" s="9">
        <f>SQRT((PI()^2*5.029/((S102*AB12^2)^2) * S102 * AB12^2*AF8 )^2+(PI()^2*5.029/((S102*AB12^2)^2)*AF7*AB12^2*S103)^2+(PI()^2*5.029/((S102*AB12^2)^2)*AF7*AB12*S102*AB13)^2)</f>
        <v>1.8862724406923061E-6</v>
      </c>
    </row>
    <row r="113" spans="3:19" x14ac:dyDescent="0.25">
      <c r="C113" s="3" t="s">
        <v>39</v>
      </c>
      <c r="D113" s="6">
        <f>D112/D111</f>
        <v>0.83163062558113288</v>
      </c>
      <c r="L113" s="3" t="s">
        <v>39</v>
      </c>
      <c r="M113" s="6">
        <f>M112/M111</f>
        <v>0.83159359631039498</v>
      </c>
      <c r="R113" s="3" t="s">
        <v>39</v>
      </c>
      <c r="S113" s="6">
        <f>S112/S111</f>
        <v>0.83159166481791913</v>
      </c>
    </row>
    <row r="114" spans="3:19" ht="18" x14ac:dyDescent="0.25">
      <c r="C114" s="3" t="s">
        <v>49</v>
      </c>
      <c r="D114" s="9">
        <f>200*10^9</f>
        <v>200000000000</v>
      </c>
      <c r="L114" s="3" t="s">
        <v>49</v>
      </c>
      <c r="M114" s="9">
        <f>200*10^9</f>
        <v>200000000000</v>
      </c>
      <c r="R114" s="3" t="s">
        <v>49</v>
      </c>
      <c r="S114" s="9">
        <f>200*10^9</f>
        <v>200000000000</v>
      </c>
    </row>
    <row r="115" spans="3:19" x14ac:dyDescent="0.25">
      <c r="C115" s="3" t="s">
        <v>50</v>
      </c>
      <c r="D115" s="6">
        <f>(D111-D114)/D114</f>
        <v>-1</v>
      </c>
      <c r="L115" s="3" t="s">
        <v>50</v>
      </c>
      <c r="M115" s="6">
        <f>(M111-M114)/M114</f>
        <v>-1</v>
      </c>
      <c r="R115" s="3" t="s">
        <v>50</v>
      </c>
      <c r="S115" s="6">
        <f>(S111-S114)/S114</f>
        <v>-1</v>
      </c>
    </row>
    <row r="117" spans="3:19" ht="14.45" customHeight="1" x14ac:dyDescent="0.25">
      <c r="C117" s="13" t="s">
        <v>47</v>
      </c>
      <c r="D117" s="14" t="e">
        <f>(C107-2)/2</f>
        <v>#VALUE!</v>
      </c>
      <c r="L117" s="13" t="s">
        <v>47</v>
      </c>
      <c r="M117" s="14" t="e">
        <f>(L107-2)/2</f>
        <v>#VALUE!</v>
      </c>
      <c r="R117" s="13" t="s">
        <v>47</v>
      </c>
      <c r="S117" s="14" t="e">
        <f>(S107-2)/2</f>
        <v>#VALUE!</v>
      </c>
    </row>
    <row r="118" spans="3:19" x14ac:dyDescent="0.25">
      <c r="C118" s="13"/>
      <c r="D118" s="14"/>
      <c r="L118" s="13"/>
      <c r="M118" s="14"/>
      <c r="R118" s="13"/>
      <c r="S118" s="14"/>
    </row>
    <row r="119" spans="3:19" ht="14.45" customHeight="1" x14ac:dyDescent="0.25">
      <c r="C119" s="13" t="s">
        <v>48</v>
      </c>
      <c r="D119" s="14" t="e">
        <f>C108/C107</f>
        <v>#VALUE!</v>
      </c>
      <c r="L119" s="13" t="s">
        <v>48</v>
      </c>
      <c r="M119" s="14" t="e">
        <f>L108/L107</f>
        <v>#VALUE!</v>
      </c>
      <c r="R119" s="13" t="s">
        <v>48</v>
      </c>
      <c r="S119" s="14" t="e">
        <f>S108/S107</f>
        <v>#VALUE!</v>
      </c>
    </row>
    <row r="120" spans="3:19" x14ac:dyDescent="0.25">
      <c r="C120" s="13"/>
      <c r="D120" s="14"/>
      <c r="L120" s="13"/>
      <c r="M120" s="14"/>
      <c r="R120" s="13"/>
      <c r="S120" s="14"/>
    </row>
  </sheetData>
  <mergeCells count="263">
    <mergeCell ref="BF46:BI46"/>
    <mergeCell ref="BK46:BK47"/>
    <mergeCell ref="BL46:BL47"/>
    <mergeCell ref="BK48:BK49"/>
    <mergeCell ref="BL48:BL49"/>
    <mergeCell ref="AC35:AC36"/>
    <mergeCell ref="AD35:AD36"/>
    <mergeCell ref="AE35:AE36"/>
    <mergeCell ref="AO46:AR46"/>
    <mergeCell ref="AF35:AM35"/>
    <mergeCell ref="R117:R118"/>
    <mergeCell ref="S117:S118"/>
    <mergeCell ref="R119:R120"/>
    <mergeCell ref="S119:S120"/>
    <mergeCell ref="D119:D120"/>
    <mergeCell ref="D117:D118"/>
    <mergeCell ref="L117:L118"/>
    <mergeCell ref="M117:M118"/>
    <mergeCell ref="L119:L120"/>
    <mergeCell ref="M119:M120"/>
    <mergeCell ref="K101:N101"/>
    <mergeCell ref="R101:U101"/>
    <mergeCell ref="F35:I35"/>
    <mergeCell ref="J35:M35"/>
    <mergeCell ref="N35:Q35"/>
    <mergeCell ref="S47:W47"/>
    <mergeCell ref="C35:C36"/>
    <mergeCell ref="B106:E106"/>
    <mergeCell ref="K106:N106"/>
    <mergeCell ref="R106:U106"/>
    <mergeCell ref="C117:C118"/>
    <mergeCell ref="C119:C120"/>
    <mergeCell ref="E5:E6"/>
    <mergeCell ref="D5:D6"/>
    <mergeCell ref="E35:E36"/>
    <mergeCell ref="D35:D36"/>
    <mergeCell ref="B101:E101"/>
    <mergeCell ref="AA5:AC5"/>
    <mergeCell ref="F5:F6"/>
    <mergeCell ref="U29:U30"/>
    <mergeCell ref="V29:V30"/>
    <mergeCell ref="W29:W30"/>
    <mergeCell ref="X29:X30"/>
    <mergeCell ref="U31:U32"/>
    <mergeCell ref="V31:V32"/>
    <mergeCell ref="W31:W32"/>
    <mergeCell ref="X31:X32"/>
    <mergeCell ref="U25:U26"/>
    <mergeCell ref="V25:V26"/>
    <mergeCell ref="W25:W26"/>
    <mergeCell ref="X25:X26"/>
    <mergeCell ref="U27:U28"/>
    <mergeCell ref="V27:V28"/>
    <mergeCell ref="W27:W28"/>
    <mergeCell ref="X27:X28"/>
    <mergeCell ref="U21:U22"/>
    <mergeCell ref="V21:V22"/>
    <mergeCell ref="W21:W22"/>
    <mergeCell ref="X21:X22"/>
    <mergeCell ref="U23:U24"/>
    <mergeCell ref="V23:V24"/>
    <mergeCell ref="W23:W24"/>
    <mergeCell ref="X23:X24"/>
    <mergeCell ref="U17:U18"/>
    <mergeCell ref="V17:V18"/>
    <mergeCell ref="W17:W18"/>
    <mergeCell ref="X17:X18"/>
    <mergeCell ref="U19:U20"/>
    <mergeCell ref="V19:V20"/>
    <mergeCell ref="W19:W20"/>
    <mergeCell ref="X19:X20"/>
    <mergeCell ref="U13:U14"/>
    <mergeCell ref="V13:V14"/>
    <mergeCell ref="W13:W14"/>
    <mergeCell ref="X13:X14"/>
    <mergeCell ref="U15:U16"/>
    <mergeCell ref="V15:V16"/>
    <mergeCell ref="W15:W16"/>
    <mergeCell ref="X15:X16"/>
    <mergeCell ref="U9:U10"/>
    <mergeCell ref="V9:V10"/>
    <mergeCell ref="W9:W10"/>
    <mergeCell ref="X9:X10"/>
    <mergeCell ref="U11:U12"/>
    <mergeCell ref="V11:V12"/>
    <mergeCell ref="W11:W12"/>
    <mergeCell ref="X11:X12"/>
    <mergeCell ref="S5:X5"/>
    <mergeCell ref="U7:U8"/>
    <mergeCell ref="V7:V8"/>
    <mergeCell ref="W7:W8"/>
    <mergeCell ref="X7:X8"/>
    <mergeCell ref="O29:O30"/>
    <mergeCell ref="P29:P30"/>
    <mergeCell ref="Q29:Q30"/>
    <mergeCell ref="R29:R30"/>
    <mergeCell ref="O31:O32"/>
    <mergeCell ref="P31:P32"/>
    <mergeCell ref="Q31:Q32"/>
    <mergeCell ref="R31:R32"/>
    <mergeCell ref="O25:O26"/>
    <mergeCell ref="P25:P26"/>
    <mergeCell ref="Q25:Q26"/>
    <mergeCell ref="R25:R26"/>
    <mergeCell ref="O27:O28"/>
    <mergeCell ref="P27:P28"/>
    <mergeCell ref="Q27:Q28"/>
    <mergeCell ref="R27:R28"/>
    <mergeCell ref="O21:O22"/>
    <mergeCell ref="P21:P22"/>
    <mergeCell ref="Q21:Q22"/>
    <mergeCell ref="R21:R22"/>
    <mergeCell ref="O23:O24"/>
    <mergeCell ref="P23:P24"/>
    <mergeCell ref="Q23:Q24"/>
    <mergeCell ref="R23:R24"/>
    <mergeCell ref="O17:O18"/>
    <mergeCell ref="P17:P18"/>
    <mergeCell ref="Q17:Q18"/>
    <mergeCell ref="R17:R18"/>
    <mergeCell ref="O19:O20"/>
    <mergeCell ref="P19:P20"/>
    <mergeCell ref="Q19:Q20"/>
    <mergeCell ref="R19:R20"/>
    <mergeCell ref="O13:O14"/>
    <mergeCell ref="P13:P14"/>
    <mergeCell ref="Q13:Q14"/>
    <mergeCell ref="R13:R14"/>
    <mergeCell ref="O15:O16"/>
    <mergeCell ref="P15:P16"/>
    <mergeCell ref="Q15:Q16"/>
    <mergeCell ref="R15:R16"/>
    <mergeCell ref="O9:O10"/>
    <mergeCell ref="P9:P10"/>
    <mergeCell ref="Q9:Q10"/>
    <mergeCell ref="R9:R10"/>
    <mergeCell ref="O11:O12"/>
    <mergeCell ref="P11:P12"/>
    <mergeCell ref="Q11:Q12"/>
    <mergeCell ref="R11:R12"/>
    <mergeCell ref="G5:L5"/>
    <mergeCell ref="M5:R5"/>
    <mergeCell ref="O7:O8"/>
    <mergeCell ref="P7:P8"/>
    <mergeCell ref="Q7:Q8"/>
    <mergeCell ref="R7:R8"/>
    <mergeCell ref="E7:E8"/>
    <mergeCell ref="D7:D8"/>
    <mergeCell ref="D9:D10"/>
    <mergeCell ref="E9:E10"/>
    <mergeCell ref="I7:I8"/>
    <mergeCell ref="I9:I10"/>
    <mergeCell ref="J7:J8"/>
    <mergeCell ref="J9:J10"/>
    <mergeCell ref="K7:K8"/>
    <mergeCell ref="K9:K10"/>
    <mergeCell ref="L7:L8"/>
    <mergeCell ref="L9:L10"/>
    <mergeCell ref="F7:F8"/>
    <mergeCell ref="F9:F10"/>
    <mergeCell ref="F11:F12"/>
    <mergeCell ref="F13:F14"/>
    <mergeCell ref="F15:F16"/>
    <mergeCell ref="F17:F18"/>
    <mergeCell ref="F19:F20"/>
    <mergeCell ref="F21:F22"/>
    <mergeCell ref="D25:D26"/>
    <mergeCell ref="E25:E26"/>
    <mergeCell ref="D11:D12"/>
    <mergeCell ref="E11:E12"/>
    <mergeCell ref="D13:D14"/>
    <mergeCell ref="E13:E14"/>
    <mergeCell ref="D15:D16"/>
    <mergeCell ref="E15:E16"/>
    <mergeCell ref="D17:D18"/>
    <mergeCell ref="E17:E18"/>
    <mergeCell ref="D19:D20"/>
    <mergeCell ref="E19:E20"/>
    <mergeCell ref="F27:F28"/>
    <mergeCell ref="F29:F30"/>
    <mergeCell ref="F31:F32"/>
    <mergeCell ref="I29:I30"/>
    <mergeCell ref="I31:I32"/>
    <mergeCell ref="I23:I24"/>
    <mergeCell ref="I25:I26"/>
    <mergeCell ref="I27:I28"/>
    <mergeCell ref="D21:D22"/>
    <mergeCell ref="E21:E22"/>
    <mergeCell ref="D23:D24"/>
    <mergeCell ref="E23:E24"/>
    <mergeCell ref="D31:D32"/>
    <mergeCell ref="E31:E32"/>
    <mergeCell ref="D27:D28"/>
    <mergeCell ref="E27:E28"/>
    <mergeCell ref="D29:D30"/>
    <mergeCell ref="E29:E30"/>
    <mergeCell ref="J11:J12"/>
    <mergeCell ref="J13:J14"/>
    <mergeCell ref="J15:J16"/>
    <mergeCell ref="J17:J18"/>
    <mergeCell ref="J19:J20"/>
    <mergeCell ref="J21:J22"/>
    <mergeCell ref="I17:I18"/>
    <mergeCell ref="I19:I20"/>
    <mergeCell ref="I21:I22"/>
    <mergeCell ref="I11:I12"/>
    <mergeCell ref="I13:I14"/>
    <mergeCell ref="I15:I16"/>
    <mergeCell ref="L11:L12"/>
    <mergeCell ref="L13:L14"/>
    <mergeCell ref="L15:L16"/>
    <mergeCell ref="L17:L18"/>
    <mergeCell ref="L19:L20"/>
    <mergeCell ref="L21:L22"/>
    <mergeCell ref="K17:K18"/>
    <mergeCell ref="K19:K20"/>
    <mergeCell ref="K21:K22"/>
    <mergeCell ref="K11:K12"/>
    <mergeCell ref="K13:K14"/>
    <mergeCell ref="K15:K16"/>
    <mergeCell ref="B25:B26"/>
    <mergeCell ref="B27:B28"/>
    <mergeCell ref="B29:B30"/>
    <mergeCell ref="B31:B32"/>
    <mergeCell ref="C7:C8"/>
    <mergeCell ref="C9:C10"/>
    <mergeCell ref="C11:C12"/>
    <mergeCell ref="C13:C14"/>
    <mergeCell ref="C15:C16"/>
    <mergeCell ref="C17:C18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C19:C20"/>
    <mergeCell ref="C21:C22"/>
    <mergeCell ref="C23:C24"/>
    <mergeCell ref="C25:C26"/>
    <mergeCell ref="C27:C28"/>
    <mergeCell ref="C29:C30"/>
    <mergeCell ref="C31:C32"/>
    <mergeCell ref="L23:L24"/>
    <mergeCell ref="L25:L26"/>
    <mergeCell ref="L27:L28"/>
    <mergeCell ref="L29:L30"/>
    <mergeCell ref="L31:L32"/>
    <mergeCell ref="J23:J24"/>
    <mergeCell ref="J25:J26"/>
    <mergeCell ref="J27:J28"/>
    <mergeCell ref="J29:J30"/>
    <mergeCell ref="J31:J32"/>
    <mergeCell ref="K29:K30"/>
    <mergeCell ref="K31:K32"/>
    <mergeCell ref="K23:K24"/>
    <mergeCell ref="K25:K26"/>
    <mergeCell ref="K27:K28"/>
    <mergeCell ref="F23:F24"/>
    <mergeCell ref="F25:F2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C672-1FC4-4604-8F58-C0ABA41C2E47}">
  <dimension ref="C4:AO65"/>
  <sheetViews>
    <sheetView topLeftCell="H49" zoomScaleNormal="100" workbookViewId="0">
      <selection activeCell="U64" sqref="U64"/>
    </sheetView>
  </sheetViews>
  <sheetFormatPr defaultColWidth="8.85546875" defaultRowHeight="15" x14ac:dyDescent="0.25"/>
  <cols>
    <col min="1" max="7" width="8.85546875" style="1"/>
    <col min="8" max="9" width="9.7109375" style="1" customWidth="1"/>
    <col min="10" max="15" width="8.85546875" style="1"/>
    <col min="16" max="16" width="10.28515625" style="1" customWidth="1"/>
    <col min="17" max="18" width="8.85546875" style="1"/>
    <col min="19" max="19" width="10.7109375" style="1" customWidth="1"/>
    <col min="20" max="16384" width="8.85546875" style="1"/>
  </cols>
  <sheetData>
    <row r="4" spans="4:26" x14ac:dyDescent="0.25">
      <c r="D4" s="27"/>
      <c r="E4" s="15" t="s">
        <v>56</v>
      </c>
      <c r="F4" s="15"/>
      <c r="G4" s="15" t="s">
        <v>57</v>
      </c>
      <c r="H4" s="15"/>
      <c r="I4" s="15"/>
      <c r="J4" s="18" t="s">
        <v>58</v>
      </c>
      <c r="K4" s="19"/>
      <c r="L4" s="20"/>
      <c r="N4" s="15" t="s">
        <v>69</v>
      </c>
      <c r="O4" s="15"/>
      <c r="P4" s="15"/>
      <c r="Q4" s="3" t="s">
        <v>98</v>
      </c>
      <c r="S4" s="27"/>
      <c r="T4" s="15" t="s">
        <v>80</v>
      </c>
      <c r="U4" s="15"/>
      <c r="W4" s="15" t="s">
        <v>19</v>
      </c>
      <c r="X4" s="15"/>
      <c r="Y4" s="15"/>
      <c r="Z4" s="15"/>
    </row>
    <row r="5" spans="4:26" x14ac:dyDescent="0.25">
      <c r="D5" s="28"/>
      <c r="E5" s="4" t="s">
        <v>61</v>
      </c>
      <c r="F5" s="4" t="s">
        <v>62</v>
      </c>
      <c r="G5" s="4" t="s">
        <v>61</v>
      </c>
      <c r="H5" s="4" t="s">
        <v>63</v>
      </c>
      <c r="I5" s="4" t="s">
        <v>64</v>
      </c>
      <c r="J5" s="4" t="s">
        <v>60</v>
      </c>
      <c r="K5" s="4" t="s">
        <v>72</v>
      </c>
      <c r="L5" s="4" t="s">
        <v>65</v>
      </c>
      <c r="N5" s="29" t="s">
        <v>56</v>
      </c>
      <c r="O5" s="29"/>
      <c r="P5" s="2">
        <f>E11*F11^2 / 8</f>
        <v>2.6870690275650005E-3</v>
      </c>
      <c r="Q5" s="2">
        <f>SQRT((F11^2/8 * E12)^2+(E11/4*F11*F12)^2)</f>
        <v>1.0551869021747899</v>
      </c>
      <c r="S5" s="28"/>
      <c r="T5" s="4" t="s">
        <v>79</v>
      </c>
      <c r="U5" s="4" t="s">
        <v>81</v>
      </c>
      <c r="W5" s="4" t="s">
        <v>82</v>
      </c>
      <c r="X5" s="4" t="s">
        <v>83</v>
      </c>
      <c r="Y5" s="4" t="s">
        <v>84</v>
      </c>
      <c r="Z5" s="4" t="s">
        <v>85</v>
      </c>
    </row>
    <row r="6" spans="4:26" x14ac:dyDescent="0.25">
      <c r="D6" s="4">
        <v>1</v>
      </c>
      <c r="E6" s="2">
        <v>807.3</v>
      </c>
      <c r="F6" s="1">
        <v>200</v>
      </c>
      <c r="G6" s="2">
        <v>487.1</v>
      </c>
      <c r="H6" s="2">
        <v>197</v>
      </c>
      <c r="I6" s="2">
        <v>179</v>
      </c>
      <c r="J6" s="2">
        <v>683.5</v>
      </c>
      <c r="K6" s="2">
        <v>199</v>
      </c>
      <c r="L6" s="2">
        <v>28</v>
      </c>
      <c r="N6" s="29" t="s">
        <v>57</v>
      </c>
      <c r="O6" s="29"/>
      <c r="P6" s="2">
        <f>G11/8 * (H11^2+I11^2)</f>
        <v>3.7182845975369996E-3</v>
      </c>
      <c r="Q6" s="2">
        <f>SQRT(((H11^2+I11^2)/8*G12)^2+(G11/4*H11*H12)^2+(G11/4*I11*I12)^2)</f>
        <v>0.52134671062553861</v>
      </c>
      <c r="S6" s="4">
        <v>1</v>
      </c>
      <c r="T6" s="2">
        <v>1093.5</v>
      </c>
      <c r="U6" s="2">
        <v>0.753</v>
      </c>
      <c r="W6" s="2"/>
      <c r="X6" s="2"/>
      <c r="Y6" s="2"/>
      <c r="Z6" s="2"/>
    </row>
    <row r="7" spans="4:26" x14ac:dyDescent="0.25">
      <c r="D7" s="4">
        <v>2</v>
      </c>
      <c r="E7" s="2">
        <v>807.4</v>
      </c>
      <c r="F7" s="1">
        <v>201</v>
      </c>
      <c r="G7" s="2">
        <v>487.2</v>
      </c>
      <c r="H7" s="2">
        <v>199</v>
      </c>
      <c r="I7" s="2">
        <v>181</v>
      </c>
      <c r="J7" s="2">
        <v>683.7</v>
      </c>
      <c r="K7" s="2">
        <v>199</v>
      </c>
      <c r="L7" s="2">
        <v>29</v>
      </c>
      <c r="N7" s="29" t="s">
        <v>70</v>
      </c>
      <c r="O7" s="29"/>
      <c r="P7" s="2">
        <f>J11*L11^2/12</f>
        <v>4.5944346133333332E-5</v>
      </c>
      <c r="Q7" s="2">
        <f>SQRT((L11^2/12*J12)^2+(J11/6*L11*L12)^2)</f>
        <v>5.7151136637459909E-4</v>
      </c>
      <c r="S7" s="4">
        <v>2</v>
      </c>
      <c r="T7" s="2">
        <v>1098</v>
      </c>
      <c r="U7" s="2">
        <v>0.78100000000000003</v>
      </c>
      <c r="W7" s="2"/>
      <c r="X7" s="2"/>
      <c r="Y7" s="2"/>
      <c r="Z7" s="2"/>
    </row>
    <row r="8" spans="4:26" x14ac:dyDescent="0.25">
      <c r="D8" s="4">
        <v>3</v>
      </c>
      <c r="E8" s="2">
        <v>807.4</v>
      </c>
      <c r="F8" s="1">
        <v>200.5</v>
      </c>
      <c r="G8" s="2">
        <v>487.1</v>
      </c>
      <c r="H8" s="2">
        <v>200</v>
      </c>
      <c r="I8" s="2">
        <v>180</v>
      </c>
      <c r="J8" s="2">
        <v>683.6</v>
      </c>
      <c r="K8" s="2">
        <v>200</v>
      </c>
      <c r="L8" s="2">
        <v>28</v>
      </c>
      <c r="N8" s="29" t="s">
        <v>71</v>
      </c>
      <c r="O8" s="29"/>
      <c r="P8" s="2">
        <f>J11/24 *(2*K11^2+L11^2)</f>
        <v>1.5397754304120005E-3</v>
      </c>
      <c r="Q8" s="2">
        <f>SQRT(((2*K11^2+L11^2)/24*J12)^2+(J11/6*K11*K12)^2+(J11/12*L11*L12)^2)</f>
        <v>0.59563453711150727</v>
      </c>
      <c r="S8" s="4">
        <v>3</v>
      </c>
      <c r="T8" s="2">
        <v>1096.5</v>
      </c>
      <c r="U8" s="2">
        <v>0.75</v>
      </c>
      <c r="W8" s="2"/>
      <c r="X8" s="2"/>
      <c r="Y8" s="2"/>
      <c r="Z8" s="2"/>
    </row>
    <row r="9" spans="4:26" x14ac:dyDescent="0.25">
      <c r="D9" s="4">
        <v>4</v>
      </c>
      <c r="E9" s="2">
        <v>807.2</v>
      </c>
      <c r="F9" s="1">
        <v>201</v>
      </c>
      <c r="G9" s="2">
        <v>487.2</v>
      </c>
      <c r="H9" s="2">
        <v>198</v>
      </c>
      <c r="I9" s="2">
        <v>180</v>
      </c>
      <c r="J9" s="2">
        <v>683.5</v>
      </c>
      <c r="K9" s="2">
        <v>198</v>
      </c>
      <c r="L9" s="2">
        <v>28.7</v>
      </c>
      <c r="N9" s="29" t="s">
        <v>74</v>
      </c>
      <c r="O9" s="29"/>
      <c r="P9" s="2">
        <f>P5+P7</f>
        <v>2.7330133736983338E-3</v>
      </c>
      <c r="Q9" s="2">
        <f>SQRT(Q5^2+Q7^2)</f>
        <v>1.0551870569460524</v>
      </c>
      <c r="S9" s="4">
        <v>4</v>
      </c>
      <c r="T9" s="2">
        <v>1097.5</v>
      </c>
      <c r="U9" s="2">
        <v>0.77200000000000002</v>
      </c>
      <c r="W9" s="2"/>
      <c r="X9" s="2"/>
      <c r="Y9" s="2"/>
      <c r="Z9" s="2"/>
    </row>
    <row r="10" spans="4:26" x14ac:dyDescent="0.25">
      <c r="D10" s="4">
        <v>5</v>
      </c>
      <c r="E10" s="2">
        <v>807.2</v>
      </c>
      <c r="F10" s="1">
        <v>200</v>
      </c>
      <c r="G10" s="2">
        <v>487.1</v>
      </c>
      <c r="H10" s="2">
        <v>197</v>
      </c>
      <c r="I10" s="2">
        <v>17.899999999999999</v>
      </c>
      <c r="J10" s="2">
        <v>683.5</v>
      </c>
      <c r="K10" s="2">
        <v>19.899999999999999</v>
      </c>
      <c r="L10" s="2">
        <v>28.3</v>
      </c>
      <c r="N10" s="29" t="s">
        <v>73</v>
      </c>
      <c r="O10" s="29"/>
      <c r="P10" s="2">
        <f>P5+P8</f>
        <v>4.2268444579770005E-3</v>
      </c>
      <c r="Q10" s="2">
        <f>SQRT(Q5^2+Q8^2)</f>
        <v>1.2116929893010313</v>
      </c>
      <c r="S10" s="4">
        <v>5</v>
      </c>
      <c r="T10" s="2">
        <v>1096.4000000000001</v>
      </c>
      <c r="U10" s="2">
        <v>0.77</v>
      </c>
      <c r="W10" s="2"/>
      <c r="X10" s="2"/>
      <c r="Y10" s="2"/>
      <c r="Z10" s="2"/>
    </row>
    <row r="11" spans="4:26" x14ac:dyDescent="0.25">
      <c r="D11" s="4" t="s">
        <v>66</v>
      </c>
      <c r="E11" s="2">
        <f>AVERAGE(E6:E10)/1000</f>
        <v>0.80729999999999991</v>
      </c>
      <c r="F11" s="2">
        <f>AVERAGE(K6:K10)/1000</f>
        <v>0.16318000000000002</v>
      </c>
      <c r="G11" s="2">
        <f t="shared" ref="G11:L11" si="0">AVERAGE(G6:G10)/1000</f>
        <v>0.48714000000000002</v>
      </c>
      <c r="H11" s="2">
        <f t="shared" si="0"/>
        <v>0.19819999999999999</v>
      </c>
      <c r="I11" s="2">
        <f t="shared" si="0"/>
        <v>0.14757999999999999</v>
      </c>
      <c r="J11" s="2">
        <f t="shared" si="0"/>
        <v>0.68356000000000006</v>
      </c>
      <c r="K11" s="2">
        <f t="shared" si="0"/>
        <v>0.16318000000000002</v>
      </c>
      <c r="L11" s="2">
        <f t="shared" si="0"/>
        <v>2.8399999999999998E-2</v>
      </c>
      <c r="N11" s="29" t="s">
        <v>75</v>
      </c>
      <c r="O11" s="29"/>
      <c r="P11" s="2">
        <f>P5+P6</f>
        <v>6.4053536251020005E-3</v>
      </c>
      <c r="Q11" s="2">
        <f>SQRT(Q5^2+Q6^2)</f>
        <v>1.1769544558738452</v>
      </c>
      <c r="S11" s="4" t="s">
        <v>66</v>
      </c>
      <c r="T11" s="2">
        <f>AVERAGE(T6:T10)/1000</f>
        <v>1.0963799999999999</v>
      </c>
      <c r="U11" s="2">
        <f>AVERAGE(U6:U10)/1000</f>
        <v>7.6519999999999995E-4</v>
      </c>
      <c r="W11" s="2" t="e">
        <f>AVERAGE(W6:W10)/1000</f>
        <v>#DIV/0!</v>
      </c>
      <c r="X11" s="2" t="e">
        <f>AVERAGE(X6:X10)/1000</f>
        <v>#DIV/0!</v>
      </c>
      <c r="Y11" s="2" t="e">
        <f>AVERAGE(Y6:Y10)/1000</f>
        <v>#DIV/0!</v>
      </c>
      <c r="Z11" s="2" t="e">
        <f>AVERAGE(Z6:Z10)/1000</f>
        <v>#DIV/0!</v>
      </c>
    </row>
    <row r="12" spans="4:26" x14ac:dyDescent="0.25">
      <c r="D12" s="4" t="s">
        <v>67</v>
      </c>
      <c r="E12" s="2">
        <f>_xlfn.STDEV.P(E6:E10)/SQRT(5)</f>
        <v>3.9999999999986359E-2</v>
      </c>
      <c r="F12" s="2">
        <f>_xlfn.STDEV.P(K6:K10)/SQRT(5)</f>
        <v>32.039630459791518</v>
      </c>
      <c r="G12" s="2">
        <f t="shared" ref="G12:L12" si="1">_xlfn.STDEV.P(G6:G10)/SQRT(5)</f>
        <v>2.1908902300199169E-2</v>
      </c>
      <c r="H12" s="2">
        <f t="shared" si="1"/>
        <v>0.52153619241621196</v>
      </c>
      <c r="I12" s="2">
        <f t="shared" si="1"/>
        <v>28.998708936778566</v>
      </c>
      <c r="J12" s="2">
        <f>_xlfn.STDEV.P(J6:J10)/SQRT(5)</f>
        <v>3.577708764000477E-2</v>
      </c>
      <c r="K12" s="2">
        <f>_xlfn.STDEV.P(K6:K10)/SQRT(5)</f>
        <v>32.039630459791518</v>
      </c>
      <c r="L12" s="2">
        <f t="shared" si="1"/>
        <v>0.17663521732655688</v>
      </c>
      <c r="N12" s="29" t="s">
        <v>76</v>
      </c>
      <c r="O12" s="29"/>
      <c r="P12" s="2">
        <f>P5+P6+P8</f>
        <v>7.9451290555140018E-3</v>
      </c>
      <c r="Q12" s="2">
        <f>SQRT(Q5^2+Q6^2+Q8^2)</f>
        <v>1.3190914649869199</v>
      </c>
      <c r="S12" s="4" t="s">
        <v>67</v>
      </c>
      <c r="T12" s="2">
        <f>_xlfn.STDEV.P(T6:T10)/SQRT(5)</f>
        <v>0.69822632433903553</v>
      </c>
      <c r="U12" s="2">
        <f>_xlfn.STDEV.P(U6:U10)/SQRT(5)</f>
        <v>5.286965102967868E-3</v>
      </c>
      <c r="W12" s="2" t="e">
        <f>_xlfn.STDEV.P(W6:W10)/SQRT(5)</f>
        <v>#DIV/0!</v>
      </c>
      <c r="X12" s="2" t="e">
        <f>_xlfn.STDEV.P(X6:X10)/SQRT(5)</f>
        <v>#DIV/0!</v>
      </c>
      <c r="Y12" s="2" t="e">
        <f>_xlfn.STDEV.P(Y6:Y10)/SQRT(5)</f>
        <v>#DIV/0!</v>
      </c>
      <c r="Z12" s="2" t="e">
        <f>_xlfn.STDEV.P(Z6:Z10)/SQRT(5)</f>
        <v>#DIV/0!</v>
      </c>
    </row>
    <row r="19" spans="3:41" ht="17.25" x14ac:dyDescent="0.3">
      <c r="C19" s="2"/>
      <c r="D19" s="4" t="s">
        <v>77</v>
      </c>
      <c r="E19" s="10" t="s">
        <v>78</v>
      </c>
      <c r="F19" s="4" t="s">
        <v>5</v>
      </c>
      <c r="G19" s="4" t="s">
        <v>6</v>
      </c>
      <c r="H19" s="4" t="s">
        <v>86</v>
      </c>
      <c r="I19" s="4" t="s">
        <v>90</v>
      </c>
      <c r="J19" s="4" t="s">
        <v>91</v>
      </c>
      <c r="K19" s="4" t="s">
        <v>92</v>
      </c>
      <c r="Y19" s="18" t="s">
        <v>103</v>
      </c>
      <c r="Z19" s="20"/>
      <c r="AA19" s="18" t="s">
        <v>104</v>
      </c>
      <c r="AB19" s="20"/>
      <c r="AL19" s="15" t="s">
        <v>95</v>
      </c>
      <c r="AM19" s="15"/>
      <c r="AN19" s="15"/>
      <c r="AO19" s="15"/>
    </row>
    <row r="20" spans="3:41" ht="17.25" x14ac:dyDescent="0.25">
      <c r="C20" s="30" t="s">
        <v>87</v>
      </c>
      <c r="D20" s="29">
        <f>P9</f>
        <v>2.7330133736983338E-3</v>
      </c>
      <c r="E20" s="2">
        <v>90</v>
      </c>
      <c r="F20" s="2">
        <v>71.05</v>
      </c>
      <c r="G20" s="2">
        <f>F20/10</f>
        <v>7.1049999999999995</v>
      </c>
      <c r="H20" s="21">
        <f>AVERAGE(G20:G22)</f>
        <v>7.1146666666666656</v>
      </c>
      <c r="I20" s="21">
        <f>_xlfn.STDEV.P(G20:G22)/SQRT(3)</f>
        <v>4.4804100341458031E-3</v>
      </c>
      <c r="J20" s="21">
        <f>H20^2</f>
        <v>50.61848177777776</v>
      </c>
      <c r="K20" s="21">
        <f>ABS(2*H20*I20)</f>
        <v>6.375324784587201E-2</v>
      </c>
      <c r="Q20" s="4" t="s">
        <v>68</v>
      </c>
      <c r="R20" s="4" t="s">
        <v>98</v>
      </c>
      <c r="S20" s="4" t="s">
        <v>86</v>
      </c>
      <c r="T20" s="4" t="s">
        <v>90</v>
      </c>
      <c r="U20" s="4" t="s">
        <v>91</v>
      </c>
      <c r="V20" s="4" t="s">
        <v>92</v>
      </c>
      <c r="W20" s="4" t="s">
        <v>93</v>
      </c>
      <c r="X20" s="4" t="s">
        <v>94</v>
      </c>
      <c r="Y20" s="4" t="s">
        <v>99</v>
      </c>
      <c r="Z20" s="4" t="s">
        <v>100</v>
      </c>
      <c r="AA20" s="4" t="s">
        <v>101</v>
      </c>
      <c r="AB20" s="4" t="s">
        <v>102</v>
      </c>
      <c r="AL20" s="4" t="s">
        <v>18</v>
      </c>
      <c r="AM20" s="2">
        <f t="array" ref="AM20:AN22">LINEST(W21:W24,X21:X24,1,1)</f>
        <v>2.2900066228734204</v>
      </c>
      <c r="AN20" s="2">
        <v>-4.5210192313731623</v>
      </c>
      <c r="AO20" s="4" t="s">
        <v>31</v>
      </c>
    </row>
    <row r="21" spans="3:41" x14ac:dyDescent="0.25">
      <c r="C21" s="30"/>
      <c r="D21" s="29"/>
      <c r="E21" s="2">
        <v>180</v>
      </c>
      <c r="F21" s="2">
        <v>71.150000000000006</v>
      </c>
      <c r="G21" s="2">
        <f t="shared" ref="G21:G31" si="2">F21/10</f>
        <v>7.1150000000000002</v>
      </c>
      <c r="H21" s="21"/>
      <c r="I21" s="21"/>
      <c r="J21" s="21"/>
      <c r="K21" s="21"/>
      <c r="Q21" s="2">
        <f>D20</f>
        <v>2.7330133736983338E-3</v>
      </c>
      <c r="R21" s="2">
        <f>Q9</f>
        <v>1.0551870569460524</v>
      </c>
      <c r="S21" s="2">
        <f>H20</f>
        <v>7.1146666666666656</v>
      </c>
      <c r="T21" s="2">
        <f>I20</f>
        <v>4.4804100341458031E-3</v>
      </c>
      <c r="U21" s="2">
        <f>J20</f>
        <v>50.61848177777776</v>
      </c>
      <c r="V21" s="2">
        <f>K20</f>
        <v>6.375324784587201E-2</v>
      </c>
      <c r="W21" s="2">
        <f>LOG(Q21)</f>
        <v>-2.5633582431301791</v>
      </c>
      <c r="X21" s="2">
        <f>LOG(S21)</f>
        <v>0.85215455751679248</v>
      </c>
      <c r="Y21" s="2">
        <f>U21*Q$28+R$28</f>
        <v>2.6488913038728665E-3</v>
      </c>
      <c r="Z21" s="2">
        <f>Q21-Y21</f>
        <v>8.4122069825467299E-5</v>
      </c>
      <c r="AA21" s="2">
        <f>Q21*Y$28+Z$28</f>
        <v>52.167025632132166</v>
      </c>
      <c r="AB21" s="2">
        <f>U21-AA21</f>
        <v>-1.5485438543544063</v>
      </c>
      <c r="AL21" s="4" t="s">
        <v>29</v>
      </c>
      <c r="AM21" s="2">
        <v>0.12641954667657784</v>
      </c>
      <c r="AN21" s="2">
        <v>0.1225772304448489</v>
      </c>
      <c r="AO21" s="4" t="s">
        <v>32</v>
      </c>
    </row>
    <row r="22" spans="3:41" ht="17.25" x14ac:dyDescent="0.25">
      <c r="C22" s="30"/>
      <c r="D22" s="29"/>
      <c r="E22" s="2">
        <v>270</v>
      </c>
      <c r="F22" s="2">
        <v>71.239999999999995</v>
      </c>
      <c r="G22" s="2">
        <f t="shared" si="2"/>
        <v>7.1239999999999997</v>
      </c>
      <c r="H22" s="21"/>
      <c r="I22" s="21"/>
      <c r="J22" s="21"/>
      <c r="K22" s="21"/>
      <c r="Q22" s="2">
        <f>D23</f>
        <v>4.2268444579770005E-3</v>
      </c>
      <c r="R22" s="2">
        <f>Q10</f>
        <v>1.2116929893010313</v>
      </c>
      <c r="S22" s="2">
        <f>H23</f>
        <v>8.8320000000000007</v>
      </c>
      <c r="T22" s="2">
        <f>I23</f>
        <v>1.2192894105447558E-2</v>
      </c>
      <c r="U22" s="2">
        <f>J23</f>
        <v>78.004224000000008</v>
      </c>
      <c r="V22" s="2">
        <f>K23</f>
        <v>0.21537528147862567</v>
      </c>
      <c r="W22" s="2">
        <f>LOG(Q22)</f>
        <v>-2.3739837333124929</v>
      </c>
      <c r="X22" s="2">
        <f>LOG(S22)</f>
        <v>0.94605906038512377</v>
      </c>
      <c r="Y22" s="2">
        <f>U22*Q$28+R$28</f>
        <v>4.464853791847927E-3</v>
      </c>
      <c r="Z22" s="2">
        <f>Q22-Y22</f>
        <v>-2.3800933387092653E-4</v>
      </c>
      <c r="AA22" s="2">
        <f>Q22*Y$28+Z$28</f>
        <v>74.533670436872484</v>
      </c>
      <c r="AB22" s="2">
        <f>U22-AA22</f>
        <v>3.4705535631275239</v>
      </c>
      <c r="AL22" s="4" t="s">
        <v>30</v>
      </c>
      <c r="AM22" s="2">
        <v>0.99394176776651932</v>
      </c>
      <c r="AN22" s="2">
        <v>1.9535363955586835E-2</v>
      </c>
      <c r="AO22" s="4" t="s">
        <v>33</v>
      </c>
    </row>
    <row r="23" spans="3:41" x14ac:dyDescent="0.25">
      <c r="C23" s="30" t="s">
        <v>88</v>
      </c>
      <c r="D23" s="29">
        <f>P10</f>
        <v>4.2268444579770005E-3</v>
      </c>
      <c r="E23" s="2">
        <v>90</v>
      </c>
      <c r="F23" s="2">
        <v>88.09</v>
      </c>
      <c r="G23" s="2">
        <f>F23/10</f>
        <v>8.8090000000000011</v>
      </c>
      <c r="H23" s="21">
        <f>AVERAGE(G23:G25)</f>
        <v>8.8320000000000007</v>
      </c>
      <c r="I23" s="21">
        <f>_xlfn.STDEV.P(G23:G25)/SQRT(3)</f>
        <v>1.2192894105447558E-2</v>
      </c>
      <c r="J23" s="21">
        <f>H23^2</f>
        <v>78.004224000000008</v>
      </c>
      <c r="K23" s="21">
        <f>ABS(2*H23*I23)</f>
        <v>0.21537528147862567</v>
      </c>
      <c r="Q23" s="2">
        <f>D26</f>
        <v>6.4053536251020005E-3</v>
      </c>
      <c r="R23" s="2">
        <f>Q11</f>
        <v>1.1769544558738452</v>
      </c>
      <c r="S23" s="2">
        <f>H26</f>
        <v>10.198666666666666</v>
      </c>
      <c r="T23" s="2">
        <f>I26</f>
        <v>3.6004114991152187E-3</v>
      </c>
      <c r="U23" s="2">
        <f>J26</f>
        <v>104.01280177777777</v>
      </c>
      <c r="V23" s="2">
        <f>K26</f>
        <v>7.3438793484619486E-2</v>
      </c>
      <c r="W23" s="2">
        <f>LOG(Q23)</f>
        <v>-2.1934568888402861</v>
      </c>
      <c r="X23" s="2">
        <f>LOG(S23)</f>
        <v>1.0085433975305924</v>
      </c>
      <c r="Y23" s="2">
        <f>U23*Q$28+R$28</f>
        <v>6.1894958054465486E-3</v>
      </c>
      <c r="Z23" s="2">
        <f>Q23-Y23</f>
        <v>2.1585781965545187E-4</v>
      </c>
      <c r="AA23" s="2">
        <f>Q23*Y$28+Z$28</f>
        <v>107.15177649836477</v>
      </c>
      <c r="AB23" s="2">
        <f>U23-AA23</f>
        <v>-3.1389747205870009</v>
      </c>
    </row>
    <row r="24" spans="3:41" x14ac:dyDescent="0.25">
      <c r="C24" s="30"/>
      <c r="D24" s="29"/>
      <c r="E24" s="2">
        <v>180</v>
      </c>
      <c r="F24" s="2">
        <v>88.6</v>
      </c>
      <c r="G24" s="2">
        <f t="shared" si="2"/>
        <v>8.86</v>
      </c>
      <c r="H24" s="21"/>
      <c r="I24" s="21"/>
      <c r="J24" s="21"/>
      <c r="K24" s="21"/>
      <c r="Q24" s="2">
        <f>D29</f>
        <v>7.9451290555140018E-3</v>
      </c>
      <c r="R24" s="2">
        <f>Q12</f>
        <v>1.3190914649869199</v>
      </c>
      <c r="S24" s="2">
        <f>H29</f>
        <v>11.464</v>
      </c>
      <c r="T24" s="2">
        <f>I29</f>
        <v>6.8475461947251261E-3</v>
      </c>
      <c r="U24" s="2">
        <f>J29</f>
        <v>131.42329600000002</v>
      </c>
      <c r="V24" s="2">
        <f>K29</f>
        <v>0.15700053915265769</v>
      </c>
      <c r="W24" s="2">
        <f>LOG(Q24)</f>
        <v>-2.0998990440019281</v>
      </c>
      <c r="X24" s="2">
        <f>LOG(S24)</f>
        <v>1.059336177389288</v>
      </c>
      <c r="Y24" s="2">
        <f>U24*Q$28+R$28</f>
        <v>8.0070996111239988E-3</v>
      </c>
      <c r="Z24" s="2">
        <f>Q24-Y24</f>
        <v>-6.197055560999698E-5</v>
      </c>
      <c r="AA24" s="2">
        <f>Q24*Y$28+Z$28</f>
        <v>130.2063309881861</v>
      </c>
      <c r="AB24" s="2">
        <f>U24-AA24</f>
        <v>1.2169650118139259</v>
      </c>
      <c r="AL24" s="29" t="s">
        <v>97</v>
      </c>
      <c r="AM24" s="29"/>
      <c r="AN24" s="29"/>
      <c r="AO24" s="6">
        <f>(AM20-2)/2</f>
        <v>0.14500331143671019</v>
      </c>
    </row>
    <row r="25" spans="3:41" x14ac:dyDescent="0.25">
      <c r="C25" s="30"/>
      <c r="D25" s="29"/>
      <c r="E25" s="2">
        <v>270</v>
      </c>
      <c r="F25" s="2">
        <v>88.27</v>
      </c>
      <c r="G25" s="2">
        <f t="shared" si="2"/>
        <v>8.827</v>
      </c>
      <c r="H25" s="21"/>
      <c r="I25" s="21"/>
      <c r="J25" s="21"/>
      <c r="K25" s="21"/>
      <c r="AL25" s="29" t="s">
        <v>96</v>
      </c>
      <c r="AM25" s="29"/>
      <c r="AN25" s="29"/>
      <c r="AO25" s="6">
        <f>AM21/AM20</f>
        <v>5.5204882559663083E-2</v>
      </c>
    </row>
    <row r="26" spans="3:41" x14ac:dyDescent="0.25">
      <c r="C26" s="30" t="s">
        <v>89</v>
      </c>
      <c r="D26" s="29">
        <f>P11</f>
        <v>6.4053536251020005E-3</v>
      </c>
      <c r="E26" s="2">
        <v>90</v>
      </c>
      <c r="F26" s="2">
        <v>101.92</v>
      </c>
      <c r="G26" s="2">
        <f>F26/10</f>
        <v>10.192</v>
      </c>
      <c r="H26" s="21">
        <f>AVERAGE(G26:G28)</f>
        <v>10.198666666666666</v>
      </c>
      <c r="I26" s="21">
        <f>_xlfn.STDEV.P(G26:G28)/SQRT(3)</f>
        <v>3.6004114991152187E-3</v>
      </c>
      <c r="J26" s="21">
        <f>H26^2</f>
        <v>104.01280177777777</v>
      </c>
      <c r="K26" s="21">
        <f>ABS(2*H26*I26)</f>
        <v>7.3438793484619486E-2</v>
      </c>
    </row>
    <row r="27" spans="3:41" ht="17.25" x14ac:dyDescent="0.25">
      <c r="C27" s="30"/>
      <c r="D27" s="29"/>
      <c r="E27" s="2">
        <v>180</v>
      </c>
      <c r="F27" s="2">
        <v>101.97</v>
      </c>
      <c r="G27" s="2">
        <f t="shared" si="2"/>
        <v>10.196999999999999</v>
      </c>
      <c r="H27" s="21"/>
      <c r="I27" s="21"/>
      <c r="J27" s="21"/>
      <c r="K27" s="21"/>
      <c r="P27" s="15" t="s">
        <v>103</v>
      </c>
      <c r="Q27" s="15"/>
      <c r="R27" s="15"/>
      <c r="S27" s="15"/>
      <c r="X27" s="15" t="s">
        <v>104</v>
      </c>
      <c r="Y27" s="15"/>
      <c r="Z27" s="15"/>
      <c r="AA27" s="15"/>
    </row>
    <row r="28" spans="3:41" x14ac:dyDescent="0.25">
      <c r="C28" s="30"/>
      <c r="D28" s="29"/>
      <c r="E28" s="2">
        <v>270</v>
      </c>
      <c r="F28" s="2">
        <v>102.07</v>
      </c>
      <c r="G28" s="2">
        <f t="shared" si="2"/>
        <v>10.206999999999999</v>
      </c>
      <c r="H28" s="21"/>
      <c r="I28" s="21"/>
      <c r="J28" s="21"/>
      <c r="K28" s="21"/>
      <c r="P28" s="4" t="s">
        <v>18</v>
      </c>
      <c r="Q28" s="2">
        <f t="array" ref="Q28:R30">LINEST(Q21:Q24,U21:U24,1,1)</f>
        <v>6.631050833822177E-5</v>
      </c>
      <c r="R28" s="2">
        <v>-7.0764595412059223E-4</v>
      </c>
      <c r="S28" s="4" t="s">
        <v>31</v>
      </c>
      <c r="X28" s="4" t="s">
        <v>18</v>
      </c>
      <c r="Y28" s="2">
        <f t="array" ref="Y28:Z30">LINEST(U21:U24,Q21:Q24,1,1)</f>
        <v>14972.673309673843</v>
      </c>
      <c r="Z28" s="2">
        <v>11.246509236777456</v>
      </c>
      <c r="AA28" s="4" t="s">
        <v>31</v>
      </c>
    </row>
    <row r="29" spans="3:41" x14ac:dyDescent="0.25">
      <c r="C29" s="30" t="s">
        <v>59</v>
      </c>
      <c r="D29" s="29">
        <f>P12</f>
        <v>7.9451290555140018E-3</v>
      </c>
      <c r="E29" s="2">
        <v>90</v>
      </c>
      <c r="F29" s="2">
        <v>114.79</v>
      </c>
      <c r="G29" s="2">
        <f>F29/10</f>
        <v>11.479000000000001</v>
      </c>
      <c r="H29" s="21">
        <f>AVERAGE(G29:G31)</f>
        <v>11.464</v>
      </c>
      <c r="I29" s="21">
        <f>_xlfn.STDEV.P(G29:G31)/SQRT(3)</f>
        <v>6.8475461947251261E-3</v>
      </c>
      <c r="J29" s="21">
        <f>H29^2</f>
        <v>131.42329600000002</v>
      </c>
      <c r="K29" s="21">
        <f>ABS(2*H29*I29)</f>
        <v>0.15700053915265769</v>
      </c>
      <c r="P29" s="4" t="s">
        <v>29</v>
      </c>
      <c r="Q29" s="2">
        <v>3.9802813573928012E-6</v>
      </c>
      <c r="R29" s="2">
        <v>3.8145154321633838E-4</v>
      </c>
      <c r="S29" s="4" t="s">
        <v>32</v>
      </c>
      <c r="X29" s="4" t="s">
        <v>29</v>
      </c>
      <c r="Y29" s="2">
        <v>898.73315615160857</v>
      </c>
      <c r="Z29" s="2">
        <v>5.1134916825896992</v>
      </c>
      <c r="AA29" s="4" t="s">
        <v>32</v>
      </c>
    </row>
    <row r="30" spans="3:41" ht="17.25" x14ac:dyDescent="0.25">
      <c r="C30" s="30"/>
      <c r="D30" s="29"/>
      <c r="E30" s="2">
        <v>180</v>
      </c>
      <c r="F30" s="2">
        <v>114.5</v>
      </c>
      <c r="G30" s="2">
        <f t="shared" si="2"/>
        <v>11.45</v>
      </c>
      <c r="H30" s="21"/>
      <c r="I30" s="21"/>
      <c r="J30" s="21"/>
      <c r="K30" s="21"/>
      <c r="P30" s="4" t="s">
        <v>30</v>
      </c>
      <c r="Q30" s="2">
        <v>0.99284557834659792</v>
      </c>
      <c r="R30" s="2">
        <v>2.3891412025079233E-4</v>
      </c>
      <c r="S30" s="4" t="s">
        <v>33</v>
      </c>
      <c r="X30" s="4" t="s">
        <v>30</v>
      </c>
      <c r="Y30" s="2">
        <v>0.99284557834659792</v>
      </c>
      <c r="Z30" s="2">
        <v>3.5900484843424798</v>
      </c>
      <c r="AA30" s="4" t="s">
        <v>33</v>
      </c>
    </row>
    <row r="31" spans="3:41" x14ac:dyDescent="0.25">
      <c r="C31" s="30"/>
      <c r="D31" s="29"/>
      <c r="E31" s="2">
        <v>270</v>
      </c>
      <c r="F31" s="2">
        <v>114.63</v>
      </c>
      <c r="G31" s="2">
        <f t="shared" si="2"/>
        <v>11.462999999999999</v>
      </c>
      <c r="H31" s="21"/>
      <c r="I31" s="21"/>
      <c r="J31" s="21"/>
      <c r="K31" s="21"/>
    </row>
    <row r="33" spans="4:6" x14ac:dyDescent="0.25">
      <c r="D33" s="26" t="s">
        <v>110</v>
      </c>
      <c r="E33" s="26"/>
      <c r="F33" s="26"/>
    </row>
    <row r="65" spans="16:26" x14ac:dyDescent="0.25">
      <c r="P65" s="3" t="s">
        <v>105</v>
      </c>
      <c r="Q65" s="2">
        <f>128*PI()*T11*Q28/U11^4</f>
        <v>85271412841.618576</v>
      </c>
      <c r="T65" s="3" t="s">
        <v>106</v>
      </c>
      <c r="U65" s="2" t="s">
        <v>107</v>
      </c>
      <c r="Y65" s="3" t="s">
        <v>105</v>
      </c>
      <c r="Z65" s="2">
        <f>128*PI()*T11/(Y28*U11^4)</f>
        <v>85885876617.008728</v>
      </c>
    </row>
  </sheetData>
  <mergeCells count="48">
    <mergeCell ref="J4:L4"/>
    <mergeCell ref="AL19:AO19"/>
    <mergeCell ref="AL25:AN25"/>
    <mergeCell ref="AL24:AN24"/>
    <mergeCell ref="W4:Z4"/>
    <mergeCell ref="N12:O12"/>
    <mergeCell ref="N11:O11"/>
    <mergeCell ref="N10:O10"/>
    <mergeCell ref="N9:O9"/>
    <mergeCell ref="T4:U4"/>
    <mergeCell ref="S4:S5"/>
    <mergeCell ref="X27:AA27"/>
    <mergeCell ref="Y19:Z19"/>
    <mergeCell ref="J29:J31"/>
    <mergeCell ref="J26:J28"/>
    <mergeCell ref="J23:J25"/>
    <mergeCell ref="J20:J22"/>
    <mergeCell ref="K29:K31"/>
    <mergeCell ref="K26:K28"/>
    <mergeCell ref="K23:K25"/>
    <mergeCell ref="K20:K22"/>
    <mergeCell ref="AA19:AB19"/>
    <mergeCell ref="I23:I25"/>
    <mergeCell ref="I20:I22"/>
    <mergeCell ref="H29:H31"/>
    <mergeCell ref="H26:H28"/>
    <mergeCell ref="P27:S27"/>
    <mergeCell ref="C20:C22"/>
    <mergeCell ref="C23:C25"/>
    <mergeCell ref="C26:C28"/>
    <mergeCell ref="C29:C31"/>
    <mergeCell ref="D20:D22"/>
    <mergeCell ref="D33:F33"/>
    <mergeCell ref="E4:F4"/>
    <mergeCell ref="G4:I4"/>
    <mergeCell ref="D4:D5"/>
    <mergeCell ref="N8:O8"/>
    <mergeCell ref="N7:O7"/>
    <mergeCell ref="N6:O6"/>
    <mergeCell ref="N5:O5"/>
    <mergeCell ref="N4:P4"/>
    <mergeCell ref="D23:D25"/>
    <mergeCell ref="D26:D28"/>
    <mergeCell ref="D29:D31"/>
    <mergeCell ref="H23:H25"/>
    <mergeCell ref="H20:H22"/>
    <mergeCell ref="I29:I31"/>
    <mergeCell ref="I26:I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Barra (2)</vt:lpstr>
      <vt:lpstr>Barra</vt:lpstr>
      <vt:lpstr>Pêndulo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Sérgio Sousa</cp:lastModifiedBy>
  <dcterms:created xsi:type="dcterms:W3CDTF">2023-03-14T15:21:36Z</dcterms:created>
  <dcterms:modified xsi:type="dcterms:W3CDTF">2023-03-15T20:29:44Z</dcterms:modified>
</cp:coreProperties>
</file>