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CHAN\OneDrive\Ambiente de Trabalho\FCUP\2.º ano\2.º semestre\Laboratórios de Física II\Lab. -1.14\Excels\"/>
    </mc:Choice>
  </mc:AlternateContent>
  <xr:revisionPtr revIDLastSave="0" documentId="13_ncr:1_{530E488E-6A4B-464C-9E7D-022E66D78C90}" xr6:coauthVersionLast="47" xr6:coauthVersionMax="47" xr10:uidLastSave="{00000000-0000-0000-0000-000000000000}"/>
  <bookViews>
    <workbookView xWindow="-108" yWindow="-108" windowWidth="23256" windowHeight="12456" xr2:uid="{2BBBEBA2-0569-494E-BBE3-128569D26559}"/>
  </bookViews>
  <sheets>
    <sheet name="Thévenin Nort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9" i="1" l="1"/>
  <c r="F48" i="1"/>
  <c r="F47" i="1"/>
  <c r="F46" i="1"/>
  <c r="F45" i="1"/>
  <c r="F44" i="1"/>
  <c r="F43" i="1"/>
  <c r="F42" i="1"/>
  <c r="F41" i="1"/>
  <c r="F40" i="1"/>
  <c r="S41" i="1" l="1" a="1"/>
  <c r="F12" i="1"/>
  <c r="F13" i="1"/>
  <c r="F14" i="1"/>
  <c r="F15" i="1"/>
  <c r="F16" i="1"/>
  <c r="F17" i="1"/>
  <c r="F18" i="1"/>
  <c r="F19" i="1"/>
  <c r="F20" i="1"/>
  <c r="F11" i="1"/>
  <c r="X40" i="1" l="1"/>
  <c r="S12" i="1" a="1"/>
  <c r="X39" i="1"/>
  <c r="X42" i="1" s="1"/>
  <c r="S41" i="1"/>
  <c r="X50" i="1" s="1"/>
  <c r="X21" i="1" l="1"/>
  <c r="X11" i="1"/>
  <c r="X10" i="1"/>
  <c r="X15" i="1"/>
  <c r="K71" i="1" s="1"/>
  <c r="X16" i="1"/>
  <c r="X17" i="1" s="1"/>
  <c r="X45" i="1"/>
  <c r="X46" i="1" s="1"/>
  <c r="K69" i="1"/>
  <c r="S12" i="1"/>
  <c r="G13" i="1" s="1"/>
  <c r="H13" i="1" s="1"/>
  <c r="I13" i="1" s="1"/>
  <c r="K68" i="1"/>
  <c r="X41" i="1"/>
  <c r="G19" i="1"/>
  <c r="H19" i="1" s="1"/>
  <c r="I19" i="1" s="1"/>
  <c r="G20" i="1"/>
  <c r="H20" i="1" s="1"/>
  <c r="I20" i="1" s="1"/>
  <c r="G45" i="1"/>
  <c r="G46" i="1"/>
  <c r="H46" i="1" s="1"/>
  <c r="I46" i="1" s="1"/>
  <c r="G47" i="1"/>
  <c r="H47" i="1" s="1"/>
  <c r="I47" i="1" s="1"/>
  <c r="G49" i="1"/>
  <c r="H49" i="1" s="1"/>
  <c r="I49" i="1" s="1"/>
  <c r="G48" i="1"/>
  <c r="G41" i="1"/>
  <c r="H41" i="1" s="1"/>
  <c r="I41" i="1" s="1"/>
  <c r="G42" i="1"/>
  <c r="H42" i="1" s="1"/>
  <c r="I42" i="1" s="1"/>
  <c r="G43" i="1"/>
  <c r="G44" i="1"/>
  <c r="G14" i="1"/>
  <c r="H14" i="1" s="1"/>
  <c r="I14" i="1" s="1"/>
  <c r="G11" i="1"/>
  <c r="H11" i="1" s="1"/>
  <c r="I11" i="1" s="1"/>
  <c r="G18" i="1"/>
  <c r="H18" i="1" s="1"/>
  <c r="I18" i="1" s="1"/>
  <c r="X44" i="1"/>
  <c r="X47" i="1" s="1"/>
  <c r="G17" i="1"/>
  <c r="H17" i="1" s="1"/>
  <c r="I17" i="1" s="1"/>
  <c r="G16" i="1"/>
  <c r="H16" i="1" s="1"/>
  <c r="I16" i="1" s="1"/>
  <c r="X49" i="1"/>
  <c r="X52" i="1" s="1"/>
  <c r="H43" i="1"/>
  <c r="I43" i="1" s="1"/>
  <c r="H44" i="1"/>
  <c r="I44" i="1" s="1"/>
  <c r="H45" i="1"/>
  <c r="I45" i="1" s="1"/>
  <c r="H48" i="1"/>
  <c r="I48" i="1" s="1"/>
  <c r="G40" i="1"/>
  <c r="H40" i="1" s="1"/>
  <c r="I40" i="1" s="1"/>
  <c r="X18" i="1"/>
  <c r="G15" i="1"/>
  <c r="H15" i="1" s="1"/>
  <c r="I15" i="1" s="1"/>
  <c r="X20" i="1"/>
  <c r="G12" i="1"/>
  <c r="H12" i="1" s="1"/>
  <c r="I12" i="1" s="1"/>
  <c r="X23" i="1" l="1"/>
  <c r="K72" i="1"/>
  <c r="K70" i="1"/>
  <c r="X13" i="1"/>
  <c r="X12" i="1"/>
  <c r="X22" i="1"/>
  <c r="X5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<sst xmlns="http://schemas.openxmlformats.org/spreadsheetml/2006/main" count="62" uniqueCount="31">
  <si>
    <r>
      <t>V</t>
    </r>
    <r>
      <rPr>
        <vertAlign val="sub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/V </t>
    </r>
    <r>
      <rPr>
        <sz val="11"/>
        <color theme="1"/>
        <rFont val="Calibri"/>
        <family val="2"/>
      </rPr>
      <t>± 1 mV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</si>
  <si>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L </t>
    </r>
    <r>
      <rPr>
        <sz val="11"/>
        <color theme="1"/>
        <rFont val="Calibri"/>
        <family val="2"/>
        <scheme val="minor"/>
      </rPr>
      <t xml:space="preserve">/mA ± 0.01 mA </t>
    </r>
  </si>
  <si>
    <r>
      <t>R /</t>
    </r>
    <r>
      <rPr>
        <sz val="11"/>
        <color theme="1"/>
        <rFont val="Calibri"/>
        <family val="2"/>
      </rPr>
      <t>Ω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</si>
  <si>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L </t>
    </r>
    <r>
      <rPr>
        <sz val="11"/>
        <color theme="1"/>
        <rFont val="Calibri"/>
        <family val="2"/>
        <scheme val="minor"/>
      </rPr>
      <t xml:space="preserve">/A ± 0.01 mA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</si>
  <si>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L ajuste </t>
    </r>
    <r>
      <rPr>
        <sz val="11"/>
        <color theme="1"/>
        <rFont val="Calibri"/>
        <family val="2"/>
        <scheme val="minor"/>
      </rPr>
      <t>/A</t>
    </r>
  </si>
  <si>
    <t>Valores esperados</t>
  </si>
  <si>
    <r>
      <t>V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/V</t>
    </r>
  </si>
  <si>
    <r>
      <t>I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/mA</t>
    </r>
  </si>
  <si>
    <r>
      <t>R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</rPr>
      <t>Ω</t>
    </r>
  </si>
  <si>
    <t>m</t>
  </si>
  <si>
    <r>
      <t>s</t>
    </r>
    <r>
      <rPr>
        <vertAlign val="subscript"/>
        <sz val="11"/>
        <color theme="1"/>
        <rFont val="Calibri"/>
        <family val="2"/>
        <scheme val="minor"/>
      </rPr>
      <t>m</t>
    </r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</si>
  <si>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</si>
  <si>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b</t>
  </si>
  <si>
    <r>
      <t>s</t>
    </r>
    <r>
      <rPr>
        <vertAlign val="subscript"/>
        <sz val="11"/>
        <color theme="1"/>
        <rFont val="Calibri"/>
        <family val="2"/>
        <scheme val="minor"/>
      </rPr>
      <t>b</t>
    </r>
  </si>
  <si>
    <r>
      <t>s</t>
    </r>
    <r>
      <rPr>
        <vertAlign val="subscript"/>
        <sz val="11"/>
        <color theme="1"/>
        <rFont val="Calibri"/>
        <family val="2"/>
        <scheme val="minor"/>
      </rPr>
      <t>y</t>
    </r>
  </si>
  <si>
    <r>
      <t>Resíduos de I</t>
    </r>
    <r>
      <rPr>
        <vertAlign val="sub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/A</t>
    </r>
  </si>
  <si>
    <r>
      <t>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= R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</rPr>
      <t>Ω</t>
    </r>
  </si>
  <si>
    <t>erro %</t>
  </si>
  <si>
    <t>Tolerância</t>
  </si>
  <si>
    <t>Ajuste linear 1</t>
  </si>
  <si>
    <t>Ajuste linear 2</t>
  </si>
  <si>
    <r>
      <t>I</t>
    </r>
    <r>
      <rPr>
        <vertAlign val="subscript"/>
        <sz val="11"/>
        <color theme="1"/>
        <rFont val="Calibri"/>
        <family val="2"/>
        <scheme val="minor"/>
      </rPr>
      <t>N</t>
    </r>
  </si>
  <si>
    <r>
      <t>R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R</t>
    </r>
    <r>
      <rPr>
        <vertAlign val="subscript"/>
        <sz val="11"/>
        <color theme="1"/>
        <rFont val="Calibri"/>
        <family val="2"/>
        <scheme val="minor"/>
      </rPr>
      <t>TH</t>
    </r>
  </si>
  <si>
    <r>
      <t>V</t>
    </r>
    <r>
      <rPr>
        <vertAlign val="subscript"/>
        <sz val="11"/>
        <color theme="1"/>
        <rFont val="Calibri"/>
        <family val="2"/>
        <scheme val="minor"/>
      </rPr>
      <t>TH</t>
    </r>
  </si>
  <si>
    <t>Diferenças relativas %</t>
  </si>
  <si>
    <r>
      <t>u(I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 /mA</t>
    </r>
  </si>
  <si>
    <r>
      <t>u</t>
    </r>
    <r>
      <rPr>
        <vertAlign val="subscript"/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(I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 /mA</t>
    </r>
  </si>
  <si>
    <r>
      <t>u(V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) /V</t>
    </r>
  </si>
  <si>
    <r>
      <t>u</t>
    </r>
    <r>
      <rPr>
        <vertAlign val="subscript"/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(V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) /V</t>
    </r>
  </si>
  <si>
    <r>
      <t>u(R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= R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 /Ω</t>
    </r>
  </si>
  <si>
    <r>
      <t>u</t>
    </r>
    <r>
      <rPr>
        <vertAlign val="subscript"/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(R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= R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 /Ω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</si>
</sst>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E+00"/>
    <numFmt numFmtId="166" formatCode="0.000000"/>
    <numFmt numFmtId="167" formatCode="0E+00"/>
    <numFmt numFmtId="168" formatCode="0.0"/>
  </numFmts>
  <fonts count="5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E77F1"/>
        <bgColor indexed="64"/>
      </patternFill>
    </fill>
    <fill>
      <patternFill patternType="solid">
        <fgColor rgb="FFE6BAF8"/>
        <bgColor indexed="64"/>
      </patternFill>
    </fill>
    <fill>
      <patternFill patternType="solid">
        <fgColor rgb="FFF2DDFB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2" fontId="0" fillId="4" borderId="4" xfId="0" applyNumberFormat="1" applyFill="1" applyBorder="1"/>
    <xf numFmtId="166" fontId="0" fillId="4" borderId="11" xfId="0" applyNumberFormat="1" applyFill="1" applyBorder="1"/>
    <xf numFmtId="11" fontId="0" fillId="4" borderId="12" xfId="0" applyNumberFormat="1" applyFill="1" applyBorder="1"/>
    <xf numFmtId="0" fontId="0" fillId="3" borderId="13" xfId="0" applyFill="1" applyBorder="1"/>
    <xf numFmtId="0" fontId="0" fillId="3" borderId="9" xfId="0" applyFill="1" applyBorder="1"/>
    <xf numFmtId="0" fontId="0" fillId="3" borderId="11" xfId="0" applyFill="1" applyBorder="1"/>
    <xf numFmtId="0" fontId="0" fillId="4" borderId="14" xfId="0" applyFill="1" applyBorder="1"/>
    <xf numFmtId="0" fontId="0" fillId="4" borderId="10" xfId="0" applyFill="1" applyBorder="1"/>
    <xf numFmtId="0" fontId="0" fillId="4" borderId="12" xfId="0" applyFill="1" applyBorder="1"/>
    <xf numFmtId="1" fontId="4" fillId="0" borderId="0" xfId="0" applyNumberFormat="1" applyFont="1"/>
    <xf numFmtId="0" fontId="4" fillId="0" borderId="0" xfId="0" applyFont="1"/>
    <xf numFmtId="166" fontId="0" fillId="4" borderId="7" xfId="0" applyNumberFormat="1" applyFill="1" applyBorder="1"/>
    <xf numFmtId="166" fontId="0" fillId="4" borderId="9" xfId="0" applyNumberFormat="1" applyFill="1" applyBorder="1"/>
    <xf numFmtId="166" fontId="0" fillId="4" borderId="10" xfId="0" applyNumberFormat="1" applyFill="1" applyBorder="1"/>
    <xf numFmtId="166" fontId="0" fillId="4" borderId="8" xfId="0" applyNumberFormat="1" applyFill="1" applyBorder="1"/>
    <xf numFmtId="0" fontId="0" fillId="4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/>
    </xf>
    <xf numFmtId="165" fontId="0" fillId="4" borderId="5" xfId="0" applyNumberFormat="1" applyFill="1" applyBorder="1" applyAlignment="1">
      <alignment horizontal="center" vertical="center"/>
    </xf>
    <xf numFmtId="165" fontId="0" fillId="4" borderId="5" xfId="0" applyNumberFormat="1" applyFill="1" applyBorder="1" applyAlignment="1">
      <alignment horizontal="center"/>
    </xf>
    <xf numFmtId="11" fontId="0" fillId="4" borderId="5" xfId="0" applyNumberFormat="1" applyFill="1" applyBorder="1" applyAlignment="1">
      <alignment horizontal="center" vertical="center"/>
    </xf>
    <xf numFmtId="11" fontId="0" fillId="4" borderId="5" xfId="0" applyNumberFormat="1" applyFill="1" applyBorder="1" applyAlignment="1">
      <alignment horizontal="center"/>
    </xf>
    <xf numFmtId="11" fontId="0" fillId="0" borderId="5" xfId="0" applyNumberFormat="1" applyBorder="1" applyAlignment="1">
      <alignment horizontal="center" vertical="center"/>
    </xf>
    <xf numFmtId="11" fontId="0" fillId="0" borderId="5" xfId="0" applyNumberFormat="1" applyBorder="1" applyAlignment="1">
      <alignment horizontal="center"/>
    </xf>
    <xf numFmtId="164" fontId="0" fillId="0" borderId="3" xfId="0" applyNumberFormat="1" applyBorder="1" applyAlignment="1">
      <alignment horizontal="center" vertical="center"/>
    </xf>
    <xf numFmtId="11" fontId="0" fillId="4" borderId="4" xfId="0" applyNumberFormat="1" applyFill="1" applyBorder="1" applyAlignment="1">
      <alignment horizontal="center" vertical="center"/>
    </xf>
    <xf numFmtId="11" fontId="0" fillId="4" borderId="4" xfId="0" applyNumberFormat="1" applyFill="1" applyBorder="1" applyAlignment="1">
      <alignment horizontal="center"/>
    </xf>
    <xf numFmtId="165" fontId="0" fillId="4" borderId="4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67" fontId="4" fillId="0" borderId="0" xfId="0" applyNumberFormat="1" applyFont="1"/>
    <xf numFmtId="9" fontId="0" fillId="4" borderId="4" xfId="0" applyNumberFormat="1" applyFill="1" applyBorder="1" applyAlignment="1">
      <alignment horizontal="center" vertical="center"/>
    </xf>
    <xf numFmtId="164" fontId="0" fillId="4" borderId="2" xfId="0" applyNumberFormat="1" applyFill="1" applyBorder="1"/>
    <xf numFmtId="164" fontId="0" fillId="4" borderId="3" xfId="0" applyNumberFormat="1" applyFill="1" applyBorder="1"/>
    <xf numFmtId="2" fontId="0" fillId="4" borderId="3" xfId="0" applyNumberFormat="1" applyFill="1" applyBorder="1"/>
    <xf numFmtId="168" fontId="0" fillId="4" borderId="3" xfId="0" applyNumberFormat="1" applyFill="1" applyBorder="1"/>
    <xf numFmtId="168" fontId="0" fillId="4" borderId="2" xfId="0" applyNumberFormat="1" applyFill="1" applyBorder="1"/>
    <xf numFmtId="164" fontId="0" fillId="0" borderId="0" xfId="0" applyNumberFormat="1"/>
    <xf numFmtId="2" fontId="0" fillId="0" borderId="0" xfId="0" applyNumberFormat="1"/>
    <xf numFmtId="0" fontId="0" fillId="3" borderId="15" xfId="0" applyFill="1" applyBorder="1"/>
    <xf numFmtId="2" fontId="0" fillId="4" borderId="16" xfId="0" applyNumberFormat="1" applyFill="1" applyBorder="1"/>
    <xf numFmtId="0" fontId="0" fillId="3" borderId="23" xfId="0" applyFill="1" applyBorder="1"/>
    <xf numFmtId="2" fontId="0" fillId="4" borderId="24" xfId="0" applyNumberFormat="1" applyFill="1" applyBorder="1"/>
    <xf numFmtId="9" fontId="0" fillId="0" borderId="19" xfId="0" applyNumberFormat="1" applyBorder="1" applyAlignment="1">
      <alignment horizontal="center" vertical="center"/>
    </xf>
    <xf numFmtId="9" fontId="0" fillId="0" borderId="18" xfId="0" applyNumberFormat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E77F1"/>
      <color rgb="FFFFDC6D"/>
      <color rgb="FFCC00FF"/>
      <color rgb="FFF2DDFB"/>
      <color rgb="FFDFA4F6"/>
      <color rgb="FFE6BAF8"/>
      <color rgb="FFE2AC00"/>
      <color rgb="FF00EE6C"/>
      <color rgb="FFB226EA"/>
      <color rgb="FFC966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B226EA"/>
              </a:solidFill>
              <a:ln w="9525">
                <a:solidFill>
                  <a:srgbClr val="B226EA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tx1"/>
                </a:solidFill>
                <a:prstDash val="solid"/>
                <a:extLst>
                  <a:ext uri="{C807C97D-BFC1-408E-A445-0C87EB9F89A2}">
                    <ask:lineSketchStyleProps xmlns:ask="http://schemas.microsoft.com/office/drawing/2018/sketchyshapes">
                      <ask:type>
                        <ask:lineSketchNone/>
                      </ask:type>
                    </ask:lineSketchStyleProps>
                  </a:ext>
                </a:extLst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268176637754777E-2"/>
                  <c:y val="-0.34470681225847744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bg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'Thévenin Norton'!$D$11:$D$20</c:f>
              <c:numCache>
                <c:formatCode>General</c:formatCode>
                <c:ptCount val="10"/>
                <c:pt idx="0">
                  <c:v>2.3039999999999998</c:v>
                </c:pt>
                <c:pt idx="1">
                  <c:v>2.149</c:v>
                </c:pt>
                <c:pt idx="2">
                  <c:v>1.875</c:v>
                </c:pt>
                <c:pt idx="3">
                  <c:v>1.6890000000000001</c:v>
                </c:pt>
                <c:pt idx="4">
                  <c:v>1.468</c:v>
                </c:pt>
                <c:pt idx="5">
                  <c:v>1.0049999999999999</c:v>
                </c:pt>
                <c:pt idx="6" formatCode="0.000">
                  <c:v>0.6</c:v>
                </c:pt>
                <c:pt idx="7">
                  <c:v>0.44400000000000001</c:v>
                </c:pt>
                <c:pt idx="8">
                  <c:v>0.315</c:v>
                </c:pt>
                <c:pt idx="9">
                  <c:v>0.16400000000000001</c:v>
                </c:pt>
              </c:numCache>
            </c:numRef>
          </c:xVal>
          <c:yVal>
            <c:numRef>
              <c:f>'Thévenin Norton'!$E$11:$E$20</c:f>
              <c:numCache>
                <c:formatCode>General</c:formatCode>
                <c:ptCount val="10"/>
                <c:pt idx="0">
                  <c:v>0.22</c:v>
                </c:pt>
                <c:pt idx="1">
                  <c:v>0.45</c:v>
                </c:pt>
                <c:pt idx="2">
                  <c:v>0.86</c:v>
                </c:pt>
                <c:pt idx="3">
                  <c:v>1.1299999999999999</c:v>
                </c:pt>
                <c:pt idx="4">
                  <c:v>1.46</c:v>
                </c:pt>
                <c:pt idx="5">
                  <c:v>2.13</c:v>
                </c:pt>
                <c:pt idx="6">
                  <c:v>2.73</c:v>
                </c:pt>
                <c:pt idx="7">
                  <c:v>2.96</c:v>
                </c:pt>
                <c:pt idx="8">
                  <c:v>3.15</c:v>
                </c:pt>
                <c:pt idx="9">
                  <c:v>3.37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D7-41F1-A874-17FDD0BA0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625440"/>
        <c:axId val="663625024"/>
      </c:scatterChart>
      <c:valAx>
        <c:axId val="66362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L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63625024"/>
        <c:crosses val="autoZero"/>
        <c:crossBetween val="midCat"/>
      </c:valAx>
      <c:valAx>
        <c:axId val="663625024"/>
        <c:scaling>
          <c:orientation val="minMax"/>
          <c:max val="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</a:t>
                </a:r>
                <a:r>
                  <a:rPr lang="pt-PT" baseline="-25000"/>
                  <a:t>L</a:t>
                </a:r>
                <a:r>
                  <a:rPr lang="pt-PT" baseline="0"/>
                  <a:t> /mA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63625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2700">
                <a:solidFill>
                  <a:srgbClr val="B226EA"/>
                </a:solidFill>
              </a:ln>
              <a:effectLst/>
            </c:spPr>
          </c:marker>
          <c:xVal>
            <c:numRef>
              <c:f>'Thévenin Norton'!$D$11:$D$20</c:f>
              <c:numCache>
                <c:formatCode>General</c:formatCode>
                <c:ptCount val="10"/>
                <c:pt idx="0">
                  <c:v>2.3039999999999998</c:v>
                </c:pt>
                <c:pt idx="1">
                  <c:v>2.149</c:v>
                </c:pt>
                <c:pt idx="2">
                  <c:v>1.875</c:v>
                </c:pt>
                <c:pt idx="3">
                  <c:v>1.6890000000000001</c:v>
                </c:pt>
                <c:pt idx="4">
                  <c:v>1.468</c:v>
                </c:pt>
                <c:pt idx="5">
                  <c:v>1.0049999999999999</c:v>
                </c:pt>
                <c:pt idx="6" formatCode="0.000">
                  <c:v>0.6</c:v>
                </c:pt>
                <c:pt idx="7">
                  <c:v>0.44400000000000001</c:v>
                </c:pt>
                <c:pt idx="8">
                  <c:v>0.315</c:v>
                </c:pt>
                <c:pt idx="9">
                  <c:v>0.16400000000000001</c:v>
                </c:pt>
              </c:numCache>
            </c:numRef>
          </c:xVal>
          <c:yVal>
            <c:numRef>
              <c:f>'Thévenin Norton'!$I$11:$I$20</c:f>
              <c:numCache>
                <c:formatCode>0.00</c:formatCode>
                <c:ptCount val="10"/>
                <c:pt idx="0">
                  <c:v>-4.4168347133950361</c:v>
                </c:pt>
                <c:pt idx="1">
                  <c:v>-2.3531642857385733</c:v>
                </c:pt>
                <c:pt idx="2">
                  <c:v>4.7142273089561177</c:v>
                </c:pt>
                <c:pt idx="3">
                  <c:v>1.190631822143521</c:v>
                </c:pt>
                <c:pt idx="4">
                  <c:v>6.1975425609300983</c:v>
                </c:pt>
                <c:pt idx="5">
                  <c:v>-4.67033222613638</c:v>
                </c:pt>
                <c:pt idx="6">
                  <c:v>-0.24590304419655831</c:v>
                </c:pt>
                <c:pt idx="7">
                  <c:v>0.34721041847641382</c:v>
                </c:pt>
                <c:pt idx="8">
                  <c:v>0.64536193568678901</c:v>
                </c:pt>
                <c:pt idx="9">
                  <c:v>-1.4087397767260403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42-4168-B55B-1B08AEAEE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790000"/>
        <c:axId val="1269789168"/>
      </c:scatterChart>
      <c:valAx>
        <c:axId val="126979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L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69789168"/>
        <c:crossesAt val="-5"/>
        <c:crossBetween val="midCat"/>
      </c:valAx>
      <c:valAx>
        <c:axId val="1269789168"/>
        <c:scaling>
          <c:orientation val="minMax"/>
          <c:max val="6.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de I</a:t>
                </a:r>
                <a:r>
                  <a:rPr lang="pt-PT" baseline="-25000"/>
                  <a:t>L</a:t>
                </a:r>
                <a:r>
                  <a:rPr lang="pt-PT"/>
                  <a:t> /</a:t>
                </a:r>
                <a:r>
                  <a:rPr lang="el-GR"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rPr>
                  <a:t>μ</a:t>
                </a:r>
                <a:r>
                  <a:rPr lang="pt-PT"/>
                  <a:t>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69790000"/>
        <c:crosses val="autoZero"/>
        <c:crossBetween val="midCat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B226EA"/>
              </a:solidFill>
              <a:ln w="9525">
                <a:solidFill>
                  <a:srgbClr val="B226EA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5271052784352935E-2"/>
                  <c:y val="-0.3555396180826463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y = -1.473x + 3.592</a:t>
                    </a:r>
                    <a:endParaRPr lang="en-US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6350">
                  <a:solidFill>
                    <a:schemeClr val="bg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'Thévenin Norton'!$D$40:$D$49</c:f>
              <c:numCache>
                <c:formatCode>General</c:formatCode>
                <c:ptCount val="10"/>
                <c:pt idx="0">
                  <c:v>2.2890000000000001</c:v>
                </c:pt>
                <c:pt idx="1">
                  <c:v>2.1349999999999998</c:v>
                </c:pt>
                <c:pt idx="2">
                  <c:v>1.867</c:v>
                </c:pt>
                <c:pt idx="3">
                  <c:v>1.679</c:v>
                </c:pt>
                <c:pt idx="4">
                  <c:v>1.458</c:v>
                </c:pt>
                <c:pt idx="5">
                  <c:v>0.998</c:v>
                </c:pt>
                <c:pt idx="6" formatCode="0.000">
                  <c:v>0.59599999999999997</c:v>
                </c:pt>
                <c:pt idx="7">
                  <c:v>0.442</c:v>
                </c:pt>
                <c:pt idx="8">
                  <c:v>0.314</c:v>
                </c:pt>
                <c:pt idx="9">
                  <c:v>0.16300000000000001</c:v>
                </c:pt>
              </c:numCache>
            </c:numRef>
          </c:xVal>
          <c:yVal>
            <c:numRef>
              <c:f>'Thévenin Norton'!$E$40:$E$49</c:f>
              <c:numCache>
                <c:formatCode>General</c:formatCode>
                <c:ptCount val="10"/>
                <c:pt idx="0">
                  <c:v>0.22</c:v>
                </c:pt>
                <c:pt idx="1">
                  <c:v>0.45</c:v>
                </c:pt>
                <c:pt idx="2">
                  <c:v>0.84</c:v>
                </c:pt>
                <c:pt idx="3">
                  <c:v>1.1200000000000001</c:v>
                </c:pt>
                <c:pt idx="4">
                  <c:v>1.45</c:v>
                </c:pt>
                <c:pt idx="5">
                  <c:v>2.12</c:v>
                </c:pt>
                <c:pt idx="6">
                  <c:v>2.72</c:v>
                </c:pt>
                <c:pt idx="7">
                  <c:v>2.94</c:v>
                </c:pt>
                <c:pt idx="8">
                  <c:v>3.13</c:v>
                </c:pt>
                <c:pt idx="9">
                  <c:v>3.35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45-4531-A81F-2BCFBCEDB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9309024"/>
        <c:axId val="2009305696"/>
      </c:scatterChart>
      <c:valAx>
        <c:axId val="200930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L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09305696"/>
        <c:crosses val="autoZero"/>
        <c:crossBetween val="midCat"/>
      </c:valAx>
      <c:valAx>
        <c:axId val="2009305696"/>
        <c:scaling>
          <c:orientation val="minMax"/>
          <c:max val="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</a:t>
                </a:r>
                <a:r>
                  <a:rPr lang="pt-PT" baseline="-25000"/>
                  <a:t>L</a:t>
                </a:r>
                <a:r>
                  <a:rPr lang="pt-PT" baseline="0"/>
                  <a:t> /mA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0930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2700">
                <a:solidFill>
                  <a:srgbClr val="B226EA"/>
                </a:solidFill>
              </a:ln>
              <a:effectLst/>
            </c:spPr>
          </c:marker>
          <c:xVal>
            <c:numRef>
              <c:f>'Thévenin Norton'!$D$40:$D$49</c:f>
              <c:numCache>
                <c:formatCode>General</c:formatCode>
                <c:ptCount val="10"/>
                <c:pt idx="0">
                  <c:v>2.2890000000000001</c:v>
                </c:pt>
                <c:pt idx="1">
                  <c:v>2.1349999999999998</c:v>
                </c:pt>
                <c:pt idx="2">
                  <c:v>1.867</c:v>
                </c:pt>
                <c:pt idx="3">
                  <c:v>1.679</c:v>
                </c:pt>
                <c:pt idx="4">
                  <c:v>1.458</c:v>
                </c:pt>
                <c:pt idx="5">
                  <c:v>0.998</c:v>
                </c:pt>
                <c:pt idx="6" formatCode="0.000">
                  <c:v>0.59599999999999997</c:v>
                </c:pt>
                <c:pt idx="7">
                  <c:v>0.442</c:v>
                </c:pt>
                <c:pt idx="8">
                  <c:v>0.314</c:v>
                </c:pt>
                <c:pt idx="9">
                  <c:v>0.16300000000000001</c:v>
                </c:pt>
              </c:numCache>
            </c:numRef>
          </c:xVal>
          <c:yVal>
            <c:numRef>
              <c:f>'Thévenin Norton'!$I$40:$I$49</c:f>
              <c:numCache>
                <c:formatCode>0.00</c:formatCode>
                <c:ptCount val="10"/>
                <c:pt idx="0">
                  <c:v>-1.6342184571473963</c:v>
                </c:pt>
                <c:pt idx="1">
                  <c:v>1.5831252659326516</c:v>
                </c:pt>
                <c:pt idx="2">
                  <c:v>-3.0776012419531269</c:v>
                </c:pt>
                <c:pt idx="3">
                  <c:v>7.0844342067418256E-2</c:v>
                </c:pt>
                <c:pt idx="4">
                  <c:v>4.6230064381759872</c:v>
                </c:pt>
                <c:pt idx="5">
                  <c:v>-2.7797330902842865</c:v>
                </c:pt>
                <c:pt idx="6">
                  <c:v>5.2291771478864613</c:v>
                </c:pt>
                <c:pt idx="7">
                  <c:v>-1.5534791290333811</c:v>
                </c:pt>
                <c:pt idx="8">
                  <c:v>-4.8154476083289016E-2</c:v>
                </c:pt>
                <c:pt idx="9">
                  <c:v>-2.4129667995560244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56-4E5D-935E-7BAB6EE91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40192"/>
        <c:axId val="92439776"/>
      </c:scatterChart>
      <c:valAx>
        <c:axId val="9244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L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2439776"/>
        <c:crossesAt val="-3.5"/>
        <c:crossBetween val="midCat"/>
      </c:valAx>
      <c:valAx>
        <c:axId val="92439776"/>
        <c:scaling>
          <c:orientation val="minMax"/>
          <c:max val="5.5"/>
          <c:min val="-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de</a:t>
                </a:r>
                <a:r>
                  <a:rPr lang="pt-PT" baseline="0"/>
                  <a:t> I</a:t>
                </a:r>
                <a:r>
                  <a:rPr lang="pt-PT" baseline="-25000"/>
                  <a:t>L</a:t>
                </a:r>
                <a:r>
                  <a:rPr lang="pt-PT" baseline="0"/>
                  <a:t> /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pt-PT" baseline="0"/>
                  <a:t>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2440192"/>
        <c:crosses val="autoZero"/>
        <c:crossBetween val="midCat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103422924885687"/>
          <c:y val="5.3077789927454024E-2"/>
          <c:w val="0.76376052312457088"/>
          <c:h val="0.73266499137913343"/>
        </c:manualLayout>
      </c:layout>
      <c:scatterChart>
        <c:scatterStyle val="lineMarker"/>
        <c:varyColors val="0"/>
        <c:ser>
          <c:idx val="0"/>
          <c:order val="0"/>
          <c:tx>
            <c:v>Circuito original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CC00FF"/>
              </a:solidFill>
              <a:ln w="9525">
                <a:solidFill>
                  <a:srgbClr val="CC00FF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CE77F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091863005582654"/>
                  <c:y val="-0.1678304188525587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-1.471x + 3.613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>
                  <a:solidFill>
                    <a:srgbClr val="CE77F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'Thévenin Norton'!$D$11:$D$20</c:f>
              <c:numCache>
                <c:formatCode>General</c:formatCode>
                <c:ptCount val="10"/>
                <c:pt idx="0">
                  <c:v>2.3039999999999998</c:v>
                </c:pt>
                <c:pt idx="1">
                  <c:v>2.149</c:v>
                </c:pt>
                <c:pt idx="2">
                  <c:v>1.875</c:v>
                </c:pt>
                <c:pt idx="3">
                  <c:v>1.6890000000000001</c:v>
                </c:pt>
                <c:pt idx="4">
                  <c:v>1.468</c:v>
                </c:pt>
                <c:pt idx="5">
                  <c:v>1.0049999999999999</c:v>
                </c:pt>
                <c:pt idx="6" formatCode="0.000">
                  <c:v>0.6</c:v>
                </c:pt>
                <c:pt idx="7">
                  <c:v>0.44400000000000001</c:v>
                </c:pt>
                <c:pt idx="8">
                  <c:v>0.315</c:v>
                </c:pt>
                <c:pt idx="9">
                  <c:v>0.16400000000000001</c:v>
                </c:pt>
              </c:numCache>
            </c:numRef>
          </c:xVal>
          <c:yVal>
            <c:numRef>
              <c:f>'Thévenin Norton'!$E$11:$E$20</c:f>
              <c:numCache>
                <c:formatCode>General</c:formatCode>
                <c:ptCount val="10"/>
                <c:pt idx="0">
                  <c:v>0.22</c:v>
                </c:pt>
                <c:pt idx="1">
                  <c:v>0.45</c:v>
                </c:pt>
                <c:pt idx="2">
                  <c:v>0.86</c:v>
                </c:pt>
                <c:pt idx="3">
                  <c:v>1.1299999999999999</c:v>
                </c:pt>
                <c:pt idx="4">
                  <c:v>1.46</c:v>
                </c:pt>
                <c:pt idx="5">
                  <c:v>2.13</c:v>
                </c:pt>
                <c:pt idx="6">
                  <c:v>2.73</c:v>
                </c:pt>
                <c:pt idx="7">
                  <c:v>2.96</c:v>
                </c:pt>
                <c:pt idx="8">
                  <c:v>3.15</c:v>
                </c:pt>
                <c:pt idx="9">
                  <c:v>3.37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78-4B5B-8312-89C79AE69ADB}"/>
            </c:ext>
          </c:extLst>
        </c:ser>
        <c:ser>
          <c:idx val="1"/>
          <c:order val="1"/>
          <c:tx>
            <c:v>Circuito equivalente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FFDC6D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0460373314778982"/>
                  <c:y val="-0.2547782347487511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-1.473x + 3.592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>
                  <a:solidFill>
                    <a:srgbClr val="FFDC6D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'Thévenin Norton'!$D$40:$D$49</c:f>
              <c:numCache>
                <c:formatCode>General</c:formatCode>
                <c:ptCount val="10"/>
                <c:pt idx="0">
                  <c:v>2.2890000000000001</c:v>
                </c:pt>
                <c:pt idx="1">
                  <c:v>2.1349999999999998</c:v>
                </c:pt>
                <c:pt idx="2">
                  <c:v>1.867</c:v>
                </c:pt>
                <c:pt idx="3">
                  <c:v>1.679</c:v>
                </c:pt>
                <c:pt idx="4">
                  <c:v>1.458</c:v>
                </c:pt>
                <c:pt idx="5">
                  <c:v>0.998</c:v>
                </c:pt>
                <c:pt idx="6" formatCode="0.000">
                  <c:v>0.59599999999999997</c:v>
                </c:pt>
                <c:pt idx="7">
                  <c:v>0.442</c:v>
                </c:pt>
                <c:pt idx="8">
                  <c:v>0.314</c:v>
                </c:pt>
                <c:pt idx="9">
                  <c:v>0.16300000000000001</c:v>
                </c:pt>
              </c:numCache>
            </c:numRef>
          </c:xVal>
          <c:yVal>
            <c:numRef>
              <c:f>'Thévenin Norton'!$E$40:$E$49</c:f>
              <c:numCache>
                <c:formatCode>General</c:formatCode>
                <c:ptCount val="10"/>
                <c:pt idx="0">
                  <c:v>0.22</c:v>
                </c:pt>
                <c:pt idx="1">
                  <c:v>0.45</c:v>
                </c:pt>
                <c:pt idx="2">
                  <c:v>0.84</c:v>
                </c:pt>
                <c:pt idx="3">
                  <c:v>1.1200000000000001</c:v>
                </c:pt>
                <c:pt idx="4">
                  <c:v>1.45</c:v>
                </c:pt>
                <c:pt idx="5">
                  <c:v>2.12</c:v>
                </c:pt>
                <c:pt idx="6">
                  <c:v>2.72</c:v>
                </c:pt>
                <c:pt idx="7">
                  <c:v>2.94</c:v>
                </c:pt>
                <c:pt idx="8">
                  <c:v>3.13</c:v>
                </c:pt>
                <c:pt idx="9">
                  <c:v>3.35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78-4B5B-8312-89C79AE69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3735424"/>
        <c:axId val="2021584624"/>
      </c:scatterChart>
      <c:valAx>
        <c:axId val="202373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</a:t>
                </a:r>
                <a:r>
                  <a:rPr lang="en-US" baseline="-25000"/>
                  <a:t>L</a:t>
                </a:r>
                <a:r>
                  <a:rPr lang="en-US" baseline="0"/>
                  <a:t> /V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21584624"/>
        <c:crosses val="autoZero"/>
        <c:crossBetween val="midCat"/>
      </c:valAx>
      <c:valAx>
        <c:axId val="2021584624"/>
        <c:scaling>
          <c:orientation val="minMax"/>
          <c:max val="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</a:t>
                </a:r>
                <a:r>
                  <a:rPr lang="pt-PT" baseline="-25000"/>
                  <a:t>L</a:t>
                </a:r>
                <a:r>
                  <a:rPr lang="pt-PT" baseline="0"/>
                  <a:t> /mA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23735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7324674130850417"/>
          <c:y val="6.6932346904580803E-2"/>
          <c:w val="0.35897591730104389"/>
          <c:h val="0.28951977708088111"/>
        </c:manualLayout>
      </c:layout>
      <c:overlay val="1"/>
      <c:spPr>
        <a:solidFill>
          <a:schemeClr val="bg1"/>
        </a:solidFill>
        <a:ln>
          <a:solidFill>
            <a:schemeClr val="bg2">
              <a:lumMod val="9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2228</xdr:colOff>
      <xdr:row>8</xdr:row>
      <xdr:rowOff>2821</xdr:rowOff>
    </xdr:from>
    <xdr:to>
      <xdr:col>16</xdr:col>
      <xdr:colOff>1028</xdr:colOff>
      <xdr:row>21</xdr:row>
      <xdr:rowOff>2385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A805193-1278-F70C-6E0F-6F9818D199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3693</xdr:colOff>
      <xdr:row>22</xdr:row>
      <xdr:rowOff>2197</xdr:rowOff>
    </xdr:from>
    <xdr:to>
      <xdr:col>16</xdr:col>
      <xdr:colOff>2493</xdr:colOff>
      <xdr:row>36</xdr:row>
      <xdr:rowOff>4877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FDF7D4C-5509-E8BE-6DFC-73591BE19E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1382389</xdr:colOff>
      <xdr:row>37</xdr:row>
      <xdr:rowOff>1193</xdr:rowOff>
    </xdr:from>
    <xdr:to>
      <xdr:col>15</xdr:col>
      <xdr:colOff>605244</xdr:colOff>
      <xdr:row>50</xdr:row>
      <xdr:rowOff>2110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C9C9589-5DF7-64D0-559A-0E36133708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50</xdr:row>
      <xdr:rowOff>183146</xdr:rowOff>
    </xdr:from>
    <xdr:to>
      <xdr:col>15</xdr:col>
      <xdr:colOff>605068</xdr:colOff>
      <xdr:row>65</xdr:row>
      <xdr:rowOff>874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AC0115B-7A70-B235-AAC5-7339C9FAEF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25245</xdr:colOff>
      <xdr:row>66</xdr:row>
      <xdr:rowOff>4003</xdr:rowOff>
    </xdr:from>
    <xdr:to>
      <xdr:col>6</xdr:col>
      <xdr:colOff>566735</xdr:colOff>
      <xdr:row>80</xdr:row>
      <xdr:rowOff>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9E5E7D0-EF8A-9AB8-8371-5B2F7BED86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EF1B-A264-47C1-A37F-094B4D9A6EB9}">
  <dimension ref="B2:Y72"/>
  <sheetViews>
    <sheetView tabSelected="1" topLeftCell="A50" zoomScale="81" zoomScaleNormal="55" workbookViewId="0">
      <selection activeCell="H24" sqref="H24"/>
    </sheetView>
  </sheetViews>
  <sheetFormatPr defaultRowHeight="14.4" x14ac:dyDescent="0.3"/>
  <cols>
    <col min="2" max="2" width="10" bestFit="1" customWidth="1"/>
    <col min="3" max="3" width="9.5546875" bestFit="1" customWidth="1"/>
    <col min="4" max="4" width="11.21875" bestFit="1" customWidth="1"/>
    <col min="5" max="5" width="15" bestFit="1" customWidth="1"/>
    <col min="6" max="6" width="13.21875" bestFit="1" customWidth="1"/>
    <col min="7" max="7" width="9.33203125" customWidth="1"/>
    <col min="8" max="8" width="15" bestFit="1" customWidth="1"/>
    <col min="9" max="9" width="20.109375" bestFit="1" customWidth="1"/>
    <col min="17" max="17" width="8.88671875" customWidth="1"/>
    <col min="18" max="18" width="10.109375" customWidth="1"/>
    <col min="19" max="19" width="10.33203125" customWidth="1"/>
    <col min="20" max="20" width="10.44140625" customWidth="1"/>
    <col min="22" max="22" width="10" bestFit="1" customWidth="1"/>
    <col min="23" max="23" width="13.21875" bestFit="1" customWidth="1"/>
    <col min="24" max="24" width="9.21875" customWidth="1"/>
    <col min="25" max="25" width="12" bestFit="1" customWidth="1"/>
  </cols>
  <sheetData>
    <row r="2" spans="2:25" ht="15" thickBot="1" x14ac:dyDescent="0.35"/>
    <row r="3" spans="2:25" ht="15" thickBot="1" x14ac:dyDescent="0.35">
      <c r="B3" s="60" t="s">
        <v>5</v>
      </c>
      <c r="C3" s="61"/>
    </row>
    <row r="4" spans="2:25" ht="15.6" x14ac:dyDescent="0.35">
      <c r="B4" s="13" t="s">
        <v>6</v>
      </c>
      <c r="C4" s="16">
        <v>2.42</v>
      </c>
    </row>
    <row r="5" spans="2:25" ht="15.6" x14ac:dyDescent="0.35">
      <c r="B5" s="14" t="s">
        <v>7</v>
      </c>
      <c r="C5" s="17">
        <v>3.57</v>
      </c>
    </row>
    <row r="6" spans="2:25" ht="16.2" thickBot="1" x14ac:dyDescent="0.4">
      <c r="B6" s="15" t="s">
        <v>8</v>
      </c>
      <c r="C6" s="18">
        <v>677</v>
      </c>
    </row>
    <row r="9" spans="2:25" ht="15" thickBot="1" x14ac:dyDescent="0.35"/>
    <row r="10" spans="2:25" ht="16.2" thickBot="1" x14ac:dyDescent="0.4">
      <c r="B10" s="41" t="s">
        <v>2</v>
      </c>
      <c r="C10" s="41" t="s">
        <v>18</v>
      </c>
      <c r="D10" s="41" t="s">
        <v>0</v>
      </c>
      <c r="E10" s="41" t="s">
        <v>1</v>
      </c>
      <c r="F10" s="41" t="s">
        <v>3</v>
      </c>
      <c r="G10" s="41" t="s">
        <v>4</v>
      </c>
      <c r="H10" s="41" t="s">
        <v>15</v>
      </c>
      <c r="W10" s="7" t="s">
        <v>7</v>
      </c>
      <c r="X10" s="44">
        <f>T12*1000</f>
        <v>3.612580082033916</v>
      </c>
    </row>
    <row r="11" spans="2:25" ht="16.2" thickBot="1" x14ac:dyDescent="0.4">
      <c r="B11" s="28">
        <v>10000</v>
      </c>
      <c r="C11" s="55">
        <v>0.05</v>
      </c>
      <c r="D11" s="28">
        <v>2.3039999999999998</v>
      </c>
      <c r="E11" s="28">
        <v>0.22</v>
      </c>
      <c r="F11" s="29">
        <f>E11*0.001</f>
        <v>2.2000000000000001E-4</v>
      </c>
      <c r="G11" s="30">
        <f t="shared" ref="G11:G20" si="0">S$12*D11+T$12</f>
        <v>2.2441683471339504E-4</v>
      </c>
      <c r="H11" s="30">
        <f>F11-G11</f>
        <v>-4.4168347133950357E-6</v>
      </c>
      <c r="I11" s="50">
        <f>H11*10^6</f>
        <v>-4.4168347133950361</v>
      </c>
      <c r="S11" s="62" t="s">
        <v>19</v>
      </c>
      <c r="T11" s="63"/>
      <c r="W11" s="8" t="s">
        <v>25</v>
      </c>
      <c r="X11" s="45">
        <f>T13*1000</f>
        <v>2.2168878300156064E-3</v>
      </c>
      <c r="Y11" s="49"/>
    </row>
    <row r="12" spans="2:25" ht="15.6" x14ac:dyDescent="0.35">
      <c r="B12" s="25">
        <v>4700</v>
      </c>
      <c r="C12" s="56"/>
      <c r="D12" s="25">
        <v>2.149</v>
      </c>
      <c r="E12" s="25">
        <v>0.45</v>
      </c>
      <c r="F12" s="31">
        <f t="shared" ref="F12:F20" si="1">E12*0.001</f>
        <v>4.5000000000000004E-4</v>
      </c>
      <c r="G12" s="32">
        <f t="shared" si="0"/>
        <v>4.5235316428573862E-4</v>
      </c>
      <c r="H12" s="32">
        <f t="shared" ref="H12:H18" si="2">F12-G12</f>
        <v>-2.3531642857385735E-6</v>
      </c>
      <c r="I12" s="50">
        <f t="shared" ref="I12:I20" si="3">H12*10^6</f>
        <v>-2.3531642857385733</v>
      </c>
      <c r="R12" s="1" t="s">
        <v>9</v>
      </c>
      <c r="S12" s="21" cm="1">
        <f t="array" ref="S12:T16">LINEST(F11:F20,D11:D20,1,1)</f>
        <v>-1.4705569649828651E-3</v>
      </c>
      <c r="T12" s="24">
        <v>3.6125800820339159E-3</v>
      </c>
      <c r="U12" s="4" t="s">
        <v>12</v>
      </c>
      <c r="W12" s="8" t="s">
        <v>26</v>
      </c>
      <c r="X12" s="46">
        <f>X11/X10*100</f>
        <v>6.1365776804246729E-2</v>
      </c>
    </row>
    <row r="13" spans="2:25" ht="16.2" thickBot="1" x14ac:dyDescent="0.4">
      <c r="B13" s="26">
        <v>2200</v>
      </c>
      <c r="C13" s="56"/>
      <c r="D13" s="26">
        <v>1.875</v>
      </c>
      <c r="E13" s="26">
        <v>0.86</v>
      </c>
      <c r="F13" s="29">
        <f t="shared" si="1"/>
        <v>8.5999999999999998E-4</v>
      </c>
      <c r="G13" s="30">
        <f t="shared" si="0"/>
        <v>8.5528577269104386E-4</v>
      </c>
      <c r="H13" s="30">
        <f t="shared" si="2"/>
        <v>4.7142273089561182E-6</v>
      </c>
      <c r="I13" s="50">
        <f t="shared" si="3"/>
        <v>4.7142273089561177</v>
      </c>
      <c r="R13" s="2" t="s">
        <v>10</v>
      </c>
      <c r="S13" s="22">
        <v>1.5619917762172308E-6</v>
      </c>
      <c r="T13" s="23">
        <v>2.2168878300156066E-6</v>
      </c>
      <c r="U13" s="5" t="s">
        <v>13</v>
      </c>
      <c r="W13" s="9" t="s">
        <v>17</v>
      </c>
      <c r="X13" s="10">
        <f>ABS(C5-X10)/C5 *100</f>
        <v>1.1927193847035342</v>
      </c>
    </row>
    <row r="14" spans="2:25" ht="17.399999999999999" thickBot="1" x14ac:dyDescent="0.4">
      <c r="B14" s="25">
        <v>1500</v>
      </c>
      <c r="C14" s="56"/>
      <c r="D14" s="25">
        <v>1.6890000000000001</v>
      </c>
      <c r="E14" s="25">
        <v>1.1299999999999999</v>
      </c>
      <c r="F14" s="33">
        <f t="shared" si="1"/>
        <v>1.1299999999999999E-3</v>
      </c>
      <c r="G14" s="34">
        <f t="shared" si="0"/>
        <v>1.1288093681778564E-3</v>
      </c>
      <c r="H14" s="32">
        <f t="shared" si="2"/>
        <v>1.190631822143521E-6</v>
      </c>
      <c r="I14" s="50">
        <f t="shared" si="3"/>
        <v>1.190631822143521</v>
      </c>
      <c r="R14" s="3" t="s">
        <v>11</v>
      </c>
      <c r="S14" s="11">
        <v>0.99999097432173512</v>
      </c>
      <c r="T14" s="12">
        <v>3.7331446925309531E-6</v>
      </c>
      <c r="U14" s="6" t="s">
        <v>14</v>
      </c>
    </row>
    <row r="15" spans="2:25" ht="15.6" x14ac:dyDescent="0.35">
      <c r="B15" s="26">
        <v>1000</v>
      </c>
      <c r="C15" s="56"/>
      <c r="D15" s="26">
        <v>1.468</v>
      </c>
      <c r="E15" s="26">
        <v>1.46</v>
      </c>
      <c r="F15" s="35">
        <f t="shared" si="1"/>
        <v>1.4599999999999999E-3</v>
      </c>
      <c r="G15" s="36">
        <f t="shared" si="0"/>
        <v>1.4538024574390698E-3</v>
      </c>
      <c r="H15" s="30">
        <f t="shared" si="2"/>
        <v>6.1975425609300978E-6</v>
      </c>
      <c r="I15" s="50">
        <f t="shared" si="3"/>
        <v>6.1975425609300983</v>
      </c>
      <c r="R15" s="19"/>
      <c r="S15" s="19">
        <v>886351.97928829677</v>
      </c>
      <c r="T15" s="20">
        <v>8</v>
      </c>
      <c r="W15" s="7" t="s">
        <v>6</v>
      </c>
      <c r="X15" s="44">
        <f xml:space="preserve"> -T12/S12</f>
        <v>2.4566066926050767</v>
      </c>
      <c r="Y15" s="49"/>
    </row>
    <row r="16" spans="2:25" ht="15.6" x14ac:dyDescent="0.35">
      <c r="B16" s="25">
        <v>470</v>
      </c>
      <c r="C16" s="56"/>
      <c r="D16" s="25">
        <v>1.0049999999999999</v>
      </c>
      <c r="E16" s="25">
        <v>2.13</v>
      </c>
      <c r="F16" s="33">
        <f t="shared" si="1"/>
        <v>2.1299999999999999E-3</v>
      </c>
      <c r="G16" s="34">
        <f t="shared" si="0"/>
        <v>2.1346703322261363E-3</v>
      </c>
      <c r="H16" s="32">
        <f t="shared" si="2"/>
        <v>-4.6703322261363797E-6</v>
      </c>
      <c r="I16" s="50">
        <f t="shared" si="3"/>
        <v>-4.67033222613638</v>
      </c>
      <c r="R16" s="20"/>
      <c r="S16" s="19">
        <v>1.2352528509045638E-5</v>
      </c>
      <c r="T16" s="42">
        <v>1.1149095436297619E-10</v>
      </c>
      <c r="W16" s="8" t="s">
        <v>27</v>
      </c>
      <c r="X16" s="45">
        <f>SQRT((T13/S12)^2+(T12*S13/(S12)^2)^2)</f>
        <v>3.0135223660002239E-3</v>
      </c>
    </row>
    <row r="17" spans="2:25" ht="15.6" x14ac:dyDescent="0.35">
      <c r="B17" s="26">
        <v>220</v>
      </c>
      <c r="C17" s="56"/>
      <c r="D17" s="37">
        <v>0.6</v>
      </c>
      <c r="E17" s="26">
        <v>2.73</v>
      </c>
      <c r="F17" s="35">
        <f t="shared" si="1"/>
        <v>2.7300000000000002E-3</v>
      </c>
      <c r="G17" s="36">
        <f t="shared" si="0"/>
        <v>2.7302459030441968E-3</v>
      </c>
      <c r="H17" s="30">
        <f t="shared" si="2"/>
        <v>-2.4590304419655831E-7</v>
      </c>
      <c r="I17" s="50">
        <f t="shared" si="3"/>
        <v>-0.24590304419655831</v>
      </c>
      <c r="W17" s="8" t="s">
        <v>28</v>
      </c>
      <c r="X17" s="46">
        <f>X16/X15*100</f>
        <v>0.12267011952184227</v>
      </c>
    </row>
    <row r="18" spans="2:25" ht="15" thickBot="1" x14ac:dyDescent="0.35">
      <c r="B18" s="25">
        <v>150</v>
      </c>
      <c r="C18" s="56"/>
      <c r="D18" s="25">
        <v>0.44400000000000001</v>
      </c>
      <c r="E18" s="25">
        <v>2.96</v>
      </c>
      <c r="F18" s="33">
        <f t="shared" si="1"/>
        <v>2.96E-3</v>
      </c>
      <c r="G18" s="34">
        <f t="shared" si="0"/>
        <v>2.9596527895815235E-3</v>
      </c>
      <c r="H18" s="32">
        <f t="shared" si="2"/>
        <v>3.4721041847641382E-7</v>
      </c>
      <c r="I18" s="50">
        <f t="shared" si="3"/>
        <v>0.34721041847641382</v>
      </c>
      <c r="W18" s="9" t="s">
        <v>17</v>
      </c>
      <c r="X18" s="10">
        <f>ABS(X15-C4)/C4*100</f>
        <v>1.512673248143668</v>
      </c>
    </row>
    <row r="19" spans="2:25" ht="15" thickBot="1" x14ac:dyDescent="0.35">
      <c r="B19" s="26">
        <v>100</v>
      </c>
      <c r="C19" s="56"/>
      <c r="D19" s="26">
        <v>0.315</v>
      </c>
      <c r="E19" s="26">
        <v>3.15</v>
      </c>
      <c r="F19" s="35">
        <f t="shared" si="1"/>
        <v>3.15E-3</v>
      </c>
      <c r="G19" s="36">
        <f t="shared" si="0"/>
        <v>3.1493546380643132E-3</v>
      </c>
      <c r="H19" s="30">
        <f>F19-G19</f>
        <v>6.4536193568678901E-7</v>
      </c>
      <c r="I19" s="50">
        <f t="shared" si="3"/>
        <v>0.64536193568678901</v>
      </c>
      <c r="Y19" s="49"/>
    </row>
    <row r="20" spans="2:25" ht="16.2" thickBot="1" x14ac:dyDescent="0.4">
      <c r="B20" s="27">
        <v>47</v>
      </c>
      <c r="C20" s="43">
        <v>0.01</v>
      </c>
      <c r="D20" s="27">
        <v>0.16400000000000001</v>
      </c>
      <c r="E20" s="27">
        <v>3.37</v>
      </c>
      <c r="F20" s="38">
        <f t="shared" si="1"/>
        <v>3.3700000000000002E-3</v>
      </c>
      <c r="G20" s="39">
        <f t="shared" si="0"/>
        <v>3.3714087397767262E-3</v>
      </c>
      <c r="H20" s="40">
        <f>F20-G20</f>
        <v>-1.4087397767260403E-6</v>
      </c>
      <c r="I20" s="50">
        <f t="shared" si="3"/>
        <v>-1.4087397767260403</v>
      </c>
      <c r="W20" s="7" t="s">
        <v>16</v>
      </c>
      <c r="X20" s="48">
        <f xml:space="preserve"> -1/S12</f>
        <v>680.01445969939152</v>
      </c>
    </row>
    <row r="21" spans="2:25" ht="15.6" x14ac:dyDescent="0.35">
      <c r="W21" s="8" t="s">
        <v>29</v>
      </c>
      <c r="X21" s="47">
        <f>S13/S12^2</f>
        <v>0.72229571451632235</v>
      </c>
    </row>
    <row r="22" spans="2:25" ht="15.6" x14ac:dyDescent="0.35">
      <c r="W22" s="8" t="s">
        <v>30</v>
      </c>
      <c r="X22" s="46">
        <f>X21/X20*100</f>
        <v>0.1062176993759253</v>
      </c>
    </row>
    <row r="23" spans="2:25" ht="15" thickBot="1" x14ac:dyDescent="0.35">
      <c r="W23" s="9" t="s">
        <v>17</v>
      </c>
      <c r="X23" s="10">
        <f>ABS(X20-C6)/C6*100</f>
        <v>0.44526731157925004</v>
      </c>
    </row>
    <row r="38" spans="2:25" ht="15" thickBot="1" x14ac:dyDescent="0.35"/>
    <row r="39" spans="2:25" ht="16.2" thickBot="1" x14ac:dyDescent="0.4">
      <c r="B39" s="41" t="s">
        <v>2</v>
      </c>
      <c r="C39" s="41" t="s">
        <v>18</v>
      </c>
      <c r="D39" s="41" t="s">
        <v>0</v>
      </c>
      <c r="E39" s="41" t="s">
        <v>1</v>
      </c>
      <c r="F39" s="41" t="s">
        <v>3</v>
      </c>
      <c r="G39" s="41" t="s">
        <v>4</v>
      </c>
      <c r="H39" s="41" t="s">
        <v>15</v>
      </c>
      <c r="W39" s="7" t="s">
        <v>7</v>
      </c>
      <c r="X39" s="44">
        <f>T41*1000</f>
        <v>3.5924491549368152</v>
      </c>
    </row>
    <row r="40" spans="2:25" ht="16.2" thickBot="1" x14ac:dyDescent="0.4">
      <c r="B40" s="28">
        <v>10000</v>
      </c>
      <c r="C40" s="55">
        <v>0.05</v>
      </c>
      <c r="D40" s="28">
        <v>2.2890000000000001</v>
      </c>
      <c r="E40" s="28">
        <v>0.22</v>
      </c>
      <c r="F40" s="29">
        <f>E40*0.001</f>
        <v>2.2000000000000001E-4</v>
      </c>
      <c r="G40" s="30">
        <f t="shared" ref="G40:G48" si="4">S$41*D40+T$41</f>
        <v>2.216342184571474E-4</v>
      </c>
      <c r="H40" s="30">
        <f t="shared" ref="H40:H49" si="5">F40-G40</f>
        <v>-1.6342184571473963E-6</v>
      </c>
      <c r="I40" s="50">
        <f>H40*10^6</f>
        <v>-1.6342184571473963</v>
      </c>
      <c r="S40" s="62" t="s">
        <v>20</v>
      </c>
      <c r="T40" s="63"/>
      <c r="W40" s="8" t="s">
        <v>25</v>
      </c>
      <c r="X40" s="45">
        <f>T42*1000</f>
        <v>1.8703659564800116E-3</v>
      </c>
      <c r="Y40" s="50"/>
    </row>
    <row r="41" spans="2:25" ht="15.6" x14ac:dyDescent="0.35">
      <c r="B41" s="25">
        <v>4700</v>
      </c>
      <c r="C41" s="56"/>
      <c r="D41" s="25">
        <v>2.1349999999999998</v>
      </c>
      <c r="E41" s="25">
        <v>0.45</v>
      </c>
      <c r="F41" s="31">
        <f t="shared" ref="F41:F49" si="6">E41*0.001</f>
        <v>4.5000000000000004E-4</v>
      </c>
      <c r="G41" s="32">
        <f t="shared" si="4"/>
        <v>4.4841687473406739E-4</v>
      </c>
      <c r="H41" s="32">
        <f t="shared" si="5"/>
        <v>1.5831252659326517E-6</v>
      </c>
      <c r="I41" s="50">
        <f t="shared" ref="I41:I49" si="7">H41*10^6</f>
        <v>1.5831252659326516</v>
      </c>
      <c r="R41" s="1" t="s">
        <v>9</v>
      </c>
      <c r="S41" s="21" cm="1">
        <f t="array" ref="S41:T45">LINEST(F40:F49,D40:D49,1,1)</f>
        <v>-1.4726146511488281E-3</v>
      </c>
      <c r="T41" s="24">
        <v>3.5924491549368153E-3</v>
      </c>
      <c r="U41" s="4" t="s">
        <v>12</v>
      </c>
      <c r="W41" s="8" t="s">
        <v>26</v>
      </c>
      <c r="X41" s="46">
        <f>X40/X39*100</f>
        <v>5.2063811506134122E-2</v>
      </c>
    </row>
    <row r="42" spans="2:25" ht="16.2" thickBot="1" x14ac:dyDescent="0.4">
      <c r="B42" s="26">
        <v>2200</v>
      </c>
      <c r="C42" s="56"/>
      <c r="D42" s="26">
        <v>1.867</v>
      </c>
      <c r="E42" s="26">
        <v>0.84</v>
      </c>
      <c r="F42" s="29">
        <f t="shared" si="6"/>
        <v>8.4000000000000003E-4</v>
      </c>
      <c r="G42" s="30">
        <f t="shared" si="4"/>
        <v>8.4307760124195316E-4</v>
      </c>
      <c r="H42" s="30">
        <f t="shared" si="5"/>
        <v>-3.0776012419531269E-6</v>
      </c>
      <c r="I42" s="50">
        <f t="shared" si="7"/>
        <v>-3.0776012419531269</v>
      </c>
      <c r="R42" s="2" t="s">
        <v>10</v>
      </c>
      <c r="S42" s="22">
        <v>1.3258676394819998E-6</v>
      </c>
      <c r="T42" s="23">
        <v>1.8703659564800115E-6</v>
      </c>
      <c r="U42" s="5" t="s">
        <v>13</v>
      </c>
      <c r="W42" s="9" t="s">
        <v>17</v>
      </c>
      <c r="X42" s="10">
        <f>ABS(C5-X39)/C5 *100</f>
        <v>0.62882786937858037</v>
      </c>
    </row>
    <row r="43" spans="2:25" ht="15.6" customHeight="1" thickBot="1" x14ac:dyDescent="0.4">
      <c r="B43" s="25">
        <v>1500</v>
      </c>
      <c r="C43" s="56"/>
      <c r="D43" s="25">
        <v>1.679</v>
      </c>
      <c r="E43" s="25">
        <v>1.1200000000000001</v>
      </c>
      <c r="F43" s="33">
        <f t="shared" si="6"/>
        <v>1.1200000000000001E-3</v>
      </c>
      <c r="G43" s="32">
        <f t="shared" si="4"/>
        <v>1.1199291556579327E-3</v>
      </c>
      <c r="H43" s="32">
        <f t="shared" si="5"/>
        <v>7.0844342067418256E-8</v>
      </c>
      <c r="I43" s="50">
        <f t="shared" si="7"/>
        <v>7.0844342067418256E-2</v>
      </c>
      <c r="R43" s="3" t="s">
        <v>11</v>
      </c>
      <c r="S43" s="11">
        <v>0.99999351501048284</v>
      </c>
      <c r="T43" s="12">
        <v>3.149107555262208E-6</v>
      </c>
      <c r="U43" s="6" t="s">
        <v>14</v>
      </c>
    </row>
    <row r="44" spans="2:25" ht="15.6" x14ac:dyDescent="0.35">
      <c r="B44" s="26">
        <v>1000</v>
      </c>
      <c r="C44" s="56"/>
      <c r="D44" s="26">
        <v>1.458</v>
      </c>
      <c r="E44" s="26">
        <v>1.45</v>
      </c>
      <c r="F44" s="35">
        <f t="shared" si="6"/>
        <v>1.4499999999999999E-3</v>
      </c>
      <c r="G44" s="30">
        <f t="shared" si="4"/>
        <v>1.4453769935618239E-3</v>
      </c>
      <c r="H44" s="30">
        <f t="shared" si="5"/>
        <v>4.6230064381759875E-6</v>
      </c>
      <c r="I44" s="50">
        <f t="shared" si="7"/>
        <v>4.6230064381759872</v>
      </c>
      <c r="R44" s="19"/>
      <c r="S44" s="19">
        <v>1233610.0311185215</v>
      </c>
      <c r="T44" s="20">
        <v>8</v>
      </c>
      <c r="W44" s="7" t="s">
        <v>6</v>
      </c>
      <c r="X44" s="44">
        <f xml:space="preserve"> -T41/S41</f>
        <v>2.4395038798060611</v>
      </c>
      <c r="Y44" s="50"/>
    </row>
    <row r="45" spans="2:25" ht="15.6" x14ac:dyDescent="0.35">
      <c r="B45" s="25">
        <v>470</v>
      </c>
      <c r="C45" s="56"/>
      <c r="D45" s="25">
        <v>0.998</v>
      </c>
      <c r="E45" s="25">
        <v>2.12</v>
      </c>
      <c r="F45" s="33">
        <f t="shared" si="6"/>
        <v>2.1200000000000004E-3</v>
      </c>
      <c r="G45" s="32">
        <f t="shared" si="4"/>
        <v>2.1227797330902846E-3</v>
      </c>
      <c r="H45" s="32">
        <f t="shared" si="5"/>
        <v>-2.7797330902842865E-6</v>
      </c>
      <c r="I45" s="50">
        <f t="shared" si="7"/>
        <v>-2.7797330902842865</v>
      </c>
      <c r="R45" s="20"/>
      <c r="S45" s="19">
        <v>1.2233560664972846E-5</v>
      </c>
      <c r="T45" s="42">
        <v>7.9335027156876173E-11</v>
      </c>
      <c r="W45" s="8" t="s">
        <v>27</v>
      </c>
      <c r="X45" s="45">
        <f>SQRT((T42/S41)^2+(T41*S42/(S41)^2)^2)</f>
        <v>2.5371930989101818E-3</v>
      </c>
    </row>
    <row r="46" spans="2:25" ht="15.6" x14ac:dyDescent="0.35">
      <c r="B46" s="26">
        <v>220</v>
      </c>
      <c r="C46" s="56"/>
      <c r="D46" s="37">
        <v>0.59599999999999997</v>
      </c>
      <c r="E46" s="26">
        <v>2.72</v>
      </c>
      <c r="F46" s="35">
        <f t="shared" si="6"/>
        <v>2.7200000000000002E-3</v>
      </c>
      <c r="G46" s="30">
        <f t="shared" si="4"/>
        <v>2.7147708228521137E-3</v>
      </c>
      <c r="H46" s="30">
        <f t="shared" si="5"/>
        <v>5.2291771478864615E-6</v>
      </c>
      <c r="I46" s="50">
        <f t="shared" si="7"/>
        <v>5.2291771478864613</v>
      </c>
      <c r="W46" s="8" t="s">
        <v>28</v>
      </c>
      <c r="X46" s="46">
        <f>X45/X44*100</f>
        <v>0.10400447074148073</v>
      </c>
    </row>
    <row r="47" spans="2:25" ht="15" thickBot="1" x14ac:dyDescent="0.35">
      <c r="B47" s="25">
        <v>150</v>
      </c>
      <c r="C47" s="56"/>
      <c r="D47" s="25">
        <v>0.442</v>
      </c>
      <c r="E47" s="25">
        <v>2.94</v>
      </c>
      <c r="F47" s="33">
        <f t="shared" si="6"/>
        <v>2.9399999999999999E-3</v>
      </c>
      <c r="G47" s="32">
        <f t="shared" si="4"/>
        <v>2.9415534791290333E-3</v>
      </c>
      <c r="H47" s="32">
        <f t="shared" si="5"/>
        <v>-1.5534791290333812E-6</v>
      </c>
      <c r="I47" s="50">
        <f t="shared" si="7"/>
        <v>-1.5534791290333811</v>
      </c>
      <c r="W47" s="9" t="s">
        <v>17</v>
      </c>
      <c r="X47" s="10">
        <f>ABS(X44-C4)/C4*100</f>
        <v>0.80594544653145306</v>
      </c>
    </row>
    <row r="48" spans="2:25" ht="15" thickBot="1" x14ac:dyDescent="0.35">
      <c r="B48" s="26">
        <v>100</v>
      </c>
      <c r="C48" s="56"/>
      <c r="D48" s="26">
        <v>0.314</v>
      </c>
      <c r="E48" s="26">
        <v>3.13</v>
      </c>
      <c r="F48" s="35">
        <f t="shared" si="6"/>
        <v>3.13E-3</v>
      </c>
      <c r="G48" s="30">
        <f t="shared" si="4"/>
        <v>3.1300481544760833E-3</v>
      </c>
      <c r="H48" s="30">
        <f t="shared" si="5"/>
        <v>-4.8154476083289016E-8</v>
      </c>
      <c r="I48" s="50">
        <f t="shared" si="7"/>
        <v>-4.8154476083289016E-2</v>
      </c>
      <c r="Y48" s="50"/>
    </row>
    <row r="49" spans="2:24" ht="16.2" thickBot="1" x14ac:dyDescent="0.4">
      <c r="B49" s="27">
        <v>47</v>
      </c>
      <c r="C49" s="43">
        <v>0.01</v>
      </c>
      <c r="D49" s="27">
        <v>0.16300000000000001</v>
      </c>
      <c r="E49" s="27">
        <v>3.35</v>
      </c>
      <c r="F49" s="38">
        <f t="shared" si="6"/>
        <v>3.3500000000000001E-3</v>
      </c>
      <c r="G49" s="39">
        <f>S41*D49+T41</f>
        <v>3.3524129667995561E-3</v>
      </c>
      <c r="H49" s="40">
        <f t="shared" si="5"/>
        <v>-2.4129667995560246E-6</v>
      </c>
      <c r="I49" s="50">
        <f t="shared" si="7"/>
        <v>-2.4129667995560244</v>
      </c>
      <c r="W49" s="7" t="s">
        <v>16</v>
      </c>
      <c r="X49" s="48">
        <f xml:space="preserve"> -1/S41</f>
        <v>679.06427470341396</v>
      </c>
    </row>
    <row r="50" spans="2:24" ht="15.6" x14ac:dyDescent="0.35">
      <c r="W50" s="8" t="s">
        <v>29</v>
      </c>
      <c r="X50" s="47">
        <f>S42/S41^2</f>
        <v>0.61139507627143586</v>
      </c>
    </row>
    <row r="51" spans="2:24" ht="15.6" x14ac:dyDescent="0.35">
      <c r="W51" s="8" t="s">
        <v>30</v>
      </c>
      <c r="X51" s="46">
        <f>X50/X49*100</f>
        <v>9.0034934695757171E-2</v>
      </c>
    </row>
    <row r="52" spans="2:24" ht="15" thickBot="1" x14ac:dyDescent="0.35">
      <c r="W52" s="9" t="s">
        <v>17</v>
      </c>
      <c r="X52" s="10">
        <f>ABS(X49-C6)/C6*100</f>
        <v>0.30491502266085047</v>
      </c>
    </row>
    <row r="67" spans="9:11" ht="15" thickBot="1" x14ac:dyDescent="0.35"/>
    <row r="68" spans="9:11" ht="15" thickBot="1" x14ac:dyDescent="0.35">
      <c r="I68" s="57" t="s">
        <v>24</v>
      </c>
      <c r="J68" s="51" t="s">
        <v>9</v>
      </c>
      <c r="K68" s="52">
        <f>(S41-S12)/S12*100</f>
        <v>0.13992563463782381</v>
      </c>
    </row>
    <row r="69" spans="9:11" ht="15" thickBot="1" x14ac:dyDescent="0.35">
      <c r="I69" s="58"/>
      <c r="J69" s="53" t="s">
        <v>12</v>
      </c>
      <c r="K69" s="54">
        <f>-(T41-T12)/T12*100</f>
        <v>0.55724514446657547</v>
      </c>
    </row>
    <row r="70" spans="9:11" ht="16.2" thickBot="1" x14ac:dyDescent="0.4">
      <c r="I70" s="58"/>
      <c r="J70" s="51" t="s">
        <v>21</v>
      </c>
      <c r="K70" s="52">
        <f>(X10-X39)/X10*100</f>
        <v>0.55724514446658158</v>
      </c>
    </row>
    <row r="71" spans="9:11" ht="16.2" thickBot="1" x14ac:dyDescent="0.4">
      <c r="I71" s="58"/>
      <c r="J71" s="53" t="s">
        <v>23</v>
      </c>
      <c r="K71" s="54">
        <f>(X15-X44)/X15*100</f>
        <v>0.69619662156334605</v>
      </c>
    </row>
    <row r="72" spans="9:11" ht="16.2" thickBot="1" x14ac:dyDescent="0.4">
      <c r="I72" s="59"/>
      <c r="J72" s="51" t="s">
        <v>22</v>
      </c>
      <c r="K72" s="52">
        <f>(X20-X49)/X20*100</f>
        <v>0.13973011638570243</v>
      </c>
    </row>
  </sheetData>
  <mergeCells count="6">
    <mergeCell ref="C11:C19"/>
    <mergeCell ref="C40:C48"/>
    <mergeCell ref="I68:I72"/>
    <mergeCell ref="B3:C3"/>
    <mergeCell ref="S11:T11"/>
    <mergeCell ref="S40:T4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Thévenin Norton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Salomé Gomes</dc:creator>
  <cp:lastModifiedBy>Salomé Gomes</cp:lastModifiedBy>
  <dcterms:created xsi:type="dcterms:W3CDTF">2023-02-28T16:58:20Z</dcterms:created>
  <dcterms:modified xsi:type="dcterms:W3CDTF">2023-04-12T14:06:00Z</dcterms:modified>
</cp:coreProperties>
</file>