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CHAN\OneDrive\Ambiente de Trabalho\FCUP\2.º ano\2.º semestre\Laboratórios de Física II\Lab. 0.16\Excels\"/>
    </mc:Choice>
  </mc:AlternateContent>
  <xr:revisionPtr revIDLastSave="0" documentId="13_ncr:1_{FACBAD63-5B15-454A-A4DF-189AC81E1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9" i="1" l="1"/>
  <c r="S39" i="1"/>
  <c r="T39" i="1"/>
  <c r="R40" i="1"/>
  <c r="S40" i="1"/>
  <c r="T40" i="1"/>
  <c r="R41" i="1"/>
  <c r="S41" i="1"/>
  <c r="T41" i="1"/>
  <c r="R42" i="1"/>
  <c r="S42" i="1"/>
  <c r="T42" i="1"/>
  <c r="R43" i="1"/>
  <c r="S43" i="1"/>
  <c r="T43" i="1"/>
  <c r="R44" i="1"/>
  <c r="S44" i="1"/>
  <c r="T44" i="1"/>
  <c r="R45" i="1"/>
  <c r="S45" i="1"/>
  <c r="T45" i="1"/>
  <c r="R46" i="1"/>
  <c r="S46" i="1"/>
  <c r="T46" i="1"/>
  <c r="R47" i="1"/>
  <c r="S47" i="1"/>
  <c r="T47" i="1"/>
  <c r="R48" i="1"/>
  <c r="S48" i="1"/>
  <c r="T48" i="1"/>
  <c r="R49" i="1"/>
  <c r="S49" i="1"/>
  <c r="T49" i="1"/>
  <c r="R50" i="1"/>
  <c r="S50" i="1"/>
  <c r="T50" i="1"/>
  <c r="R51" i="1"/>
  <c r="S51" i="1"/>
  <c r="T51" i="1"/>
  <c r="R52" i="1"/>
  <c r="S52" i="1"/>
  <c r="T52" i="1"/>
  <c r="R53" i="1"/>
  <c r="S53" i="1"/>
  <c r="T53" i="1"/>
  <c r="R54" i="1"/>
  <c r="S54" i="1"/>
  <c r="T54" i="1"/>
  <c r="R55" i="1"/>
  <c r="S55" i="1"/>
  <c r="T55" i="1"/>
  <c r="R56" i="1"/>
  <c r="S56" i="1"/>
  <c r="T56" i="1"/>
  <c r="R57" i="1"/>
  <c r="S57" i="1"/>
  <c r="T57" i="1"/>
  <c r="R58" i="1"/>
  <c r="S58" i="1"/>
  <c r="T58" i="1"/>
  <c r="R59" i="1"/>
  <c r="S59" i="1"/>
  <c r="T59" i="1"/>
  <c r="R60" i="1"/>
  <c r="S60" i="1"/>
  <c r="T60" i="1"/>
  <c r="R61" i="1"/>
  <c r="S61" i="1"/>
  <c r="T61" i="1"/>
  <c r="R62" i="1"/>
  <c r="S62" i="1"/>
  <c r="T62" i="1"/>
  <c r="R63" i="1"/>
  <c r="S63" i="1"/>
  <c r="T63" i="1"/>
  <c r="R64" i="1"/>
  <c r="S64" i="1"/>
  <c r="T64" i="1"/>
  <c r="R65" i="1"/>
  <c r="S65" i="1"/>
  <c r="T65" i="1"/>
  <c r="R66" i="1"/>
  <c r="S66" i="1"/>
  <c r="T66" i="1"/>
  <c r="R67" i="1"/>
  <c r="S67" i="1"/>
  <c r="T67" i="1"/>
  <c r="R68" i="1"/>
  <c r="S68" i="1"/>
  <c r="T68" i="1"/>
  <c r="R69" i="1"/>
  <c r="S69" i="1"/>
  <c r="T69" i="1"/>
  <c r="R70" i="1"/>
  <c r="S70" i="1"/>
  <c r="T70" i="1"/>
  <c r="R71" i="1"/>
  <c r="S71" i="1"/>
  <c r="T71" i="1"/>
  <c r="D2" i="1"/>
  <c r="D50" i="1"/>
  <c r="D11" i="1"/>
  <c r="N42" i="1"/>
  <c r="N38" i="1"/>
  <c r="N34" i="1"/>
  <c r="N30" i="1"/>
  <c r="N26" i="1"/>
  <c r="N22" i="1"/>
  <c r="N18" i="1"/>
  <c r="D49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I55" i="1"/>
  <c r="J55" i="1" s="1"/>
  <c r="E4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I56" i="1"/>
  <c r="J56" i="1" s="1"/>
  <c r="I57" i="1"/>
  <c r="I58" i="1"/>
  <c r="I59" i="1"/>
  <c r="I60" i="1"/>
  <c r="I61" i="1"/>
  <c r="I62" i="1"/>
  <c r="I63" i="1"/>
  <c r="J63" i="1" s="1"/>
  <c r="I64" i="1"/>
  <c r="I65" i="1"/>
  <c r="I66" i="1"/>
  <c r="I67" i="1"/>
  <c r="I68" i="1"/>
  <c r="I69" i="1"/>
  <c r="I70" i="1"/>
  <c r="J70" i="1" l="1"/>
  <c r="J62" i="1"/>
  <c r="J69" i="1"/>
  <c r="J61" i="1"/>
  <c r="J68" i="1"/>
  <c r="J60" i="1"/>
  <c r="J67" i="1"/>
  <c r="J59" i="1"/>
  <c r="J66" i="1"/>
  <c r="J58" i="1"/>
  <c r="J65" i="1"/>
  <c r="J57" i="1"/>
  <c r="J64" i="1"/>
  <c r="G9" i="1"/>
  <c r="G11" i="1" s="1"/>
  <c r="E14" i="1"/>
  <c r="E15" i="1"/>
  <c r="E16" i="1"/>
  <c r="E17" i="1"/>
  <c r="E18" i="1"/>
  <c r="K18" i="1" s="1"/>
  <c r="S6" i="1" s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5" i="1"/>
  <c r="F67" i="1"/>
  <c r="K67" i="1" s="1"/>
  <c r="F63" i="1"/>
  <c r="K63" i="1" s="1"/>
  <c r="F59" i="1"/>
  <c r="K59" i="1" s="1"/>
  <c r="F55" i="1"/>
  <c r="L55" i="1" s="1"/>
  <c r="F14" i="1"/>
  <c r="F15" i="1" s="1"/>
  <c r="F16" i="1" s="1"/>
  <c r="F19" i="1"/>
  <c r="F20" i="1" s="1"/>
  <c r="F21" i="1" s="1"/>
  <c r="F22" i="1"/>
  <c r="F26" i="1"/>
  <c r="F30" i="1"/>
  <c r="F31" i="1" s="1"/>
  <c r="F34" i="1"/>
  <c r="F35" i="1" s="1"/>
  <c r="F36" i="1" s="1"/>
  <c r="F37" i="1" s="1"/>
  <c r="F38" i="1"/>
  <c r="F39" i="1" s="1"/>
  <c r="F40" i="1" s="1"/>
  <c r="F41" i="1" s="1"/>
  <c r="F42" i="1"/>
  <c r="F43" i="1" s="1"/>
  <c r="I14" i="1"/>
  <c r="J14" i="1" s="1"/>
  <c r="I19" i="1"/>
  <c r="I26" i="1"/>
  <c r="I16" i="1"/>
  <c r="I37" i="1"/>
  <c r="I42" i="1"/>
  <c r="I41" i="1"/>
  <c r="I25" i="1"/>
  <c r="I36" i="1"/>
  <c r="J36" i="1" s="1"/>
  <c r="R26" i="1" s="1"/>
  <c r="AA26" i="1" s="1"/>
  <c r="I24" i="1"/>
  <c r="I35" i="1"/>
  <c r="I23" i="1"/>
  <c r="I29" i="1"/>
  <c r="I34" i="1"/>
  <c r="I22" i="1"/>
  <c r="I45" i="1"/>
  <c r="J45" i="1" s="1"/>
  <c r="R36" i="1" s="1"/>
  <c r="AA36" i="1" s="1"/>
  <c r="I33" i="1"/>
  <c r="I21" i="1"/>
  <c r="I44" i="1"/>
  <c r="I20" i="1"/>
  <c r="J20" i="1" s="1"/>
  <c r="R22" i="1" s="1"/>
  <c r="AA22" i="1" s="1"/>
  <c r="I28" i="1"/>
  <c r="I32" i="1"/>
  <c r="I43" i="1"/>
  <c r="I31" i="1"/>
  <c r="I17" i="1"/>
  <c r="I30" i="1"/>
  <c r="I18" i="1"/>
  <c r="I40" i="1"/>
  <c r="I39" i="1"/>
  <c r="I27" i="1"/>
  <c r="I15" i="1"/>
  <c r="J15" i="1" s="1"/>
  <c r="R13" i="1" s="1"/>
  <c r="AA13" i="1" s="1"/>
  <c r="I38" i="1"/>
  <c r="D3" i="1"/>
  <c r="C3" i="1"/>
  <c r="C2" i="1"/>
  <c r="M14" i="1"/>
  <c r="D74" i="1" l="1"/>
  <c r="L37" i="1"/>
  <c r="T34" i="1" s="1"/>
  <c r="N14" i="1"/>
  <c r="D9" i="1"/>
  <c r="AB6" i="1"/>
  <c r="F60" i="1"/>
  <c r="L26" i="1"/>
  <c r="T8" i="1" s="1"/>
  <c r="F64" i="1"/>
  <c r="K64" i="1" s="1"/>
  <c r="F68" i="1"/>
  <c r="L43" i="1"/>
  <c r="T20" i="1" s="1"/>
  <c r="F56" i="1"/>
  <c r="V22" i="1"/>
  <c r="Z22" i="1"/>
  <c r="V26" i="1"/>
  <c r="Z26" i="1"/>
  <c r="V36" i="1"/>
  <c r="Z36" i="1"/>
  <c r="V13" i="1"/>
  <c r="Z13" i="1"/>
  <c r="L34" i="1"/>
  <c r="T10" i="1" s="1"/>
  <c r="K22" i="1"/>
  <c r="S7" i="1" s="1"/>
  <c r="K39" i="1"/>
  <c r="S19" i="1" s="1"/>
  <c r="K38" i="1"/>
  <c r="S11" i="1" s="1"/>
  <c r="F27" i="1"/>
  <c r="F28" i="1" s="1"/>
  <c r="F29" i="1" s="1"/>
  <c r="L29" i="1" s="1"/>
  <c r="T32" i="1" s="1"/>
  <c r="K14" i="1"/>
  <c r="S5" i="1" s="1"/>
  <c r="U5" i="1"/>
  <c r="D8" i="1"/>
  <c r="K36" i="1"/>
  <c r="S26" i="1" s="1"/>
  <c r="L42" i="1"/>
  <c r="T12" i="1" s="1"/>
  <c r="K34" i="1"/>
  <c r="S10" i="1" s="1"/>
  <c r="K15" i="1"/>
  <c r="S13" i="1" s="1"/>
  <c r="L36" i="1"/>
  <c r="T26" i="1" s="1"/>
  <c r="L35" i="1"/>
  <c r="T18" i="1" s="1"/>
  <c r="K42" i="1"/>
  <c r="S12" i="1" s="1"/>
  <c r="F44" i="1"/>
  <c r="K44" i="1" s="1"/>
  <c r="S28" i="1" s="1"/>
  <c r="L30" i="1"/>
  <c r="T9" i="1" s="1"/>
  <c r="L19" i="1"/>
  <c r="T14" i="1" s="1"/>
  <c r="L18" i="1"/>
  <c r="T6" i="1" s="1"/>
  <c r="AC6" i="1" s="1"/>
  <c r="L22" i="1"/>
  <c r="T7" i="1" s="1"/>
  <c r="K43" i="1"/>
  <c r="S20" i="1" s="1"/>
  <c r="K37" i="1"/>
  <c r="S34" i="1" s="1"/>
  <c r="L21" i="1"/>
  <c r="T30" i="1" s="1"/>
  <c r="L31" i="1"/>
  <c r="T17" i="1" s="1"/>
  <c r="L20" i="1"/>
  <c r="T22" i="1" s="1"/>
  <c r="K31" i="1"/>
  <c r="S17" i="1" s="1"/>
  <c r="L39" i="1"/>
  <c r="T19" i="1" s="1"/>
  <c r="K30" i="1"/>
  <c r="S9" i="1" s="1"/>
  <c r="L38" i="1"/>
  <c r="T11" i="1" s="1"/>
  <c r="K21" i="1"/>
  <c r="S30" i="1" s="1"/>
  <c r="L67" i="1"/>
  <c r="K20" i="1"/>
  <c r="S22" i="1" s="1"/>
  <c r="J44" i="1"/>
  <c r="R28" i="1" s="1"/>
  <c r="AA28" i="1" s="1"/>
  <c r="K55" i="1"/>
  <c r="K40" i="1"/>
  <c r="S27" i="1" s="1"/>
  <c r="K19" i="1"/>
  <c r="S14" i="1" s="1"/>
  <c r="J37" i="1"/>
  <c r="R34" i="1" s="1"/>
  <c r="AA34" i="1" s="1"/>
  <c r="L14" i="1"/>
  <c r="T5" i="1" s="1"/>
  <c r="J29" i="1"/>
  <c r="R32" i="1" s="1"/>
  <c r="AA32" i="1" s="1"/>
  <c r="J28" i="1"/>
  <c r="R24" i="1" s="1"/>
  <c r="AA24" i="1" s="1"/>
  <c r="F32" i="1"/>
  <c r="F33" i="1" s="1"/>
  <c r="L33" i="1" s="1"/>
  <c r="T33" i="1" s="1"/>
  <c r="F23" i="1"/>
  <c r="J21" i="1"/>
  <c r="R30" i="1" s="1"/>
  <c r="AA30" i="1" s="1"/>
  <c r="L41" i="1"/>
  <c r="T35" i="1" s="1"/>
  <c r="K41" i="1"/>
  <c r="S35" i="1" s="1"/>
  <c r="K16" i="1"/>
  <c r="S21" i="1" s="1"/>
  <c r="L16" i="1"/>
  <c r="T21" i="1" s="1"/>
  <c r="F17" i="1"/>
  <c r="J43" i="1"/>
  <c r="R20" i="1" s="1"/>
  <c r="AA20" i="1" s="1"/>
  <c r="J42" i="1"/>
  <c r="R12" i="1" s="1"/>
  <c r="AA12" i="1" s="1"/>
  <c r="J34" i="1"/>
  <c r="J26" i="1"/>
  <c r="R8" i="1" s="1"/>
  <c r="AA8" i="1" s="1"/>
  <c r="J18" i="1"/>
  <c r="R6" i="1" s="1"/>
  <c r="AA6" i="1" s="1"/>
  <c r="J32" i="1"/>
  <c r="R25" i="1" s="1"/>
  <c r="AA25" i="1" s="1"/>
  <c r="J16" i="1"/>
  <c r="R21" i="1" s="1"/>
  <c r="AA21" i="1" s="1"/>
  <c r="L63" i="1"/>
  <c r="J39" i="1"/>
  <c r="R19" i="1" s="1"/>
  <c r="AA19" i="1" s="1"/>
  <c r="J31" i="1"/>
  <c r="R17" i="1" s="1"/>
  <c r="AA17" i="1" s="1"/>
  <c r="J23" i="1"/>
  <c r="R15" i="1" s="1"/>
  <c r="AA15" i="1" s="1"/>
  <c r="L15" i="1"/>
  <c r="T13" i="1" s="1"/>
  <c r="L59" i="1"/>
  <c r="J35" i="1"/>
  <c r="J27" i="1"/>
  <c r="R16" i="1" s="1"/>
  <c r="AA16" i="1" s="1"/>
  <c r="J19" i="1"/>
  <c r="R14" i="1" s="1"/>
  <c r="AA14" i="1" s="1"/>
  <c r="J41" i="1"/>
  <c r="R35" i="1" s="1"/>
  <c r="AA35" i="1" s="1"/>
  <c r="J33" i="1"/>
  <c r="R33" i="1" s="1"/>
  <c r="AA33" i="1" s="1"/>
  <c r="J25" i="1"/>
  <c r="R31" i="1" s="1"/>
  <c r="AA31" i="1" s="1"/>
  <c r="J17" i="1"/>
  <c r="R29" i="1" s="1"/>
  <c r="AA29" i="1" s="1"/>
  <c r="J40" i="1"/>
  <c r="R27" i="1" s="1"/>
  <c r="AA27" i="1" s="1"/>
  <c r="J24" i="1"/>
  <c r="R23" i="1" s="1"/>
  <c r="AA23" i="1" s="1"/>
  <c r="L40" i="1"/>
  <c r="T27" i="1" s="1"/>
  <c r="J38" i="1"/>
  <c r="R11" i="1" s="1"/>
  <c r="AA11" i="1" s="1"/>
  <c r="J30" i="1"/>
  <c r="R9" i="1" s="1"/>
  <c r="AA9" i="1" s="1"/>
  <c r="J22" i="1"/>
  <c r="R7" i="1" s="1"/>
  <c r="AA7" i="1" s="1"/>
  <c r="R5" i="1"/>
  <c r="AA5" i="1" s="1"/>
  <c r="K35" i="1"/>
  <c r="S18" i="1" s="1"/>
  <c r="K26" i="1"/>
  <c r="S8" i="1" s="1"/>
  <c r="W6" i="1"/>
  <c r="AC34" i="1" l="1"/>
  <c r="AC14" i="1"/>
  <c r="AC12" i="1"/>
  <c r="AC35" i="1"/>
  <c r="R18" i="1"/>
  <c r="AA18" i="1" s="1"/>
  <c r="R10" i="1"/>
  <c r="AA10" i="1" s="1"/>
  <c r="AC18" i="1"/>
  <c r="AC9" i="1"/>
  <c r="AC27" i="1"/>
  <c r="AC10" i="1"/>
  <c r="AC21" i="1"/>
  <c r="AC30" i="1"/>
  <c r="AB5" i="1"/>
  <c r="AC5" i="1"/>
  <c r="L68" i="1"/>
  <c r="K68" i="1"/>
  <c r="AC20" i="1"/>
  <c r="AC13" i="1"/>
  <c r="AC11" i="1"/>
  <c r="AC19" i="1"/>
  <c r="L60" i="1"/>
  <c r="K60" i="1"/>
  <c r="F69" i="1"/>
  <c r="K69" i="1" s="1"/>
  <c r="AB17" i="1"/>
  <c r="AC17" i="1"/>
  <c r="AB7" i="1"/>
  <c r="AC7" i="1"/>
  <c r="K27" i="1"/>
  <c r="S16" i="1" s="1"/>
  <c r="F61" i="1"/>
  <c r="K61" i="1" s="1"/>
  <c r="AC26" i="1"/>
  <c r="AC8" i="1"/>
  <c r="AC22" i="1"/>
  <c r="F57" i="1"/>
  <c r="L57" i="1" s="1"/>
  <c r="K56" i="1"/>
  <c r="W17" i="1"/>
  <c r="W7" i="1"/>
  <c r="L56" i="1"/>
  <c r="L64" i="1"/>
  <c r="F65" i="1"/>
  <c r="K65" i="1" s="1"/>
  <c r="W10" i="1"/>
  <c r="W28" i="1"/>
  <c r="AB28" i="1"/>
  <c r="W35" i="1"/>
  <c r="AB35" i="1"/>
  <c r="W30" i="1"/>
  <c r="AB30" i="1"/>
  <c r="W11" i="1"/>
  <c r="AB11" i="1"/>
  <c r="W21" i="1"/>
  <c r="AB21" i="1"/>
  <c r="W8" i="1"/>
  <c r="AB8" i="1"/>
  <c r="W5" i="1"/>
  <c r="K28" i="1"/>
  <c r="S24" i="1" s="1"/>
  <c r="L27" i="1"/>
  <c r="T16" i="1" s="1"/>
  <c r="W19" i="1"/>
  <c r="AB19" i="1"/>
  <c r="W18" i="1"/>
  <c r="AB18" i="1"/>
  <c r="W14" i="1"/>
  <c r="AB14" i="1"/>
  <c r="W9" i="1"/>
  <c r="AB9" i="1"/>
  <c r="W13" i="1"/>
  <c r="AB13" i="1"/>
  <c r="W12" i="1"/>
  <c r="AB12" i="1"/>
  <c r="W20" i="1"/>
  <c r="AB20" i="1"/>
  <c r="W22" i="1"/>
  <c r="AB22" i="1"/>
  <c r="W27" i="1"/>
  <c r="AB27" i="1"/>
  <c r="W34" i="1"/>
  <c r="AB34" i="1"/>
  <c r="W26" i="1"/>
  <c r="AB26" i="1"/>
  <c r="V27" i="1"/>
  <c r="Z27" i="1"/>
  <c r="V9" i="1"/>
  <c r="Z9" i="1"/>
  <c r="V29" i="1"/>
  <c r="Z29" i="1"/>
  <c r="V21" i="1"/>
  <c r="Z21" i="1"/>
  <c r="V11" i="1"/>
  <c r="Z11" i="1"/>
  <c r="V31" i="1"/>
  <c r="Z31" i="1"/>
  <c r="V25" i="1"/>
  <c r="Z25" i="1"/>
  <c r="V24" i="1"/>
  <c r="Z24" i="1"/>
  <c r="V28" i="1"/>
  <c r="Z28" i="1"/>
  <c r="V33" i="1"/>
  <c r="Z33" i="1"/>
  <c r="V6" i="1"/>
  <c r="Z6" i="1"/>
  <c r="V32" i="1"/>
  <c r="Z32" i="1"/>
  <c r="V35" i="1"/>
  <c r="Z35" i="1"/>
  <c r="V15" i="1"/>
  <c r="Z15" i="1"/>
  <c r="V8" i="1"/>
  <c r="Z8" i="1"/>
  <c r="V14" i="1"/>
  <c r="Z14" i="1"/>
  <c r="V17" i="1"/>
  <c r="Z17" i="1"/>
  <c r="V23" i="1"/>
  <c r="Z23" i="1"/>
  <c r="V16" i="1"/>
  <c r="Z16" i="1"/>
  <c r="V19" i="1"/>
  <c r="Z19" i="1"/>
  <c r="V12" i="1"/>
  <c r="Z12" i="1"/>
  <c r="V30" i="1"/>
  <c r="Z30" i="1"/>
  <c r="V34" i="1"/>
  <c r="Z34" i="1"/>
  <c r="V5" i="1"/>
  <c r="Z5" i="1"/>
  <c r="Z18" i="1"/>
  <c r="V7" i="1"/>
  <c r="Z7" i="1"/>
  <c r="V20" i="1"/>
  <c r="Z20" i="1"/>
  <c r="L28" i="1"/>
  <c r="T24" i="1" s="1"/>
  <c r="L44" i="1"/>
  <c r="T28" i="1" s="1"/>
  <c r="AC28" i="1" s="1"/>
  <c r="F45" i="1"/>
  <c r="L32" i="1"/>
  <c r="T25" i="1" s="1"/>
  <c r="K29" i="1"/>
  <c r="S32" i="1" s="1"/>
  <c r="AC32" i="1" s="1"/>
  <c r="K33" i="1"/>
  <c r="S33" i="1" s="1"/>
  <c r="AC33" i="1" s="1"/>
  <c r="L23" i="1"/>
  <c r="T15" i="1" s="1"/>
  <c r="F24" i="1"/>
  <c r="K32" i="1"/>
  <c r="S25" i="1" s="1"/>
  <c r="K23" i="1"/>
  <c r="S15" i="1" s="1"/>
  <c r="Z45" i="1" s="1" a="1"/>
  <c r="L17" i="1"/>
  <c r="T29" i="1" s="1"/>
  <c r="K17" i="1"/>
  <c r="S29" i="1" s="1"/>
  <c r="D73" i="1"/>
  <c r="AW8" i="1" l="1" a="1"/>
  <c r="AW9" i="1" s="1"/>
  <c r="L61" i="1"/>
  <c r="Z10" i="1"/>
  <c r="AW3" i="1" a="1"/>
  <c r="Z45" i="1"/>
  <c r="AE46" i="1" s="1"/>
  <c r="Z40" i="1" a="1"/>
  <c r="V18" i="1"/>
  <c r="V10" i="1"/>
  <c r="AB10" i="1"/>
  <c r="AC25" i="1"/>
  <c r="F62" i="1"/>
  <c r="K62" i="1" s="1"/>
  <c r="AB29" i="1"/>
  <c r="AC29" i="1"/>
  <c r="AB16" i="1"/>
  <c r="AC16" i="1"/>
  <c r="F70" i="1"/>
  <c r="K70" i="1" s="1"/>
  <c r="L69" i="1"/>
  <c r="AC24" i="1"/>
  <c r="F58" i="1"/>
  <c r="K57" i="1"/>
  <c r="W16" i="1"/>
  <c r="AC15" i="1"/>
  <c r="F66" i="1"/>
  <c r="K66" i="1" s="1"/>
  <c r="L65" i="1"/>
  <c r="W33" i="1"/>
  <c r="AB33" i="1"/>
  <c r="W25" i="1"/>
  <c r="AB25" i="1"/>
  <c r="W24" i="1"/>
  <c r="AB24" i="1"/>
  <c r="W32" i="1"/>
  <c r="AB32" i="1"/>
  <c r="W15" i="1"/>
  <c r="AB15" i="1"/>
  <c r="L45" i="1"/>
  <c r="T36" i="1" s="1"/>
  <c r="K45" i="1"/>
  <c r="S36" i="1" s="1"/>
  <c r="F25" i="1"/>
  <c r="L24" i="1"/>
  <c r="T23" i="1" s="1"/>
  <c r="K24" i="1"/>
  <c r="S23" i="1" s="1"/>
  <c r="Z50" i="1" s="1" a="1"/>
  <c r="W29" i="1"/>
  <c r="L70" i="1" l="1"/>
  <c r="AW8" i="1"/>
  <c r="AW10" i="1"/>
  <c r="AX8" i="1"/>
  <c r="AX9" i="1"/>
  <c r="AX10" i="1"/>
  <c r="AE45" i="1"/>
  <c r="AE48" i="1" s="1"/>
  <c r="U48" i="1"/>
  <c r="V48" i="1" s="1"/>
  <c r="U49" i="1"/>
  <c r="V49" i="1" s="1"/>
  <c r="U50" i="1"/>
  <c r="V50" i="1" s="1"/>
  <c r="U51" i="1"/>
  <c r="V51" i="1" s="1"/>
  <c r="U52" i="1"/>
  <c r="V52" i="1" s="1"/>
  <c r="U53" i="1"/>
  <c r="V53" i="1" s="1"/>
  <c r="U54" i="1"/>
  <c r="V54" i="1" s="1"/>
  <c r="U55" i="1"/>
  <c r="V55" i="1" s="1"/>
  <c r="AW3" i="1"/>
  <c r="AX3" i="1"/>
  <c r="AW4" i="1"/>
  <c r="AW5" i="1"/>
  <c r="AX4" i="1"/>
  <c r="AX5" i="1"/>
  <c r="BM3" i="1" a="1"/>
  <c r="BM3" i="1" s="1"/>
  <c r="AD5" i="1" s="1"/>
  <c r="AE5" i="1" s="1"/>
  <c r="Z40" i="1"/>
  <c r="AE41" i="1" s="1"/>
  <c r="Z50" i="1"/>
  <c r="AE51" i="1" s="1"/>
  <c r="AC36" i="1"/>
  <c r="BM8" i="1" a="1"/>
  <c r="BM8" i="1" s="1"/>
  <c r="L62" i="1"/>
  <c r="X17" i="1"/>
  <c r="Y17" i="1" s="1"/>
  <c r="AB23" i="1"/>
  <c r="BM13" i="1" s="1" a="1"/>
  <c r="BM13" i="1" s="1"/>
  <c r="AC23" i="1"/>
  <c r="L58" i="1"/>
  <c r="K58" i="1"/>
  <c r="D77" i="1" s="1"/>
  <c r="L66" i="1"/>
  <c r="W36" i="1"/>
  <c r="AB36" i="1"/>
  <c r="W23" i="1"/>
  <c r="AW13" i="1" a="1"/>
  <c r="L25" i="1"/>
  <c r="T31" i="1" s="1"/>
  <c r="K25" i="1"/>
  <c r="S31" i="1" s="1"/>
  <c r="Z55" i="1" s="1" a="1"/>
  <c r="X11" i="1" l="1"/>
  <c r="Y11" i="1" s="1"/>
  <c r="AE40" i="1"/>
  <c r="AE43" i="1" s="1"/>
  <c r="U45" i="1"/>
  <c r="V45" i="1" s="1"/>
  <c r="U46" i="1"/>
  <c r="V46" i="1" s="1"/>
  <c r="U47" i="1"/>
  <c r="V47" i="1" s="1"/>
  <c r="U40" i="1"/>
  <c r="V40" i="1" s="1"/>
  <c r="U41" i="1"/>
  <c r="V41" i="1" s="1"/>
  <c r="U42" i="1"/>
  <c r="V42" i="1" s="1"/>
  <c r="U43" i="1"/>
  <c r="V43" i="1" s="1"/>
  <c r="U44" i="1"/>
  <c r="V44" i="1" s="1"/>
  <c r="AE50" i="1"/>
  <c r="AE53" i="1" s="1"/>
  <c r="U56" i="1"/>
  <c r="V56" i="1" s="1"/>
  <c r="U57" i="1"/>
  <c r="V57" i="1" s="1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AD8" i="1"/>
  <c r="AE8" i="1" s="1"/>
  <c r="AE47" i="1"/>
  <c r="BR4" i="1"/>
  <c r="AD11" i="1"/>
  <c r="AE11" i="1" s="1"/>
  <c r="AD6" i="1"/>
  <c r="AE6" i="1" s="1"/>
  <c r="BR3" i="1"/>
  <c r="AD12" i="1"/>
  <c r="AE12" i="1" s="1"/>
  <c r="AD9" i="1"/>
  <c r="AE9" i="1" s="1"/>
  <c r="AD10" i="1"/>
  <c r="AE10" i="1" s="1"/>
  <c r="BB3" i="1"/>
  <c r="BB6" i="1" s="1"/>
  <c r="Z55" i="1"/>
  <c r="AD7" i="1"/>
  <c r="AE7" i="1" s="1"/>
  <c r="X5" i="1"/>
  <c r="Y5" i="1" s="1"/>
  <c r="X8" i="1"/>
  <c r="Y8" i="1" s="1"/>
  <c r="D76" i="1"/>
  <c r="BB4" i="1"/>
  <c r="X12" i="1"/>
  <c r="Y12" i="1" s="1"/>
  <c r="X9" i="1"/>
  <c r="Y9" i="1" s="1"/>
  <c r="X10" i="1"/>
  <c r="Y10" i="1" s="1"/>
  <c r="BB8" i="1"/>
  <c r="BB11" i="1" s="1"/>
  <c r="X6" i="1"/>
  <c r="Y6" i="1" s="1"/>
  <c r="X7" i="1"/>
  <c r="Y7" i="1" s="1"/>
  <c r="BR8" i="1"/>
  <c r="BR13" i="1"/>
  <c r="X15" i="1"/>
  <c r="Y15" i="1" s="1"/>
  <c r="X20" i="1"/>
  <c r="Y20" i="1" s="1"/>
  <c r="X18" i="1"/>
  <c r="Y18" i="1" s="1"/>
  <c r="X14" i="1"/>
  <c r="Y14" i="1" s="1"/>
  <c r="X19" i="1"/>
  <c r="Y19" i="1" s="1"/>
  <c r="X16" i="1"/>
  <c r="Y16" i="1" s="1"/>
  <c r="BB9" i="1"/>
  <c r="X13" i="1"/>
  <c r="Y13" i="1" s="1"/>
  <c r="AB31" i="1"/>
  <c r="BM18" i="1" s="1" a="1"/>
  <c r="BM18" i="1" s="1"/>
  <c r="BR18" i="1" s="1"/>
  <c r="AC31" i="1"/>
  <c r="AD22" i="1"/>
  <c r="AE22" i="1" s="1"/>
  <c r="BR14" i="1"/>
  <c r="AD23" i="1"/>
  <c r="AE23" i="1" s="1"/>
  <c r="AD27" i="1"/>
  <c r="AE27" i="1" s="1"/>
  <c r="AD25" i="1"/>
  <c r="AE25" i="1" s="1"/>
  <c r="AD21" i="1"/>
  <c r="AE21" i="1" s="1"/>
  <c r="AD24" i="1"/>
  <c r="AE24" i="1" s="1"/>
  <c r="AD28" i="1"/>
  <c r="AE28" i="1" s="1"/>
  <c r="AD26" i="1"/>
  <c r="AE26" i="1" s="1"/>
  <c r="AD14" i="1"/>
  <c r="AE14" i="1" s="1"/>
  <c r="BR9" i="1"/>
  <c r="AD15" i="1"/>
  <c r="AE15" i="1" s="1"/>
  <c r="AD19" i="1"/>
  <c r="AE19" i="1" s="1"/>
  <c r="AD17" i="1"/>
  <c r="AE17" i="1" s="1"/>
  <c r="AD16" i="1"/>
  <c r="AE16" i="1" s="1"/>
  <c r="AD13" i="1"/>
  <c r="AE13" i="1" s="1"/>
  <c r="AD18" i="1"/>
  <c r="AE18" i="1" s="1"/>
  <c r="AD20" i="1"/>
  <c r="AE20" i="1" s="1"/>
  <c r="W31" i="1"/>
  <c r="AW18" i="1" a="1"/>
  <c r="AX14" i="1"/>
  <c r="AW13" i="1"/>
  <c r="BB13" i="1" s="1"/>
  <c r="BB16" i="1" s="1"/>
  <c r="AX15" i="1"/>
  <c r="AW15" i="1"/>
  <c r="AX13" i="1"/>
  <c r="AW14" i="1"/>
  <c r="AE52" i="1" l="1"/>
  <c r="AE55" i="1"/>
  <c r="AE58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AE42" i="1"/>
  <c r="BB5" i="1"/>
  <c r="D80" i="1"/>
  <c r="D79" i="1"/>
  <c r="D82" i="1" s="1"/>
  <c r="AE56" i="1"/>
  <c r="AE57" i="1" s="1"/>
  <c r="BB10" i="1"/>
  <c r="AD31" i="1"/>
  <c r="AE31" i="1" s="1"/>
  <c r="BR19" i="1"/>
  <c r="AD29" i="1"/>
  <c r="AE29" i="1" s="1"/>
  <c r="AD32" i="1"/>
  <c r="AE32" i="1" s="1"/>
  <c r="AD36" i="1"/>
  <c r="AE36" i="1" s="1"/>
  <c r="AD34" i="1"/>
  <c r="AE34" i="1" s="1"/>
  <c r="AD33" i="1"/>
  <c r="AE33" i="1" s="1"/>
  <c r="AD30" i="1"/>
  <c r="AE30" i="1" s="1"/>
  <c r="AD35" i="1"/>
  <c r="AE35" i="1" s="1"/>
  <c r="BB14" i="1"/>
  <c r="BB15" i="1" s="1"/>
  <c r="X24" i="1"/>
  <c r="Y24" i="1" s="1"/>
  <c r="X21" i="1"/>
  <c r="Y21" i="1" s="1"/>
  <c r="X26" i="1"/>
  <c r="Y26" i="1" s="1"/>
  <c r="X22" i="1"/>
  <c r="Y22" i="1" s="1"/>
  <c r="X28" i="1"/>
  <c r="Y28" i="1" s="1"/>
  <c r="X27" i="1"/>
  <c r="Y27" i="1" s="1"/>
  <c r="X25" i="1"/>
  <c r="Y25" i="1" s="1"/>
  <c r="X23" i="1"/>
  <c r="Y23" i="1" s="1"/>
  <c r="AW18" i="1"/>
  <c r="BB18" i="1" s="1"/>
  <c r="BB21" i="1" s="1"/>
  <c r="AX18" i="1"/>
  <c r="AW19" i="1"/>
  <c r="AX19" i="1"/>
  <c r="AW20" i="1"/>
  <c r="AX20" i="1"/>
  <c r="D81" i="1" l="1"/>
  <c r="BB19" i="1"/>
  <c r="BB20" i="1" s="1"/>
  <c r="X33" i="1"/>
  <c r="Y33" i="1" s="1"/>
  <c r="X31" i="1"/>
  <c r="Y31" i="1" s="1"/>
  <c r="X34" i="1"/>
  <c r="Y34" i="1" s="1"/>
  <c r="X30" i="1"/>
  <c r="Y30" i="1" s="1"/>
  <c r="X35" i="1"/>
  <c r="Y35" i="1" s="1"/>
  <c r="X36" i="1"/>
  <c r="Y36" i="1" s="1"/>
  <c r="X32" i="1"/>
  <c r="Y32" i="1" s="1"/>
  <c r="X29" i="1"/>
  <c r="Y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<sst xmlns="http://schemas.openxmlformats.org/spreadsheetml/2006/main" count="190" uniqueCount="68">
  <si>
    <t>Ensaio</t>
  </si>
  <si>
    <t>Dados</t>
  </si>
  <si>
    <t>Valor</t>
  </si>
  <si>
    <t>m</t>
  </si>
  <si>
    <t>b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</si>
  <si>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</si>
  <si>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R (m)</t>
  </si>
  <si>
    <t>L (m)</t>
  </si>
  <si>
    <t>9.1</t>
  </si>
  <si>
    <t>9.2</t>
  </si>
  <si>
    <t>9.3</t>
  </si>
  <si>
    <t>9.4</t>
  </si>
  <si>
    <t>V = 20ml</t>
  </si>
  <si>
    <t>V = 5ml</t>
  </si>
  <si>
    <t>V = 10ml</t>
  </si>
  <si>
    <t>V = 15 ml</t>
  </si>
  <si>
    <t>Medições Experimentais:</t>
  </si>
  <si>
    <t>Ajustes Originais para cada V:</t>
  </si>
  <si>
    <t>Medida Estatística:</t>
  </si>
  <si>
    <t>Gráficos Obtidos para os Ajustes Originais:</t>
  </si>
  <si>
    <r>
      <t>g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</si>
  <si>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u(h) /m</t>
  </si>
  <si>
    <t>u(P) /Pa</t>
  </si>
  <si>
    <t>u</t>
  </si>
  <si>
    <r>
      <t>Q /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</si>
  <si>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r>
      <t>u(Q) / 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/s</t>
    </r>
  </si>
  <si>
    <t>P̅ /Pa</t>
  </si>
  <si>
    <r>
      <t>Q̅ / 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/s</t>
    </r>
  </si>
  <si>
    <t>u(P̅) /Pa</t>
  </si>
  <si>
    <r>
      <t>u(Q̅) / 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/s</t>
    </r>
  </si>
  <si>
    <r>
      <t>V</t>
    </r>
    <r>
      <rPr>
        <vertAlign val="subscript"/>
        <sz val="11"/>
        <color theme="1"/>
        <rFont val="Calibri"/>
        <family val="2"/>
        <scheme val="minor"/>
      </rPr>
      <t>água</t>
    </r>
    <r>
      <rPr>
        <sz val="11"/>
        <color theme="1"/>
        <rFont val="Calibri"/>
        <family val="2"/>
        <scheme val="minor"/>
      </rPr>
      <t xml:space="preserve"> /mm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</si>
  <si>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V</t>
    </r>
    <r>
      <rPr>
        <vertAlign val="subscript"/>
        <sz val="11"/>
        <color theme="1"/>
        <rFont val="Calibri"/>
        <family val="2"/>
        <scheme val="minor"/>
      </rPr>
      <t>água</t>
    </r>
    <r>
      <rPr>
        <sz val="11"/>
        <color theme="1"/>
        <rFont val="Calibri"/>
        <family val="2"/>
        <scheme val="minor"/>
      </rPr>
      <t xml:space="preserve"> 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± 0.25 cm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</si>
  <si>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V</t>
    </r>
    <r>
      <rPr>
        <vertAlign val="subscript"/>
        <sz val="11"/>
        <color theme="1"/>
        <rFont val="Calibri"/>
        <family val="2"/>
        <scheme val="minor"/>
      </rPr>
      <t>água</t>
    </r>
    <r>
      <rPr>
        <sz val="11"/>
        <color theme="1"/>
        <rFont val="Calibri"/>
        <family val="2"/>
        <scheme val="minor"/>
      </rPr>
      <t xml:space="preserve"> 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± 2.5x10-7 m</t>
    </r>
    <r>
      <rPr>
        <vertAlign val="superscript"/>
        <sz val="11"/>
        <color theme="1"/>
        <rFont val="Calibri"/>
        <family val="2"/>
        <scheme val="minor"/>
      </rPr>
      <t>3</t>
    </r>
  </si>
  <si>
    <t>t /s ± 0.01 s</t>
  </si>
  <si>
    <r>
      <t>h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/cm ± 0.05 cm</t>
    </r>
  </si>
  <si>
    <r>
      <t>h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/cm ± 0.05 cm</t>
    </r>
  </si>
  <si>
    <t>T /ºC± 0.1 ºC</t>
  </si>
  <si>
    <r>
      <t>V</t>
    </r>
    <r>
      <rPr>
        <vertAlign val="subscript"/>
        <sz val="11"/>
        <color theme="1"/>
        <rFont val="Calibri"/>
        <family val="2"/>
        <scheme val="minor"/>
      </rPr>
      <t>água</t>
    </r>
    <r>
      <rPr>
        <sz val="11"/>
        <color theme="1"/>
        <rFont val="Calibri"/>
        <family val="2"/>
        <scheme val="minor"/>
      </rPr>
      <t xml:space="preserve"> /cm</t>
    </r>
    <r>
      <rPr>
        <vertAlign val="super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± 0.25 cm</t>
    </r>
    <r>
      <rPr>
        <vertAlign val="superscript"/>
        <sz val="11"/>
        <color theme="1"/>
        <rFont val="Calibri"/>
        <family val="2"/>
        <scheme val="minor"/>
      </rPr>
      <t>3</t>
    </r>
  </si>
  <si>
    <t>T /ºC ± 0.1 ºC</t>
  </si>
  <si>
    <r>
      <t>h /m ± 7x10</t>
    </r>
    <r>
      <rPr>
        <vertAlign val="superscript"/>
        <sz val="11"/>
        <color theme="1"/>
        <rFont val="Calibri"/>
        <family val="2"/>
        <scheme val="minor"/>
      </rPr>
      <t xml:space="preserve">-4 </t>
    </r>
    <r>
      <rPr>
        <sz val="11"/>
        <color theme="1"/>
        <rFont val="Calibri"/>
        <family val="2"/>
        <scheme val="minor"/>
      </rPr>
      <t>m</t>
    </r>
  </si>
  <si>
    <t>Resíduos de P /Pa</t>
  </si>
  <si>
    <r>
      <t>T</t>
    </r>
    <r>
      <rPr>
        <sz val="11"/>
        <color theme="1"/>
        <rFont val="Calibri"/>
        <family val="2"/>
      </rPr>
      <t>̅ /ºC</t>
    </r>
  </si>
  <si>
    <r>
      <t>V</t>
    </r>
    <r>
      <rPr>
        <vertAlign val="subscript"/>
        <sz val="11"/>
        <color theme="1"/>
        <rFont val="Calibri"/>
        <family val="2"/>
        <scheme val="minor"/>
      </rPr>
      <t>água</t>
    </r>
    <r>
      <rPr>
        <sz val="11"/>
        <color theme="1"/>
        <rFont val="Calibri"/>
        <family val="2"/>
        <scheme val="minor"/>
      </rPr>
      <t xml:space="preserve"> 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± 2.5x10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</si>
  <si>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ρ</t>
    </r>
    <r>
      <rPr>
        <sz val="10.9"/>
        <color theme="1"/>
        <rFont val="Calibri"/>
        <family val="2"/>
      </rPr>
      <t xml:space="preserve"> (kg/m</t>
    </r>
    <r>
      <rPr>
        <vertAlign val="superscript"/>
        <sz val="10.9"/>
        <color theme="1"/>
        <rFont val="Calibri"/>
        <family val="2"/>
      </rPr>
      <t>3</t>
    </r>
    <r>
      <rPr>
        <sz val="10.9"/>
        <color theme="1"/>
        <rFont val="Calibri"/>
        <family val="2"/>
      </rPr>
      <t>)</t>
    </r>
  </si>
  <si>
    <t>---------------------------</t>
  </si>
  <si>
    <t>log(P)</t>
  </si>
  <si>
    <t>log(Q)</t>
  </si>
  <si>
    <t>u(η) %</t>
  </si>
  <si>
    <r>
      <rPr>
        <sz val="11"/>
        <color theme="1"/>
        <rFont val="Calibri"/>
        <family val="2"/>
      </rPr>
      <t>η</t>
    </r>
    <r>
      <rPr>
        <sz val="9.6999999999999993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(Pa.s)</t>
    </r>
  </si>
  <si>
    <t>Er(η) %</t>
  </si>
  <si>
    <t>η /Pa.s</t>
  </si>
  <si>
    <t>u(η) /Pa.s</t>
  </si>
  <si>
    <r>
      <t>log(P)|</t>
    </r>
    <r>
      <rPr>
        <vertAlign val="subscript"/>
        <sz val="11"/>
        <color theme="1"/>
        <rFont val="Calibri"/>
        <family val="2"/>
      </rPr>
      <t>ajuste</t>
    </r>
  </si>
  <si>
    <t>Resíduos de log(P)</t>
  </si>
  <si>
    <r>
      <t>s</t>
    </r>
    <r>
      <rPr>
        <vertAlign val="subscript"/>
        <sz val="11"/>
        <color theme="1"/>
        <rFont val="Calibri"/>
        <family val="2"/>
      </rPr>
      <t>m</t>
    </r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</si>
  <si>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</si>
  <si>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</si>
  <si>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t>u(log(P))</t>
  </si>
  <si>
    <t>u(log(Q)</t>
  </si>
  <si>
    <r>
      <t>Er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(m)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</si>
  <si>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(m)</t>
    </r>
  </si>
  <si>
    <t>P /Pa ± 7 Pa</t>
  </si>
  <si>
    <r>
      <t>η</t>
    </r>
    <r>
      <rPr>
        <vertAlign val="subscript"/>
        <sz val="11"/>
        <color theme="1"/>
        <rFont val="Calibri"/>
        <family val="2"/>
      </rPr>
      <t>teórico</t>
    </r>
    <r>
      <rPr>
        <sz val="11"/>
        <color theme="1"/>
        <rFont val="Calibri"/>
        <family val="2"/>
      </rPr>
      <t xml:space="preserve"> /Pa.s</t>
    </r>
  </si>
  <si>
    <r>
      <t>ρ (kg/m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)</t>
    </r>
  </si>
  <si>
    <r>
      <t>P</t>
    </r>
    <r>
      <rPr>
        <vertAlign val="subscript"/>
        <sz val="11"/>
        <color theme="1"/>
        <rFont val="Calibri"/>
        <family val="2"/>
      </rPr>
      <t>ajuste-1</t>
    </r>
    <r>
      <rPr>
        <sz val="11"/>
        <color theme="1"/>
        <rFont val="Calibri"/>
        <family val="2"/>
      </rPr>
      <t xml:space="preserve"> /kPa</t>
    </r>
  </si>
  <si>
    <r>
      <t>P</t>
    </r>
    <r>
      <rPr>
        <vertAlign val="subscript"/>
        <sz val="11"/>
        <color theme="1"/>
        <rFont val="Calibri"/>
        <family val="2"/>
      </rPr>
      <t>ajuste-2</t>
    </r>
    <r>
      <rPr>
        <sz val="11"/>
        <color theme="1"/>
        <rFont val="Calibri"/>
        <family val="2"/>
      </rPr>
      <t xml:space="preserve"> /Pa</t>
    </r>
  </si>
  <si>
    <t>P /kPa ± 7 Pa</t>
  </si>
  <si>
    <r>
      <t>Q / mm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</si>
</sst>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E+00"/>
    <numFmt numFmtId="166" formatCode="0E+00"/>
    <numFmt numFmtId="167" formatCode="0.000E+00"/>
    <numFmt numFmtId="168" formatCode="0.0000"/>
    <numFmt numFmtId="169" formatCode="0.000"/>
    <numFmt numFmtId="170" formatCode="0.00000"/>
    <numFmt numFmtId="171" formatCode="0.0000000"/>
    <numFmt numFmtId="172" formatCode="0.000000"/>
  </numFmts>
  <fonts count="1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10.9"/>
      <color theme="1"/>
      <name val="Calibri"/>
      <family val="2"/>
    </font>
    <font>
      <vertAlign val="superscript"/>
      <sz val="10.9"/>
      <color theme="1"/>
      <name val="Calibri"/>
      <family val="2"/>
    </font>
    <font>
      <sz val="9.6999999999999993"/>
      <color theme="1"/>
      <name val="Calibri"/>
      <family val="2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0">
    <xf numFmtId="0" fontId="0" fillId="0" borderId="0" xfId="0"/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0" fontId="0" fillId="2" borderId="15" xfId="0" applyFill="1" applyBorder="1"/>
    <xf numFmtId="2" fontId="0" fillId="2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15" xfId="0" applyFill="1" applyBorder="1"/>
    <xf numFmtId="0" fontId="0" fillId="6" borderId="15" xfId="0" applyFill="1" applyBorder="1"/>
    <xf numFmtId="0" fontId="0" fillId="5" borderId="15" xfId="0" applyFill="1" applyBorder="1"/>
    <xf numFmtId="0" fontId="0" fillId="4" borderId="6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/>
    </xf>
    <xf numFmtId="2" fontId="0" fillId="6" borderId="7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164" fontId="0" fillId="6" borderId="13" xfId="0" applyNumberFormat="1" applyFill="1" applyBorder="1" applyAlignment="1">
      <alignment horizontal="center"/>
    </xf>
    <xf numFmtId="2" fontId="0" fillId="6" borderId="8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2" fontId="0" fillId="5" borderId="8" xfId="0" applyNumberFormat="1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2" fontId="0" fillId="4" borderId="20" xfId="0" applyNumberFormat="1" applyFill="1" applyBorder="1" applyAlignment="1">
      <alignment horizontal="center"/>
    </xf>
    <xf numFmtId="2" fontId="0" fillId="6" borderId="21" xfId="0" applyNumberFormat="1" applyFill="1" applyBorder="1" applyAlignment="1">
      <alignment horizontal="center"/>
    </xf>
    <xf numFmtId="2" fontId="0" fillId="2" borderId="21" xfId="0" applyNumberFormat="1" applyFill="1" applyBorder="1" applyAlignment="1">
      <alignment horizontal="center"/>
    </xf>
    <xf numFmtId="2" fontId="0" fillId="5" borderId="22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1" fontId="0" fillId="6" borderId="7" xfId="0" applyNumberFormat="1" applyFill="1" applyBorder="1" applyAlignment="1">
      <alignment horizontal="center"/>
    </xf>
    <xf numFmtId="11" fontId="0" fillId="2" borderId="7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1" fontId="0" fillId="5" borderId="8" xfId="0" applyNumberFormat="1" applyFill="1" applyBorder="1" applyAlignment="1">
      <alignment horizontal="center"/>
    </xf>
    <xf numFmtId="165" fontId="0" fillId="6" borderId="7" xfId="0" applyNumberFormat="1" applyFill="1" applyBorder="1" applyAlignment="1">
      <alignment horizontal="center"/>
    </xf>
    <xf numFmtId="165" fontId="0" fillId="5" borderId="8" xfId="0" applyNumberFormat="1" applyFill="1" applyBorder="1" applyAlignment="1">
      <alignment horizontal="center"/>
    </xf>
    <xf numFmtId="11" fontId="0" fillId="4" borderId="6" xfId="0" applyNumberFormat="1" applyFill="1" applyBorder="1" applyAlignment="1">
      <alignment horizontal="center"/>
    </xf>
    <xf numFmtId="167" fontId="0" fillId="4" borderId="6" xfId="0" applyNumberFormat="1" applyFill="1" applyBorder="1" applyAlignment="1">
      <alignment horizontal="center"/>
    </xf>
    <xf numFmtId="167" fontId="0" fillId="6" borderId="7" xfId="0" applyNumberFormat="1" applyFill="1" applyBorder="1" applyAlignment="1">
      <alignment horizontal="center"/>
    </xf>
    <xf numFmtId="167" fontId="0" fillId="2" borderId="7" xfId="0" applyNumberFormat="1" applyFill="1" applyBorder="1" applyAlignment="1">
      <alignment horizontal="center"/>
    </xf>
    <xf numFmtId="167" fontId="0" fillId="5" borderId="8" xfId="0" applyNumberFormat="1" applyFill="1" applyBorder="1" applyAlignment="1">
      <alignment horizontal="center"/>
    </xf>
    <xf numFmtId="0" fontId="0" fillId="11" borderId="15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0" fillId="12" borderId="23" xfId="0" applyFill="1" applyBorder="1"/>
    <xf numFmtId="168" fontId="0" fillId="11" borderId="24" xfId="0" applyNumberFormat="1" applyFill="1" applyBorder="1"/>
    <xf numFmtId="166" fontId="0" fillId="4" borderId="7" xfId="0" applyNumberFormat="1" applyFill="1" applyBorder="1" applyAlignment="1">
      <alignment horizontal="center"/>
    </xf>
    <xf numFmtId="168" fontId="0" fillId="4" borderId="8" xfId="0" applyNumberFormat="1" applyFill="1" applyBorder="1" applyAlignment="1">
      <alignment horizontal="center"/>
    </xf>
    <xf numFmtId="11" fontId="0" fillId="6" borderId="6" xfId="0" applyNumberFormat="1" applyFill="1" applyBorder="1" applyAlignment="1">
      <alignment horizontal="center"/>
    </xf>
    <xf numFmtId="11" fontId="0" fillId="2" borderId="6" xfId="0" applyNumberFormat="1" applyFill="1" applyBorder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166" fontId="0" fillId="6" borderId="7" xfId="0" applyNumberFormat="1" applyFill="1" applyBorder="1" applyAlignment="1">
      <alignment horizontal="center"/>
    </xf>
    <xf numFmtId="1" fontId="0" fillId="6" borderId="7" xfId="0" applyNumberFormat="1" applyFill="1" applyBorder="1" applyAlignment="1">
      <alignment horizontal="center"/>
    </xf>
    <xf numFmtId="1" fontId="0" fillId="6" borderId="6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/>
    </xf>
    <xf numFmtId="168" fontId="0" fillId="2" borderId="7" xfId="0" applyNumberFormat="1" applyFill="1" applyBorder="1" applyAlignment="1">
      <alignment horizontal="center"/>
    </xf>
    <xf numFmtId="168" fontId="0" fillId="2" borderId="8" xfId="0" applyNumberFormat="1" applyFill="1" applyBorder="1" applyAlignment="1">
      <alignment horizontal="center"/>
    </xf>
    <xf numFmtId="168" fontId="0" fillId="6" borderId="8" xfId="0" applyNumberFormat="1" applyFill="1" applyBorder="1" applyAlignment="1">
      <alignment horizontal="center"/>
    </xf>
    <xf numFmtId="168" fontId="0" fillId="4" borderId="6" xfId="0" applyNumberFormat="1" applyFill="1" applyBorder="1" applyAlignment="1">
      <alignment horizontal="center"/>
    </xf>
    <xf numFmtId="168" fontId="0" fillId="6" borderId="7" xfId="0" applyNumberFormat="1" applyFill="1" applyBorder="1" applyAlignment="1">
      <alignment horizontal="center"/>
    </xf>
    <xf numFmtId="166" fontId="0" fillId="4" borderId="6" xfId="0" applyNumberFormat="1" applyFill="1" applyBorder="1" applyAlignment="1">
      <alignment horizontal="center"/>
    </xf>
    <xf numFmtId="166" fontId="0" fillId="5" borderId="8" xfId="0" applyNumberFormat="1" applyFill="1" applyBorder="1" applyAlignment="1">
      <alignment horizontal="center"/>
    </xf>
    <xf numFmtId="165" fontId="0" fillId="4" borderId="7" xfId="0" applyNumberFormat="1" applyFill="1" applyBorder="1" applyAlignment="1">
      <alignment horizontal="center"/>
    </xf>
    <xf numFmtId="166" fontId="0" fillId="6" borderId="6" xfId="0" applyNumberFormat="1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7" fontId="0" fillId="6" borderId="10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1" fontId="0" fillId="4" borderId="6" xfId="0" applyNumberFormat="1" applyFill="1" applyBorder="1" applyAlignment="1">
      <alignment horizontal="center" vertical="center"/>
    </xf>
    <xf numFmtId="0" fontId="3" fillId="12" borderId="16" xfId="0" applyFont="1" applyFill="1" applyBorder="1"/>
    <xf numFmtId="0" fontId="3" fillId="12" borderId="18" xfId="0" applyFont="1" applyFill="1" applyBorder="1"/>
    <xf numFmtId="0" fontId="0" fillId="12" borderId="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3" fillId="12" borderId="27" xfId="0" applyFont="1" applyFill="1" applyBorder="1" applyAlignment="1">
      <alignment horizontal="center"/>
    </xf>
    <xf numFmtId="167" fontId="0" fillId="6" borderId="7" xfId="0" applyNumberFormat="1" applyFill="1" applyBorder="1" applyAlignment="1">
      <alignment horizontal="center" vertical="center"/>
    </xf>
    <xf numFmtId="167" fontId="0" fillId="2" borderId="7" xfId="0" applyNumberFormat="1" applyFill="1" applyBorder="1" applyAlignment="1">
      <alignment horizontal="center" vertical="center"/>
    </xf>
    <xf numFmtId="167" fontId="0" fillId="5" borderId="8" xfId="0" applyNumberFormat="1" applyFill="1" applyBorder="1" applyAlignment="1">
      <alignment horizontal="center" vertical="center"/>
    </xf>
    <xf numFmtId="167" fontId="0" fillId="4" borderId="9" xfId="0" applyNumberFormat="1" applyFill="1" applyBorder="1" applyAlignment="1">
      <alignment horizontal="center"/>
    </xf>
    <xf numFmtId="167" fontId="0" fillId="2" borderId="10" xfId="0" applyNumberFormat="1" applyFill="1" applyBorder="1" applyAlignment="1">
      <alignment horizontal="center"/>
    </xf>
    <xf numFmtId="167" fontId="0" fillId="5" borderId="11" xfId="0" applyNumberFormat="1" applyFill="1" applyBorder="1" applyAlignment="1">
      <alignment horizontal="center"/>
    </xf>
    <xf numFmtId="0" fontId="6" fillId="0" borderId="0" xfId="0" applyFont="1"/>
    <xf numFmtId="0" fontId="3" fillId="12" borderId="28" xfId="0" applyFont="1" applyFill="1" applyBorder="1" applyAlignment="1">
      <alignment horizontal="center"/>
    </xf>
    <xf numFmtId="168" fontId="0" fillId="9" borderId="7" xfId="0" applyNumberFormat="1" applyFill="1" applyBorder="1" applyAlignment="1">
      <alignment horizontal="center"/>
    </xf>
    <xf numFmtId="168" fontId="0" fillId="4" borderId="7" xfId="0" applyNumberFormat="1" applyFill="1" applyBorder="1" applyAlignment="1">
      <alignment horizontal="center"/>
    </xf>
    <xf numFmtId="168" fontId="0" fillId="9" borderId="8" xfId="0" applyNumberFormat="1" applyFill="1" applyBorder="1" applyAlignment="1">
      <alignment horizontal="center"/>
    </xf>
    <xf numFmtId="168" fontId="0" fillId="6" borderId="6" xfId="0" applyNumberFormat="1" applyFill="1" applyBorder="1" applyAlignment="1">
      <alignment horizontal="center"/>
    </xf>
    <xf numFmtId="168" fontId="0" fillId="10" borderId="7" xfId="0" applyNumberFormat="1" applyFill="1" applyBorder="1" applyAlignment="1">
      <alignment horizontal="center"/>
    </xf>
    <xf numFmtId="168" fontId="0" fillId="10" borderId="8" xfId="0" applyNumberFormat="1" applyFill="1" applyBorder="1" applyAlignment="1">
      <alignment horizontal="center"/>
    </xf>
    <xf numFmtId="168" fontId="0" fillId="3" borderId="7" xfId="0" applyNumberFormat="1" applyFill="1" applyBorder="1" applyAlignment="1">
      <alignment horizontal="center"/>
    </xf>
    <xf numFmtId="168" fontId="0" fillId="3" borderId="8" xfId="0" applyNumberFormat="1" applyFill="1" applyBorder="1" applyAlignment="1">
      <alignment horizontal="center"/>
    </xf>
    <xf numFmtId="168" fontId="0" fillId="8" borderId="6" xfId="0" applyNumberFormat="1" applyFill="1" applyBorder="1" applyAlignment="1">
      <alignment horizontal="center"/>
    </xf>
    <xf numFmtId="168" fontId="0" fillId="7" borderId="7" xfId="0" applyNumberFormat="1" applyFill="1" applyBorder="1" applyAlignment="1">
      <alignment horizontal="center"/>
    </xf>
    <xf numFmtId="168" fontId="0" fillId="8" borderId="7" xfId="0" applyNumberFormat="1" applyFill="1" applyBorder="1" applyAlignment="1">
      <alignment horizontal="center"/>
    </xf>
    <xf numFmtId="168" fontId="0" fillId="7" borderId="8" xfId="0" applyNumberFormat="1" applyFill="1" applyBorder="1" applyAlignment="1">
      <alignment horizontal="center"/>
    </xf>
    <xf numFmtId="164" fontId="0" fillId="9" borderId="7" xfId="0" applyNumberFormat="1" applyFill="1" applyBorder="1" applyAlignment="1">
      <alignment horizontal="center"/>
    </xf>
    <xf numFmtId="164" fontId="0" fillId="9" borderId="8" xfId="0" applyNumberFormat="1" applyFill="1" applyBorder="1" applyAlignment="1">
      <alignment horizontal="center"/>
    </xf>
    <xf numFmtId="164" fontId="0" fillId="10" borderId="7" xfId="0" applyNumberFormat="1" applyFill="1" applyBorder="1" applyAlignment="1">
      <alignment horizontal="center"/>
    </xf>
    <xf numFmtId="164" fontId="0" fillId="10" borderId="8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4" fontId="0" fillId="8" borderId="6" xfId="0" applyNumberFormat="1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164" fontId="0" fillId="7" borderId="8" xfId="0" applyNumberFormat="1" applyFill="1" applyBorder="1" applyAlignment="1">
      <alignment horizontal="center"/>
    </xf>
    <xf numFmtId="11" fontId="0" fillId="3" borderId="7" xfId="0" applyNumberFormat="1" applyFill="1" applyBorder="1" applyAlignment="1">
      <alignment horizontal="center"/>
    </xf>
    <xf numFmtId="11" fontId="0" fillId="8" borderId="6" xfId="0" applyNumberFormat="1" applyFill="1" applyBorder="1" applyAlignment="1">
      <alignment horizontal="center"/>
    </xf>
    <xf numFmtId="11" fontId="0" fillId="7" borderId="7" xfId="0" applyNumberFormat="1" applyFill="1" applyBorder="1" applyAlignment="1">
      <alignment horizontal="center"/>
    </xf>
    <xf numFmtId="11" fontId="0" fillId="8" borderId="7" xfId="0" applyNumberFormat="1" applyFill="1" applyBorder="1" applyAlignment="1">
      <alignment horizontal="center"/>
    </xf>
    <xf numFmtId="11" fontId="0" fillId="7" borderId="8" xfId="0" applyNumberFormat="1" applyFill="1" applyBorder="1" applyAlignment="1">
      <alignment horizontal="center"/>
    </xf>
    <xf numFmtId="165" fontId="0" fillId="9" borderId="7" xfId="0" applyNumberFormat="1" applyFill="1" applyBorder="1" applyAlignment="1">
      <alignment horizontal="center"/>
    </xf>
    <xf numFmtId="165" fontId="0" fillId="9" borderId="8" xfId="0" applyNumberFormat="1" applyFill="1" applyBorder="1" applyAlignment="1">
      <alignment horizontal="center"/>
    </xf>
    <xf numFmtId="165" fontId="0" fillId="10" borderId="7" xfId="0" applyNumberFormat="1" applyFill="1" applyBorder="1" applyAlignment="1">
      <alignment horizontal="center"/>
    </xf>
    <xf numFmtId="165" fontId="0" fillId="10" borderId="8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7" borderId="7" xfId="0" applyNumberFormat="1" applyFill="1" applyBorder="1" applyAlignment="1">
      <alignment horizontal="center"/>
    </xf>
    <xf numFmtId="166" fontId="0" fillId="9" borderId="7" xfId="0" applyNumberFormat="1" applyFill="1" applyBorder="1" applyAlignment="1">
      <alignment horizontal="center"/>
    </xf>
    <xf numFmtId="166" fontId="0" fillId="9" borderId="8" xfId="0" applyNumberFormat="1" applyFill="1" applyBorder="1" applyAlignment="1">
      <alignment horizontal="center"/>
    </xf>
    <xf numFmtId="166" fontId="0" fillId="10" borderId="7" xfId="0" applyNumberFormat="1" applyFill="1" applyBorder="1" applyAlignment="1">
      <alignment horizontal="center"/>
    </xf>
    <xf numFmtId="166" fontId="0" fillId="10" borderId="8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8" borderId="6" xfId="0" applyNumberFormat="1" applyFill="1" applyBorder="1" applyAlignment="1">
      <alignment horizontal="center"/>
    </xf>
    <xf numFmtId="166" fontId="0" fillId="7" borderId="7" xfId="0" applyNumberFormat="1" applyFill="1" applyBorder="1" applyAlignment="1">
      <alignment horizontal="center"/>
    </xf>
    <xf numFmtId="166" fontId="0" fillId="8" borderId="7" xfId="0" applyNumberFormat="1" applyFill="1" applyBorder="1" applyAlignment="1">
      <alignment horizontal="center"/>
    </xf>
    <xf numFmtId="166" fontId="0" fillId="7" borderId="8" xfId="0" applyNumberFormat="1" applyFill="1" applyBorder="1" applyAlignment="1">
      <alignment horizontal="center"/>
    </xf>
    <xf numFmtId="168" fontId="0" fillId="6" borderId="20" xfId="0" applyNumberFormat="1" applyFill="1" applyBorder="1" applyAlignment="1">
      <alignment horizontal="center"/>
    </xf>
    <xf numFmtId="168" fontId="0" fillId="6" borderId="21" xfId="0" applyNumberFormat="1" applyFill="1" applyBorder="1" applyAlignment="1">
      <alignment horizontal="center"/>
    </xf>
    <xf numFmtId="168" fontId="0" fillId="2" borderId="20" xfId="0" applyNumberFormat="1" applyFill="1" applyBorder="1" applyAlignment="1">
      <alignment horizontal="center"/>
    </xf>
    <xf numFmtId="168" fontId="0" fillId="3" borderId="21" xfId="0" applyNumberFormat="1" applyFill="1" applyBorder="1" applyAlignment="1">
      <alignment horizontal="center"/>
    </xf>
    <xf numFmtId="168" fontId="0" fillId="2" borderId="21" xfId="0" applyNumberFormat="1" applyFill="1" applyBorder="1" applyAlignment="1">
      <alignment horizontal="center"/>
    </xf>
    <xf numFmtId="168" fontId="0" fillId="8" borderId="20" xfId="0" applyNumberFormat="1" applyFill="1" applyBorder="1" applyAlignment="1">
      <alignment horizontal="center"/>
    </xf>
    <xf numFmtId="168" fontId="0" fillId="7" borderId="21" xfId="0" applyNumberFormat="1" applyFill="1" applyBorder="1" applyAlignment="1">
      <alignment horizontal="center"/>
    </xf>
    <xf numFmtId="168" fontId="0" fillId="8" borderId="21" xfId="0" applyNumberFormat="1" applyFill="1" applyBorder="1" applyAlignment="1">
      <alignment horizontal="center"/>
    </xf>
    <xf numFmtId="168" fontId="0" fillId="7" borderId="22" xfId="0" applyNumberFormat="1" applyFill="1" applyBorder="1" applyAlignment="1">
      <alignment horizontal="center"/>
    </xf>
    <xf numFmtId="169" fontId="0" fillId="4" borderId="20" xfId="0" applyNumberFormat="1" applyFill="1" applyBorder="1" applyAlignment="1">
      <alignment horizontal="center"/>
    </xf>
    <xf numFmtId="169" fontId="0" fillId="9" borderId="21" xfId="0" applyNumberFormat="1" applyFill="1" applyBorder="1" applyAlignment="1">
      <alignment horizontal="center"/>
    </xf>
    <xf numFmtId="169" fontId="0" fillId="4" borderId="21" xfId="0" applyNumberFormat="1" applyFill="1" applyBorder="1" applyAlignment="1">
      <alignment horizontal="center"/>
    </xf>
    <xf numFmtId="169" fontId="0" fillId="9" borderId="22" xfId="0" applyNumberFormat="1" applyFill="1" applyBorder="1" applyAlignment="1">
      <alignment horizontal="center"/>
    </xf>
    <xf numFmtId="169" fontId="0" fillId="10" borderId="21" xfId="0" applyNumberFormat="1" applyFill="1" applyBorder="1" applyAlignment="1">
      <alignment horizontal="center"/>
    </xf>
    <xf numFmtId="169" fontId="0" fillId="6" borderId="21" xfId="0" applyNumberFormat="1" applyFill="1" applyBorder="1" applyAlignment="1">
      <alignment horizontal="center"/>
    </xf>
    <xf numFmtId="169" fontId="0" fillId="10" borderId="22" xfId="0" applyNumberFormat="1" applyFill="1" applyBorder="1" applyAlignment="1">
      <alignment horizontal="center"/>
    </xf>
    <xf numFmtId="169" fontId="0" fillId="3" borderId="21" xfId="0" applyNumberFormat="1" applyFill="1" applyBorder="1" applyAlignment="1">
      <alignment horizontal="center"/>
    </xf>
    <xf numFmtId="169" fontId="0" fillId="2" borderId="21" xfId="0" applyNumberFormat="1" applyFill="1" applyBorder="1" applyAlignment="1">
      <alignment horizontal="center"/>
    </xf>
    <xf numFmtId="169" fontId="0" fillId="3" borderId="22" xfId="0" applyNumberFormat="1" applyFill="1" applyBorder="1" applyAlignment="1">
      <alignment horizontal="center"/>
    </xf>
    <xf numFmtId="169" fontId="0" fillId="7" borderId="21" xfId="0" applyNumberFormat="1" applyFill="1" applyBorder="1" applyAlignment="1">
      <alignment horizontal="center"/>
    </xf>
    <xf numFmtId="0" fontId="3" fillId="12" borderId="23" xfId="0" applyFont="1" applyFill="1" applyBorder="1" applyAlignment="1">
      <alignment horizontal="center"/>
    </xf>
    <xf numFmtId="0" fontId="0" fillId="11" borderId="24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/>
    </xf>
    <xf numFmtId="0" fontId="3" fillId="12" borderId="30" xfId="0" applyFont="1" applyFill="1" applyBorder="1" applyAlignment="1">
      <alignment horizontal="center"/>
    </xf>
    <xf numFmtId="166" fontId="0" fillId="4" borderId="12" xfId="0" applyNumberFormat="1" applyFill="1" applyBorder="1" applyAlignment="1">
      <alignment horizontal="center"/>
    </xf>
    <xf numFmtId="166" fontId="0" fillId="6" borderId="13" xfId="0" applyNumberFormat="1" applyFill="1" applyBorder="1" applyAlignment="1">
      <alignment horizontal="center"/>
    </xf>
    <xf numFmtId="166" fontId="0" fillId="2" borderId="13" xfId="0" applyNumberFormat="1" applyFill="1" applyBorder="1" applyAlignment="1">
      <alignment horizontal="center"/>
    </xf>
    <xf numFmtId="166" fontId="0" fillId="5" borderId="14" xfId="0" applyNumberFormat="1" applyFill="1" applyBorder="1" applyAlignment="1">
      <alignment horizontal="center"/>
    </xf>
    <xf numFmtId="164" fontId="0" fillId="0" borderId="0" xfId="0" applyNumberFormat="1"/>
    <xf numFmtId="168" fontId="0" fillId="11" borderId="15" xfId="0" applyNumberForma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165" fontId="0" fillId="4" borderId="17" xfId="0" applyNumberFormat="1" applyFill="1" applyBorder="1" applyAlignment="1">
      <alignment horizontal="center" vertical="center"/>
    </xf>
    <xf numFmtId="166" fontId="0" fillId="4" borderId="32" xfId="0" applyNumberFormat="1" applyFill="1" applyBorder="1" applyAlignment="1">
      <alignment horizontal="center" vertical="center"/>
    </xf>
    <xf numFmtId="2" fontId="0" fillId="4" borderId="32" xfId="0" applyNumberFormat="1" applyFill="1" applyBorder="1" applyAlignment="1">
      <alignment horizontal="center" vertical="center"/>
    </xf>
    <xf numFmtId="2" fontId="0" fillId="4" borderId="19" xfId="0" applyNumberFormat="1" applyFill="1" applyBorder="1" applyAlignment="1">
      <alignment horizontal="center" vertical="center"/>
    </xf>
    <xf numFmtId="11" fontId="0" fillId="6" borderId="17" xfId="0" applyNumberFormat="1" applyFill="1" applyBorder="1" applyAlignment="1">
      <alignment horizontal="center" vertical="center"/>
    </xf>
    <xf numFmtId="166" fontId="0" fillId="6" borderId="32" xfId="0" applyNumberFormat="1" applyFill="1" applyBorder="1" applyAlignment="1">
      <alignment horizontal="center" vertical="center"/>
    </xf>
    <xf numFmtId="2" fontId="0" fillId="6" borderId="32" xfId="0" applyNumberFormat="1" applyFill="1" applyBorder="1" applyAlignment="1">
      <alignment horizontal="center" vertical="center"/>
    </xf>
    <xf numFmtId="2" fontId="0" fillId="6" borderId="19" xfId="0" applyNumberFormat="1" applyFill="1" applyBorder="1" applyAlignment="1">
      <alignment horizontal="center" vertical="center"/>
    </xf>
    <xf numFmtId="11" fontId="0" fillId="2" borderId="17" xfId="0" applyNumberFormat="1" applyFill="1" applyBorder="1" applyAlignment="1">
      <alignment horizontal="center" vertical="center"/>
    </xf>
    <xf numFmtId="166" fontId="0" fillId="2" borderId="32" xfId="0" applyNumberFormat="1" applyFill="1" applyBorder="1" applyAlignment="1">
      <alignment horizontal="center" vertical="center"/>
    </xf>
    <xf numFmtId="2" fontId="0" fillId="2" borderId="32" xfId="0" applyNumberFormat="1" applyFill="1" applyBorder="1" applyAlignment="1">
      <alignment horizontal="center" vertical="center"/>
    </xf>
    <xf numFmtId="2" fontId="0" fillId="2" borderId="19" xfId="0" applyNumberFormat="1" applyFill="1" applyBorder="1" applyAlignment="1">
      <alignment horizontal="center" vertical="center"/>
    </xf>
    <xf numFmtId="11" fontId="0" fillId="7" borderId="17" xfId="0" applyNumberFormat="1" applyFill="1" applyBorder="1" applyAlignment="1">
      <alignment horizontal="center" vertical="center"/>
    </xf>
    <xf numFmtId="166" fontId="0" fillId="7" borderId="32" xfId="0" applyNumberFormat="1" applyFill="1" applyBorder="1" applyAlignment="1">
      <alignment horizontal="center" vertical="center"/>
    </xf>
    <xf numFmtId="2" fontId="0" fillId="7" borderId="32" xfId="0" applyNumberFormat="1" applyFill="1" applyBorder="1" applyAlignment="1">
      <alignment horizontal="center" vertical="center"/>
    </xf>
    <xf numFmtId="2" fontId="0" fillId="7" borderId="19" xfId="0" applyNumberFormat="1" applyFill="1" applyBorder="1" applyAlignment="1">
      <alignment horizontal="center" vertical="center"/>
    </xf>
    <xf numFmtId="11" fontId="0" fillId="7" borderId="6" xfId="0" applyNumberFormat="1" applyFill="1" applyBorder="1" applyAlignment="1">
      <alignment horizontal="center"/>
    </xf>
    <xf numFmtId="1" fontId="0" fillId="7" borderId="6" xfId="0" applyNumberFormat="1" applyFill="1" applyBorder="1" applyAlignment="1">
      <alignment horizontal="center"/>
    </xf>
    <xf numFmtId="1" fontId="0" fillId="7" borderId="7" xfId="0" applyNumberFormat="1" applyFill="1" applyBorder="1" applyAlignment="1">
      <alignment horizontal="center"/>
    </xf>
    <xf numFmtId="2" fontId="0" fillId="7" borderId="8" xfId="0" applyNumberFormat="1" applyFill="1" applyBorder="1" applyAlignment="1">
      <alignment horizontal="center"/>
    </xf>
    <xf numFmtId="2" fontId="0" fillId="9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9" borderId="8" xfId="0" applyNumberFormat="1" applyFill="1" applyBorder="1" applyAlignment="1">
      <alignment horizontal="center"/>
    </xf>
    <xf numFmtId="2" fontId="0" fillId="6" borderId="6" xfId="0" applyNumberFormat="1" applyFill="1" applyBorder="1" applyAlignment="1">
      <alignment horizontal="center"/>
    </xf>
    <xf numFmtId="2" fontId="0" fillId="10" borderId="7" xfId="0" applyNumberFormat="1" applyFill="1" applyBorder="1" applyAlignment="1">
      <alignment horizontal="center"/>
    </xf>
    <xf numFmtId="2" fontId="0" fillId="10" borderId="8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7" borderId="7" xfId="0" applyNumberFormat="1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169" fontId="0" fillId="4" borderId="6" xfId="0" applyNumberFormat="1" applyFill="1" applyBorder="1" applyAlignment="1">
      <alignment horizontal="center"/>
    </xf>
    <xf numFmtId="169" fontId="0" fillId="9" borderId="7" xfId="0" applyNumberFormat="1" applyFill="1" applyBorder="1" applyAlignment="1">
      <alignment horizontal="center"/>
    </xf>
    <xf numFmtId="169" fontId="0" fillId="4" borderId="7" xfId="0" applyNumberFormat="1" applyFill="1" applyBorder="1" applyAlignment="1">
      <alignment horizontal="center"/>
    </xf>
    <xf numFmtId="169" fontId="0" fillId="9" borderId="8" xfId="0" applyNumberFormat="1" applyFill="1" applyBorder="1" applyAlignment="1">
      <alignment horizontal="center"/>
    </xf>
    <xf numFmtId="169" fontId="0" fillId="6" borderId="6" xfId="0" applyNumberFormat="1" applyFill="1" applyBorder="1" applyAlignment="1">
      <alignment horizontal="center"/>
    </xf>
    <xf numFmtId="169" fontId="0" fillId="10" borderId="7" xfId="0" applyNumberFormat="1" applyFill="1" applyBorder="1" applyAlignment="1">
      <alignment horizontal="center"/>
    </xf>
    <xf numFmtId="169" fontId="0" fillId="6" borderId="7" xfId="0" applyNumberFormat="1" applyFill="1" applyBorder="1" applyAlignment="1">
      <alignment horizontal="center"/>
    </xf>
    <xf numFmtId="169" fontId="0" fillId="10" borderId="8" xfId="0" applyNumberFormat="1" applyFill="1" applyBorder="1" applyAlignment="1">
      <alignment horizontal="center"/>
    </xf>
    <xf numFmtId="169" fontId="0" fillId="2" borderId="6" xfId="0" applyNumberFormat="1" applyFill="1" applyBorder="1" applyAlignment="1">
      <alignment horizontal="center"/>
    </xf>
    <xf numFmtId="169" fontId="0" fillId="3" borderId="7" xfId="0" applyNumberFormat="1" applyFill="1" applyBorder="1" applyAlignment="1">
      <alignment horizontal="center"/>
    </xf>
    <xf numFmtId="169" fontId="0" fillId="2" borderId="7" xfId="0" applyNumberFormat="1" applyFill="1" applyBorder="1" applyAlignment="1">
      <alignment horizontal="center"/>
    </xf>
    <xf numFmtId="169" fontId="0" fillId="3" borderId="8" xfId="0" applyNumberFormat="1" applyFill="1" applyBorder="1" applyAlignment="1">
      <alignment horizontal="center"/>
    </xf>
    <xf numFmtId="169" fontId="0" fillId="8" borderId="6" xfId="0" applyNumberFormat="1" applyFill="1" applyBorder="1" applyAlignment="1">
      <alignment horizontal="center"/>
    </xf>
    <xf numFmtId="169" fontId="0" fillId="7" borderId="7" xfId="0" applyNumberFormat="1" applyFill="1" applyBorder="1" applyAlignment="1">
      <alignment horizontal="center"/>
    </xf>
    <xf numFmtId="169" fontId="0" fillId="8" borderId="7" xfId="0" applyNumberFormat="1" applyFill="1" applyBorder="1" applyAlignment="1">
      <alignment horizontal="center"/>
    </xf>
    <xf numFmtId="169" fontId="0" fillId="7" borderId="8" xfId="0" applyNumberFormat="1" applyFill="1" applyBorder="1" applyAlignment="1">
      <alignment horizontal="center"/>
    </xf>
    <xf numFmtId="0" fontId="11" fillId="0" borderId="0" xfId="0" applyFont="1"/>
    <xf numFmtId="1" fontId="11" fillId="0" borderId="0" xfId="0" applyNumberFormat="1" applyFont="1"/>
    <xf numFmtId="169" fontId="0" fillId="2" borderId="8" xfId="0" applyNumberFormat="1" applyFill="1" applyBorder="1" applyAlignment="1">
      <alignment horizontal="center"/>
    </xf>
    <xf numFmtId="164" fontId="0" fillId="7" borderId="6" xfId="0" applyNumberFormat="1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2" fontId="0" fillId="6" borderId="10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1" fontId="0" fillId="11" borderId="19" xfId="0" applyNumberFormat="1" applyFill="1" applyBorder="1"/>
    <xf numFmtId="1" fontId="0" fillId="11" borderId="17" xfId="0" applyNumberFormat="1" applyFill="1" applyBorder="1"/>
    <xf numFmtId="166" fontId="0" fillId="11" borderId="19" xfId="0" applyNumberFormat="1" applyFill="1" applyBorder="1"/>
    <xf numFmtId="166" fontId="0" fillId="11" borderId="32" xfId="0" applyNumberFormat="1" applyFill="1" applyBorder="1" applyAlignment="1">
      <alignment horizontal="right" vertical="center"/>
    </xf>
    <xf numFmtId="2" fontId="0" fillId="11" borderId="32" xfId="0" applyNumberFormat="1" applyFill="1" applyBorder="1" applyAlignment="1">
      <alignment horizontal="right" vertical="center"/>
    </xf>
    <xf numFmtId="2" fontId="0" fillId="11" borderId="19" xfId="0" applyNumberFormat="1" applyFill="1" applyBorder="1" applyAlignment="1">
      <alignment horizontal="right" vertical="center"/>
    </xf>
    <xf numFmtId="11" fontId="0" fillId="11" borderId="17" xfId="0" applyNumberFormat="1" applyFill="1" applyBorder="1" applyAlignment="1">
      <alignment horizontal="right" vertical="center"/>
    </xf>
    <xf numFmtId="0" fontId="5" fillId="0" borderId="0" xfId="0" applyFont="1" applyAlignment="1">
      <alignment horizontal="left"/>
    </xf>
    <xf numFmtId="1" fontId="0" fillId="11" borderId="24" xfId="0" applyNumberFormat="1" applyFill="1" applyBorder="1"/>
    <xf numFmtId="2" fontId="0" fillId="11" borderId="24" xfId="0" applyNumberFormat="1" applyFill="1" applyBorder="1" applyAlignment="1">
      <alignment horizontal="center" vertical="center"/>
    </xf>
    <xf numFmtId="11" fontId="0" fillId="4" borderId="17" xfId="0" applyNumberFormat="1" applyFill="1" applyBorder="1" applyAlignment="1">
      <alignment horizontal="center" vertical="center"/>
    </xf>
    <xf numFmtId="0" fontId="0" fillId="12" borderId="23" xfId="0" applyFill="1" applyBorder="1" applyAlignment="1">
      <alignment horizontal="center"/>
    </xf>
    <xf numFmtId="2" fontId="0" fillId="4" borderId="24" xfId="0" applyNumberFormat="1" applyFill="1" applyBorder="1" applyAlignment="1">
      <alignment horizontal="center"/>
    </xf>
    <xf numFmtId="2" fontId="0" fillId="0" borderId="0" xfId="0" applyNumberFormat="1"/>
    <xf numFmtId="2" fontId="0" fillId="6" borderId="24" xfId="0" applyNumberFormat="1" applyFill="1" applyBorder="1" applyAlignment="1">
      <alignment horizontal="center"/>
    </xf>
    <xf numFmtId="2" fontId="0" fillId="2" borderId="24" xfId="0" applyNumberFormat="1" applyFill="1" applyBorder="1" applyAlignment="1">
      <alignment horizontal="center"/>
    </xf>
    <xf numFmtId="2" fontId="0" fillId="7" borderId="24" xfId="0" applyNumberFormat="1" applyFill="1" applyBorder="1" applyAlignment="1">
      <alignment horizontal="center"/>
    </xf>
    <xf numFmtId="2" fontId="0" fillId="7" borderId="6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3" fillId="12" borderId="17" xfId="0" applyFont="1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19" xfId="0" quotePrefix="1" applyFill="1" applyBorder="1" applyAlignment="1">
      <alignment horizontal="center"/>
    </xf>
    <xf numFmtId="172" fontId="0" fillId="11" borderId="32" xfId="0" applyNumberFormat="1" applyFill="1" applyBorder="1" applyAlignment="1">
      <alignment horizontal="center"/>
    </xf>
    <xf numFmtId="170" fontId="0" fillId="11" borderId="34" xfId="0" applyNumberFormat="1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171" fontId="0" fillId="11" borderId="17" xfId="0" applyNumberForma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/>
    </xf>
    <xf numFmtId="0" fontId="0" fillId="11" borderId="19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5" borderId="8" xfId="0" applyNumberFormat="1" applyFill="1" applyBorder="1" applyAlignment="1">
      <alignment horizontal="center"/>
    </xf>
    <xf numFmtId="169" fontId="0" fillId="4" borderId="12" xfId="0" applyNumberFormat="1" applyFill="1" applyBorder="1" applyAlignment="1">
      <alignment horizontal="center"/>
    </xf>
    <xf numFmtId="169" fontId="0" fillId="9" borderId="1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169" fontId="0" fillId="9" borderId="14" xfId="0" applyNumberFormat="1" applyFill="1" applyBorder="1" applyAlignment="1">
      <alignment horizontal="center"/>
    </xf>
    <xf numFmtId="169" fontId="0" fillId="6" borderId="12" xfId="0" applyNumberFormat="1" applyFill="1" applyBorder="1" applyAlignment="1">
      <alignment horizontal="center"/>
    </xf>
    <xf numFmtId="169" fontId="0" fillId="10" borderId="13" xfId="0" applyNumberFormat="1" applyFill="1" applyBorder="1" applyAlignment="1">
      <alignment horizontal="center"/>
    </xf>
    <xf numFmtId="169" fontId="0" fillId="6" borderId="13" xfId="0" applyNumberFormat="1" applyFill="1" applyBorder="1" applyAlignment="1">
      <alignment horizontal="center"/>
    </xf>
    <xf numFmtId="169" fontId="0" fillId="10" borderId="14" xfId="0" applyNumberFormat="1" applyFill="1" applyBorder="1" applyAlignment="1">
      <alignment horizontal="center"/>
    </xf>
    <xf numFmtId="169" fontId="0" fillId="2" borderId="12" xfId="0" applyNumberFormat="1" applyFill="1" applyBorder="1" applyAlignment="1">
      <alignment horizontal="center"/>
    </xf>
    <xf numFmtId="169" fontId="0" fillId="3" borderId="13" xfId="0" applyNumberFormat="1" applyFill="1" applyBorder="1" applyAlignment="1">
      <alignment horizontal="center"/>
    </xf>
    <xf numFmtId="169" fontId="0" fillId="2" borderId="13" xfId="0" applyNumberFormat="1" applyFill="1" applyBorder="1" applyAlignment="1">
      <alignment horizontal="center"/>
    </xf>
    <xf numFmtId="169" fontId="0" fillId="3" borderId="14" xfId="0" applyNumberFormat="1" applyFill="1" applyBorder="1" applyAlignment="1">
      <alignment horizontal="center"/>
    </xf>
    <xf numFmtId="169" fontId="0" fillId="8" borderId="12" xfId="0" applyNumberFormat="1" applyFill="1" applyBorder="1" applyAlignment="1">
      <alignment horizontal="center"/>
    </xf>
    <xf numFmtId="169" fontId="0" fillId="7" borderId="13" xfId="0" applyNumberFormat="1" applyFill="1" applyBorder="1" applyAlignment="1">
      <alignment horizontal="center"/>
    </xf>
    <xf numFmtId="169" fontId="0" fillId="8" borderId="13" xfId="0" applyNumberFormat="1" applyFill="1" applyBorder="1" applyAlignment="1">
      <alignment horizontal="center"/>
    </xf>
    <xf numFmtId="169" fontId="0" fillId="7" borderId="14" xfId="0" applyNumberFormat="1" applyFill="1" applyBorder="1" applyAlignment="1">
      <alignment horizontal="center"/>
    </xf>
    <xf numFmtId="170" fontId="0" fillId="7" borderId="8" xfId="0" applyNumberFormat="1" applyFill="1" applyBorder="1" applyAlignment="1">
      <alignment horizontal="center"/>
    </xf>
    <xf numFmtId="1" fontId="0" fillId="9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" fontId="0" fillId="9" borderId="8" xfId="0" applyNumberFormat="1" applyFill="1" applyBorder="1" applyAlignment="1">
      <alignment horizontal="center"/>
    </xf>
    <xf numFmtId="1" fontId="0" fillId="10" borderId="7" xfId="0" applyNumberFormat="1" applyFill="1" applyBorder="1" applyAlignment="1">
      <alignment horizontal="center"/>
    </xf>
    <xf numFmtId="1" fontId="0" fillId="10" borderId="8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" fontId="0" fillId="8" borderId="6" xfId="0" applyNumberFormat="1" applyFill="1" applyBorder="1" applyAlignment="1">
      <alignment horizontal="center"/>
    </xf>
    <xf numFmtId="1" fontId="0" fillId="8" borderId="7" xfId="0" applyNumberFormat="1" applyFill="1" applyBorder="1" applyAlignment="1">
      <alignment horizontal="center"/>
    </xf>
    <xf numFmtId="1" fontId="0" fillId="7" borderId="8" xfId="0" applyNumberFormat="1" applyFill="1" applyBorder="1" applyAlignment="1">
      <alignment horizontal="center"/>
    </xf>
    <xf numFmtId="0" fontId="3" fillId="12" borderId="23" xfId="0" applyFont="1" applyFill="1" applyBorder="1" applyAlignment="1">
      <alignment horizontal="center" vertical="center"/>
    </xf>
    <xf numFmtId="0" fontId="0" fillId="11" borderId="24" xfId="0" applyFill="1" applyBorder="1" applyAlignment="1">
      <alignment horizontal="center"/>
    </xf>
    <xf numFmtId="11" fontId="0" fillId="11" borderId="17" xfId="0" applyNumberFormat="1" applyFill="1" applyBorder="1"/>
    <xf numFmtId="167" fontId="0" fillId="6" borderId="17" xfId="0" applyNumberFormat="1" applyFill="1" applyBorder="1" applyAlignment="1">
      <alignment horizontal="center" vertical="center"/>
    </xf>
    <xf numFmtId="167" fontId="0" fillId="7" borderId="17" xfId="0" applyNumberFormat="1" applyFill="1" applyBorder="1" applyAlignment="1">
      <alignment horizontal="center" vertical="center"/>
    </xf>
    <xf numFmtId="167" fontId="0" fillId="2" borderId="17" xfId="0" applyNumberFormat="1" applyFill="1" applyBorder="1" applyAlignment="1">
      <alignment horizontal="center" vertical="center"/>
    </xf>
    <xf numFmtId="167" fontId="0" fillId="2" borderId="6" xfId="0" applyNumberFormat="1" applyFill="1" applyBorder="1" applyAlignment="1">
      <alignment horizontal="center"/>
    </xf>
    <xf numFmtId="170" fontId="0" fillId="6" borderId="8" xfId="0" applyNumberFormat="1" applyFill="1" applyBorder="1" applyAlignment="1">
      <alignment horizontal="center"/>
    </xf>
    <xf numFmtId="170" fontId="0" fillId="2" borderId="8" xfId="0" applyNumberFormat="1" applyFill="1" applyBorder="1" applyAlignment="1">
      <alignment horizontal="center"/>
    </xf>
    <xf numFmtId="170" fontId="0" fillId="4" borderId="8" xfId="0" applyNumberForma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0" fillId="4" borderId="5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Pressão</a:t>
            </a:r>
            <a:r>
              <a:rPr lang="pt-PT" sz="1400" baseline="0"/>
              <a:t> em função do caudal para cada volume - P(Q)</a:t>
            </a:r>
            <a:endParaRPr lang="pt-PT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376430260267908"/>
          <c:y val="0.15887089865501586"/>
          <c:w val="0.81152619660223035"/>
          <c:h val="0.66324932323179397"/>
        </c:manualLayout>
      </c:layout>
      <c:scatterChart>
        <c:scatterStyle val="lineMarker"/>
        <c:varyColors val="0"/>
        <c:ser>
          <c:idx val="0"/>
          <c:order val="0"/>
          <c:tx>
            <c:v>V = 5 ml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Folha1!$W$5:$W$12</c:f>
              <c:numCache>
                <c:formatCode>0.000</c:formatCode>
                <c:ptCount val="8"/>
                <c:pt idx="0">
                  <c:v>2.7112026895130682E-2</c:v>
                </c:pt>
                <c:pt idx="1">
                  <c:v>9.1524803221673057E-2</c:v>
                </c:pt>
                <c:pt idx="2">
                  <c:v>3.7554453958239448E-2</c:v>
                </c:pt>
                <c:pt idx="3">
                  <c:v>4.9338859285573314E-2</c:v>
                </c:pt>
                <c:pt idx="4">
                  <c:v>5.7877069105220502E-2</c:v>
                </c:pt>
                <c:pt idx="5">
                  <c:v>6.3099444724886419E-2</c:v>
                </c:pt>
                <c:pt idx="6">
                  <c:v>6.6586762551604728E-2</c:v>
                </c:pt>
                <c:pt idx="7">
                  <c:v>7.6852136489394388E-2</c:v>
                </c:pt>
              </c:numCache>
            </c:numRef>
          </c:xVal>
          <c:yVal>
            <c:numRef>
              <c:f>Folha1!$V$5:$V$12</c:f>
              <c:numCache>
                <c:formatCode>0.000</c:formatCode>
                <c:ptCount val="8"/>
                <c:pt idx="0">
                  <c:v>0.9098752066425001</c:v>
                </c:pt>
                <c:pt idx="1">
                  <c:v>3.0524845642199994</c:v>
                </c:pt>
                <c:pt idx="2">
                  <c:v>1.24740955749375</c:v>
                </c:pt>
                <c:pt idx="3">
                  <c:v>1.6338619302075004</c:v>
                </c:pt>
                <c:pt idx="4">
                  <c:v>1.9224782591962504</c:v>
                </c:pt>
                <c:pt idx="5">
                  <c:v>2.0349897094799996</c:v>
                </c:pt>
                <c:pt idx="6">
                  <c:v>2.2110945881850004</c:v>
                </c:pt>
                <c:pt idx="7">
                  <c:v>2.5241699281049996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96-481C-844E-9E468E3AE65E}"/>
            </c:ext>
          </c:extLst>
        </c:ser>
        <c:ser>
          <c:idx val="1"/>
          <c:order val="1"/>
          <c:tx>
            <c:v>V = 10 ml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Folha1!$W$13:$W$20</c:f>
              <c:numCache>
                <c:formatCode>0.000</c:formatCode>
                <c:ptCount val="8"/>
                <c:pt idx="0" formatCode="0.0000">
                  <c:v>2.6753705388196266E-2</c:v>
                </c:pt>
                <c:pt idx="1">
                  <c:v>8.8519075860848007E-2</c:v>
                </c:pt>
                <c:pt idx="2" formatCode="0.0000">
                  <c:v>3.6279204759831665E-2</c:v>
                </c:pt>
                <c:pt idx="3">
                  <c:v>4.8007681228996631E-2</c:v>
                </c:pt>
                <c:pt idx="4">
                  <c:v>5.7035304853704442E-2</c:v>
                </c:pt>
                <c:pt idx="5">
                  <c:v>6.078657832350616E-2</c:v>
                </c:pt>
                <c:pt idx="6">
                  <c:v>6.4234326824254881E-2</c:v>
                </c:pt>
                <c:pt idx="7">
                  <c:v>7.320644216691069E-2</c:v>
                </c:pt>
              </c:numCache>
            </c:numRef>
          </c:xVal>
          <c:yVal>
            <c:numRef>
              <c:f>Folha1!$V$13:$V$20</c:f>
              <c:numCache>
                <c:formatCode>0.000</c:formatCode>
                <c:ptCount val="8"/>
                <c:pt idx="0">
                  <c:v>0.91965881101500035</c:v>
                </c:pt>
                <c:pt idx="1">
                  <c:v>3.0524845642199994</c:v>
                </c:pt>
                <c:pt idx="2">
                  <c:v>1.24740955749375</c:v>
                </c:pt>
                <c:pt idx="3">
                  <c:v>1.6436455345799998</c:v>
                </c:pt>
                <c:pt idx="4">
                  <c:v>1.9273700613825002</c:v>
                </c:pt>
                <c:pt idx="5">
                  <c:v>2.0349897094799996</c:v>
                </c:pt>
                <c:pt idx="6">
                  <c:v>2.2208781925575005</c:v>
                </c:pt>
                <c:pt idx="7">
                  <c:v>2.5241699281049996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96-481C-844E-9E468E3AE65E}"/>
            </c:ext>
          </c:extLst>
        </c:ser>
        <c:ser>
          <c:idx val="2"/>
          <c:order val="2"/>
          <c:tx>
            <c:v>V = 15 ml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Folha1!$W$21:$W$28</c:f>
              <c:numCache>
                <c:formatCode>0.000</c:formatCode>
                <c:ptCount val="8"/>
                <c:pt idx="0" formatCode="0.0000">
                  <c:v>2.6390330582874433E-2</c:v>
                </c:pt>
                <c:pt idx="1">
                  <c:v>8.8668203582195404E-2</c:v>
                </c:pt>
                <c:pt idx="2" formatCode="0.0000">
                  <c:v>3.6279204759831665E-2</c:v>
                </c:pt>
                <c:pt idx="3" formatCode="0.0000">
                  <c:v>4.740085321535787E-2</c:v>
                </c:pt>
                <c:pt idx="4" formatCode="0.0000">
                  <c:v>5.5980593394289978E-2</c:v>
                </c:pt>
                <c:pt idx="5">
                  <c:v>5.9078377313903099E-2</c:v>
                </c:pt>
                <c:pt idx="6">
                  <c:v>6.3441042124851965E-2</c:v>
                </c:pt>
                <c:pt idx="7">
                  <c:v>7.2414791928164524E-2</c:v>
                </c:pt>
              </c:numCache>
            </c:numRef>
          </c:xVal>
          <c:yVal>
            <c:numRef>
              <c:f>Folha1!$V$21:$V$28</c:f>
              <c:numCache>
                <c:formatCode>0.000</c:formatCode>
                <c:ptCount val="8"/>
                <c:pt idx="0">
                  <c:v>0.91965881101500035</c:v>
                </c:pt>
                <c:pt idx="1">
                  <c:v>3.0524845642199994</c:v>
                </c:pt>
                <c:pt idx="2">
                  <c:v>1.2425177553075002</c:v>
                </c:pt>
                <c:pt idx="3">
                  <c:v>1.6387537323937502</c:v>
                </c:pt>
                <c:pt idx="4">
                  <c:v>1.9273700613825002</c:v>
                </c:pt>
                <c:pt idx="5">
                  <c:v>2.0349897094799996</c:v>
                </c:pt>
                <c:pt idx="6">
                  <c:v>2.2062027859987499</c:v>
                </c:pt>
                <c:pt idx="7">
                  <c:v>2.5241699281049996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96-481C-844E-9E468E3AE65E}"/>
            </c:ext>
          </c:extLst>
        </c:ser>
        <c:ser>
          <c:idx val="3"/>
          <c:order val="3"/>
          <c:tx>
            <c:v>V = 20 ml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Folha1!$W$29:$W$36</c:f>
              <c:numCache>
                <c:formatCode>0.000</c:formatCode>
                <c:ptCount val="8"/>
                <c:pt idx="0" formatCode="0.0000">
                  <c:v>2.6409264369940975E-2</c:v>
                </c:pt>
                <c:pt idx="1">
                  <c:v>8.6621334834769789E-2</c:v>
                </c:pt>
                <c:pt idx="2" formatCode="0.0000">
                  <c:v>3.6186650744540333E-2</c:v>
                </c:pt>
                <c:pt idx="3" formatCode="0.0000">
                  <c:v>4.7294740824820276E-2</c:v>
                </c:pt>
                <c:pt idx="4" formatCode="0.0000">
                  <c:v>5.6052240688321514E-2</c:v>
                </c:pt>
                <c:pt idx="5" formatCode="0.0000">
                  <c:v>5.8730251952780872E-2</c:v>
                </c:pt>
                <c:pt idx="6" formatCode="0.0000">
                  <c:v>6.3506175975613616E-2</c:v>
                </c:pt>
                <c:pt idx="7" formatCode="0.0000">
                  <c:v>7.2579474524604434E-2</c:v>
                </c:pt>
              </c:numCache>
            </c:numRef>
          </c:xVal>
          <c:yVal>
            <c:numRef>
              <c:f>Folha1!$V$29:$V$36</c:f>
              <c:numCache>
                <c:formatCode>0.000</c:formatCode>
                <c:ptCount val="8"/>
                <c:pt idx="0">
                  <c:v>0.91965881101500035</c:v>
                </c:pt>
                <c:pt idx="1">
                  <c:v>3.0524845642199994</c:v>
                </c:pt>
                <c:pt idx="2">
                  <c:v>1.2425177553075002</c:v>
                </c:pt>
                <c:pt idx="3">
                  <c:v>1.6729963476975003</c:v>
                </c:pt>
                <c:pt idx="4">
                  <c:v>1.9371536657550001</c:v>
                </c:pt>
                <c:pt idx="5">
                  <c:v>2.0349897094799996</c:v>
                </c:pt>
                <c:pt idx="6">
                  <c:v>2.2062027859987499</c:v>
                </c:pt>
                <c:pt idx="7">
                  <c:v>2.5241699281049996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2B-41A1-9D21-BDF38AE00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221759"/>
        <c:axId val="1783214559"/>
      </c:scatterChart>
      <c:valAx>
        <c:axId val="1783221759"/>
        <c:scaling>
          <c:orientation val="minMax"/>
          <c:max val="9.5000000000000029E-2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Q</a:t>
                </a:r>
                <a:r>
                  <a:rPr lang="pt-PT" sz="1100" baseline="0"/>
                  <a:t> / mm</a:t>
                </a:r>
                <a:r>
                  <a:rPr lang="pt-PT" sz="1100" baseline="30000"/>
                  <a:t>3</a:t>
                </a:r>
                <a:r>
                  <a:rPr lang="pt-PT" sz="1100" baseline="0"/>
                  <a:t>/s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83214559"/>
        <c:crosses val="autoZero"/>
        <c:crossBetween val="midCat"/>
      </c:valAx>
      <c:valAx>
        <c:axId val="1783214559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P</a:t>
                </a:r>
                <a:r>
                  <a:rPr lang="pt-PT" sz="1100" baseline="0"/>
                  <a:t> /kPa</a:t>
                </a:r>
                <a:endParaRPr lang="pt-PT" sz="1100"/>
              </a:p>
            </c:rich>
          </c:tx>
          <c:layout>
            <c:manualLayout>
              <c:xMode val="edge"/>
              <c:yMode val="edge"/>
              <c:x val="1.8597876387872317E-2"/>
              <c:y val="0.416973976430395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83221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587729915276097"/>
          <c:y val="0.16303729198365025"/>
          <c:w val="0.31703547465893955"/>
          <c:h val="0.27245490124982119"/>
        </c:manualLayout>
      </c:layout>
      <c:overlay val="0"/>
      <c:spPr>
        <a:solidFill>
          <a:schemeClr val="bg1"/>
        </a:solidFill>
        <a:ln>
          <a:solidFill>
            <a:schemeClr val="bg2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</a:t>
            </a:r>
            <a:r>
              <a:rPr lang="pt-PT" baseline="0"/>
              <a:t> P para V = 5ml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 = 5ml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>
                    <a:alpha val="99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7</c:v>
                </c:pt>
              </c:numLit>
            </c:plus>
            <c:minus>
              <c:numLit>
                <c:formatCode>General</c:formatCode>
                <c:ptCount val="1"/>
                <c:pt idx="0">
                  <c:v>7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Folha1!$W$5:$W$12</c:f>
              <c:numCache>
                <c:formatCode>0.000</c:formatCode>
                <c:ptCount val="8"/>
                <c:pt idx="0">
                  <c:v>2.7112026895130682E-2</c:v>
                </c:pt>
                <c:pt idx="1">
                  <c:v>9.1524803221673057E-2</c:v>
                </c:pt>
                <c:pt idx="2">
                  <c:v>3.7554453958239448E-2</c:v>
                </c:pt>
                <c:pt idx="3">
                  <c:v>4.9338859285573314E-2</c:v>
                </c:pt>
                <c:pt idx="4">
                  <c:v>5.7877069105220502E-2</c:v>
                </c:pt>
                <c:pt idx="5">
                  <c:v>6.3099444724886419E-2</c:v>
                </c:pt>
                <c:pt idx="6">
                  <c:v>6.6586762551604728E-2</c:v>
                </c:pt>
                <c:pt idx="7">
                  <c:v>7.6852136489394388E-2</c:v>
                </c:pt>
              </c:numCache>
            </c:numRef>
          </c:xVal>
          <c:yVal>
            <c:numRef>
              <c:f>Folha1!$Y$5:$Y$12</c:f>
              <c:numCache>
                <c:formatCode>0.0</c:formatCode>
                <c:ptCount val="8"/>
                <c:pt idx="0">
                  <c:v>11.903823138445402</c:v>
                </c:pt>
                <c:pt idx="1">
                  <c:v>28.391526033300529</c:v>
                </c:pt>
                <c:pt idx="2">
                  <c:v>4.7570164229628897</c:v>
                </c:pt>
                <c:pt idx="3">
                  <c:v>2.2325310832020939</c:v>
                </c:pt>
                <c:pt idx="4">
                  <c:v>9.0216539638445781</c:v>
                </c:pt>
                <c:pt idx="5">
                  <c:v>-50.845832464734286</c:v>
                </c:pt>
                <c:pt idx="6">
                  <c:v>10.150485936037512</c:v>
                </c:pt>
                <c:pt idx="7">
                  <c:v>-15.611204113060939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AB-4BA0-8698-0F4FE1C30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95871"/>
        <c:axId val="166596351"/>
      </c:scatterChart>
      <c:valAx>
        <c:axId val="166595871"/>
        <c:scaling>
          <c:orientation val="minMax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baseline="0">
                    <a:effectLst/>
                  </a:rPr>
                  <a:t>Q / mm</a:t>
                </a:r>
                <a:r>
                  <a:rPr lang="pt-PT" sz="1100" b="0" i="0" u="none" strike="noStrike" baseline="30000">
                    <a:effectLst/>
                  </a:rPr>
                  <a:t>3</a:t>
                </a:r>
                <a:r>
                  <a:rPr lang="pt-PT" sz="1100" b="0" i="0" u="none" strike="noStrike" baseline="0">
                    <a:effectLst/>
                  </a:rPr>
                  <a:t>/s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596351"/>
        <c:crossesAt val="-6"/>
        <c:crossBetween val="midCat"/>
      </c:valAx>
      <c:valAx>
        <c:axId val="166596351"/>
        <c:scaling>
          <c:orientation val="minMax"/>
          <c:max val="40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P - P</a:t>
                </a:r>
                <a:r>
                  <a:rPr lang="pt-PT" sz="1100" baseline="-25000"/>
                  <a:t>ajuste</a:t>
                </a:r>
                <a:r>
                  <a:rPr lang="pt-PT" sz="1100" baseline="0"/>
                  <a:t> /Pa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595871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Variação</a:t>
            </a:r>
            <a:r>
              <a:rPr lang="pt-PT" baseline="0"/>
              <a:t> da temperatura ao longo da experiência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Folha1!$B$14:$B$45</c:f>
              <c:numCache>
                <c:formatCode>General</c:formatCode>
                <c:ptCount val="32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</c:numCache>
            </c:numRef>
          </c:xVal>
          <c:yVal>
            <c:numRef>
              <c:f>Folha1!$N$14:$N$45</c:f>
              <c:numCache>
                <c:formatCode>General</c:formatCode>
                <c:ptCount val="32"/>
                <c:pt idx="0">
                  <c:v>23</c:v>
                </c:pt>
                <c:pt idx="4" formatCode="0.0">
                  <c:v>22.9</c:v>
                </c:pt>
                <c:pt idx="8" formatCode="0.0">
                  <c:v>22.8</c:v>
                </c:pt>
                <c:pt idx="12" formatCode="0.0">
                  <c:v>23</c:v>
                </c:pt>
                <c:pt idx="16" formatCode="0.0">
                  <c:v>22.85</c:v>
                </c:pt>
                <c:pt idx="20" formatCode="0.0">
                  <c:v>22.9</c:v>
                </c:pt>
                <c:pt idx="24" formatCode="0.0">
                  <c:v>22.35</c:v>
                </c:pt>
                <c:pt idx="28" formatCode="0.0">
                  <c:v>21.95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8C-40FE-8DD2-4E271E894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185296"/>
        <c:axId val="1778899904"/>
      </c:scatterChart>
      <c:valAx>
        <c:axId val="167218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Ensaios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8899904"/>
        <c:crosses val="autoZero"/>
        <c:crossBetween val="midCat"/>
      </c:valAx>
      <c:valAx>
        <c:axId val="17788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T</a:t>
                </a:r>
                <a:r>
                  <a:rPr lang="pt-PT" sz="1100" baseline="0"/>
                  <a:t> / ºC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7218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Gráfico</a:t>
            </a:r>
            <a:r>
              <a:rPr lang="pt-PT" baseline="0"/>
              <a:t> de log(P) em função de log(Q)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082962037909174"/>
          <c:y val="0.14349176505566424"/>
          <c:w val="0.81812464943009244"/>
          <c:h val="0.67998408635770724"/>
        </c:manualLayout>
      </c:layout>
      <c:scatterChart>
        <c:scatterStyle val="lineMarker"/>
        <c:varyColors val="0"/>
        <c:ser>
          <c:idx val="0"/>
          <c:order val="0"/>
          <c:tx>
            <c:v>V = 5ml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Folha1!$AB$5:$AB$12</c:f>
              <c:numCache>
                <c:formatCode>0.00</c:formatCode>
                <c:ptCount val="8"/>
                <c:pt idx="0">
                  <c:v>-7.5668380133503383</c:v>
                </c:pt>
                <c:pt idx="1">
                  <c:v>-7.0384611961785639</c:v>
                </c:pt>
                <c:pt idx="2">
                  <c:v>-7.4253385482796332</c:v>
                </c:pt>
                <c:pt idx="3">
                  <c:v>-7.3068108956186339</c:v>
                </c:pt>
                <c:pt idx="4">
                  <c:v>-7.2374934696687285</c:v>
                </c:pt>
                <c:pt idx="5">
                  <c:v>-7.1999744625304904</c:v>
                </c:pt>
                <c:pt idx="6">
                  <c:v>-7.1766120999918668</c:v>
                </c:pt>
                <c:pt idx="7">
                  <c:v>-7.1143440546098162</c:v>
                </c:pt>
              </c:numCache>
            </c:numRef>
          </c:xVal>
          <c:yVal>
            <c:numRef>
              <c:f>Folha1!$Z$5:$Z$12</c:f>
              <c:numCache>
                <c:formatCode>0.000</c:formatCode>
                <c:ptCount val="8"/>
                <c:pt idx="0">
                  <c:v>2.9589818310210356</c:v>
                </c:pt>
                <c:pt idx="1">
                  <c:v>3.4846534764855432</c:v>
                </c:pt>
                <c:pt idx="2">
                  <c:v>3.0960090672370746</c:v>
                </c:pt>
                <c:pt idx="3">
                  <c:v>3.2132153536146841</c:v>
                </c:pt>
                <c:pt idx="4">
                  <c:v>3.2838614371785462</c:v>
                </c:pt>
                <c:pt idx="5">
                  <c:v>3.3085622174298619</c:v>
                </c:pt>
                <c:pt idx="6">
                  <c:v>3.3446073216145016</c:v>
                </c:pt>
                <c:pt idx="7">
                  <c:v>3.4021185884303309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E11-414B-92DF-68841C74BF21}"/>
            </c:ext>
          </c:extLst>
        </c:ser>
        <c:ser>
          <c:idx val="1"/>
          <c:order val="1"/>
          <c:tx>
            <c:v>V = 10ml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Folha1!$AB$13:$AB$20</c:f>
              <c:numCache>
                <c:formatCode>0.00</c:formatCode>
                <c:ptCount val="8"/>
                <c:pt idx="0">
                  <c:v>-7.572616059691252</c:v>
                </c:pt>
                <c:pt idx="1">
                  <c:v>-7.0529631287555032</c:v>
                </c:pt>
                <c:pt idx="2">
                  <c:v>-7.440342241242651</c:v>
                </c:pt>
                <c:pt idx="3">
                  <c:v>-7.3186892699477459</c:v>
                </c:pt>
                <c:pt idx="4">
                  <c:v>-7.2438562328065057</c:v>
                </c:pt>
                <c:pt idx="5">
                  <c:v>-7.2161923023639263</c:v>
                </c:pt>
                <c:pt idx="6">
                  <c:v>-7.1922328229242769</c:v>
                </c:pt>
                <c:pt idx="7">
                  <c:v>-7.1354506993455136</c:v>
                </c:pt>
              </c:numCache>
            </c:numRef>
          </c:xVal>
          <c:yVal>
            <c:numRef>
              <c:f>Folha1!$Z$13:$Z$20</c:f>
              <c:numCache>
                <c:formatCode>0.000</c:formatCode>
                <c:ptCount val="8"/>
                <c:pt idx="0">
                  <c:v>2.9636267360667996</c:v>
                </c:pt>
                <c:pt idx="1">
                  <c:v>3.4846534764855432</c:v>
                </c:pt>
                <c:pt idx="2">
                  <c:v>3.0960090672370746</c:v>
                </c:pt>
                <c:pt idx="3">
                  <c:v>3.2158081641929632</c:v>
                </c:pt>
                <c:pt idx="4">
                  <c:v>3.2849651086286937</c:v>
                </c:pt>
                <c:pt idx="5">
                  <c:v>3.3085622174298619</c:v>
                </c:pt>
                <c:pt idx="6">
                  <c:v>3.3465247396602233</c:v>
                </c:pt>
                <c:pt idx="7">
                  <c:v>3.4021185884303309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E11-414B-92DF-68841C74BF21}"/>
            </c:ext>
          </c:extLst>
        </c:ser>
        <c:ser>
          <c:idx val="2"/>
          <c:order val="2"/>
          <c:tx>
            <c:v>V = 15ml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Folha1!$AB$21:$AB$28</c:f>
              <c:numCache>
                <c:formatCode>0.00</c:formatCode>
                <c:ptCount val="8"/>
                <c:pt idx="0">
                  <c:v>-7.5785551694836659</c:v>
                </c:pt>
                <c:pt idx="1">
                  <c:v>-7.0522320902523346</c:v>
                </c:pt>
                <c:pt idx="2">
                  <c:v>-7.440342241242651</c:v>
                </c:pt>
                <c:pt idx="3">
                  <c:v>-7.3242138409548838</c:v>
                </c:pt>
                <c:pt idx="4">
                  <c:v>-7.2519625023239493</c:v>
                </c:pt>
                <c:pt idx="5">
                  <c:v>-7.2285714418180413</c:v>
                </c:pt>
                <c:pt idx="6">
                  <c:v>-7.1976296916211684</c:v>
                </c:pt>
                <c:pt idx="7">
                  <c:v>-7.1401727128550085</c:v>
                </c:pt>
              </c:numCache>
            </c:numRef>
          </c:xVal>
          <c:yVal>
            <c:numRef>
              <c:f>Folha1!$Z$21:$Z$28</c:f>
              <c:numCache>
                <c:formatCode>0.000</c:formatCode>
                <c:ptCount val="8"/>
                <c:pt idx="0">
                  <c:v>2.9636267360667996</c:v>
                </c:pt>
                <c:pt idx="1">
                  <c:v>3.4846534764855432</c:v>
                </c:pt>
                <c:pt idx="2">
                  <c:v>3.0943026034230576</c:v>
                </c:pt>
                <c:pt idx="3">
                  <c:v>3.2145136938399648</c:v>
                </c:pt>
                <c:pt idx="4">
                  <c:v>3.2849651086286937</c:v>
                </c:pt>
                <c:pt idx="5">
                  <c:v>3.3085622174298619</c:v>
                </c:pt>
                <c:pt idx="6">
                  <c:v>3.3436454286810799</c:v>
                </c:pt>
                <c:pt idx="7">
                  <c:v>3.4021185884303309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E11-414B-92DF-68841C74BF21}"/>
            </c:ext>
          </c:extLst>
        </c:ser>
        <c:ser>
          <c:idx val="3"/>
          <c:order val="3"/>
          <c:tx>
            <c:v>V = 20ml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Folha1!$AB$29:$AB$36</c:f>
              <c:numCache>
                <c:formatCode>0.00</c:formatCode>
                <c:ptCount val="8"/>
                <c:pt idx="0">
                  <c:v>-7.5782436958973873</c:v>
                </c:pt>
                <c:pt idx="1">
                  <c:v>-7.0623751280766447</c:v>
                </c:pt>
                <c:pt idx="2">
                  <c:v>-7.441451611157512</c:v>
                </c:pt>
                <c:pt idx="3">
                  <c:v>-7.3251871501236536</c:v>
                </c:pt>
                <c:pt idx="4">
                  <c:v>-7.251407021800083</c:v>
                </c:pt>
                <c:pt idx="5">
                  <c:v>-7.2311381360297196</c:v>
                </c:pt>
                <c:pt idx="6">
                  <c:v>-7.1971840375158429</c:v>
                </c:pt>
                <c:pt idx="7">
                  <c:v>-7.1391861804161287</c:v>
                </c:pt>
              </c:numCache>
            </c:numRef>
          </c:xVal>
          <c:yVal>
            <c:numRef>
              <c:f>Folha1!$Z$29:$Z$36</c:f>
              <c:numCache>
                <c:formatCode>0.000</c:formatCode>
                <c:ptCount val="8"/>
                <c:pt idx="0">
                  <c:v>2.9636267360667996</c:v>
                </c:pt>
                <c:pt idx="1">
                  <c:v>3.4846534764855432</c:v>
                </c:pt>
                <c:pt idx="2">
                  <c:v>3.0943026034230576</c:v>
                </c:pt>
                <c:pt idx="3">
                  <c:v>3.2234949928592544</c:v>
                </c:pt>
                <c:pt idx="4">
                  <c:v>3.2871640727286318</c:v>
                </c:pt>
                <c:pt idx="5">
                  <c:v>3.3085622174298619</c:v>
                </c:pt>
                <c:pt idx="6">
                  <c:v>3.3436454286810799</c:v>
                </c:pt>
                <c:pt idx="7">
                  <c:v>3.4021185884303309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E11-414B-92DF-68841C74B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107871"/>
        <c:axId val="935000623"/>
      </c:scatterChart>
      <c:valAx>
        <c:axId val="298107871"/>
        <c:scaling>
          <c:orientation val="minMax"/>
          <c:min val="-7.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log(Q)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5000623"/>
        <c:crosses val="autoZero"/>
        <c:crossBetween val="midCat"/>
      </c:valAx>
      <c:valAx>
        <c:axId val="93500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log(P)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8107871"/>
        <c:crossesAt val="-7.6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15883499666627859"/>
          <c:y val="0.16842811353274939"/>
          <c:w val="0.11631237498544804"/>
          <c:h val="0.24717068907796855"/>
        </c:manualLayout>
      </c:layout>
      <c:overlay val="0"/>
      <c:spPr>
        <a:solidFill>
          <a:schemeClr val="bg1"/>
        </a:solidFill>
        <a:ln>
          <a:solidFill>
            <a:schemeClr val="accent3">
              <a:lumMod val="60000"/>
              <a:lumOff val="4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</a:t>
            </a:r>
            <a:r>
              <a:rPr lang="pt-PT" baseline="0"/>
              <a:t> P para V = 10ml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 = 10ml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7</c:v>
                </c:pt>
              </c:numLit>
            </c:plus>
            <c:minus>
              <c:numLit>
                <c:formatCode>General</c:formatCode>
                <c:ptCount val="1"/>
                <c:pt idx="0">
                  <c:v>7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Folha1!$W$13:$W$20</c:f>
              <c:numCache>
                <c:formatCode>0.000</c:formatCode>
                <c:ptCount val="8"/>
                <c:pt idx="0" formatCode="0.0000">
                  <c:v>2.6753705388196266E-2</c:v>
                </c:pt>
                <c:pt idx="1">
                  <c:v>8.8519075860848007E-2</c:v>
                </c:pt>
                <c:pt idx="2" formatCode="0.0000">
                  <c:v>3.6279204759831665E-2</c:v>
                </c:pt>
                <c:pt idx="3">
                  <c:v>4.8007681228996631E-2</c:v>
                </c:pt>
                <c:pt idx="4">
                  <c:v>5.7035304853704442E-2</c:v>
                </c:pt>
                <c:pt idx="5">
                  <c:v>6.078657832350616E-2</c:v>
                </c:pt>
                <c:pt idx="6">
                  <c:v>6.4234326824254881E-2</c:v>
                </c:pt>
                <c:pt idx="7">
                  <c:v>7.320644216691069E-2</c:v>
                </c:pt>
              </c:numCache>
            </c:numRef>
          </c:xVal>
          <c:yVal>
            <c:numRef>
              <c:f>Folha1!$Y$13:$Y$20</c:f>
              <c:numCache>
                <c:formatCode>0.0</c:formatCode>
                <c:ptCount val="8"/>
                <c:pt idx="0">
                  <c:v>11.903413114085492</c:v>
                </c:pt>
                <c:pt idx="1">
                  <c:v>13.512010872100966</c:v>
                </c:pt>
                <c:pt idx="2">
                  <c:v>10.97633381961205</c:v>
                </c:pt>
                <c:pt idx="3">
                  <c:v>2.5206516951679081</c:v>
                </c:pt>
                <c:pt idx="4">
                  <c:v>-25.253420064364374</c:v>
                </c:pt>
                <c:pt idx="5">
                  <c:v>-47.071648117133606</c:v>
                </c:pt>
                <c:pt idx="6">
                  <c:v>19.852102842136343</c:v>
                </c:pt>
                <c:pt idx="7">
                  <c:v>13.560555838392663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06-4E72-AF04-762EA91A7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95871"/>
        <c:axId val="166596351"/>
      </c:scatterChart>
      <c:valAx>
        <c:axId val="166595871"/>
        <c:scaling>
          <c:orientation val="minMax"/>
          <c:max val="9.0000000000000024E-2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baseline="0">
                    <a:effectLst/>
                  </a:rPr>
                  <a:t>Q / mm</a:t>
                </a:r>
                <a:r>
                  <a:rPr lang="pt-PT" sz="1100" b="0" i="0" u="none" strike="noStrike" baseline="30000">
                    <a:effectLst/>
                  </a:rPr>
                  <a:t>3</a:t>
                </a:r>
                <a:r>
                  <a:rPr lang="pt-PT" sz="1100" b="0" i="0" u="none" strike="noStrike" baseline="0">
                    <a:effectLst/>
                  </a:rPr>
                  <a:t>/s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596351"/>
        <c:crossesAt val="-6"/>
        <c:crossBetween val="midCat"/>
      </c:valAx>
      <c:valAx>
        <c:axId val="16659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P - P</a:t>
                </a:r>
                <a:r>
                  <a:rPr lang="pt-PT" sz="1100" baseline="-25000"/>
                  <a:t>ajuste</a:t>
                </a:r>
                <a:r>
                  <a:rPr lang="pt-PT" sz="1100" baseline="0"/>
                  <a:t> /Pa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595871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</a:t>
            </a:r>
            <a:r>
              <a:rPr lang="pt-PT" baseline="0"/>
              <a:t> P para V = 15ml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 = 15ml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>
                    <a:alpha val="99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7</c:v>
                </c:pt>
              </c:numLit>
            </c:plus>
            <c:minus>
              <c:numLit>
                <c:formatCode>General</c:formatCode>
                <c:ptCount val="1"/>
                <c:pt idx="0">
                  <c:v>7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Folha1!$W$21:$W$28</c:f>
              <c:numCache>
                <c:formatCode>0.000</c:formatCode>
                <c:ptCount val="8"/>
                <c:pt idx="0" formatCode="0.0000">
                  <c:v>2.6390330582874433E-2</c:v>
                </c:pt>
                <c:pt idx="1">
                  <c:v>8.8668203582195404E-2</c:v>
                </c:pt>
                <c:pt idx="2" formatCode="0.0000">
                  <c:v>3.6279204759831665E-2</c:v>
                </c:pt>
                <c:pt idx="3" formatCode="0.0000">
                  <c:v>4.740085321535787E-2</c:v>
                </c:pt>
                <c:pt idx="4" formatCode="0.0000">
                  <c:v>5.5980593394289978E-2</c:v>
                </c:pt>
                <c:pt idx="5">
                  <c:v>5.9078377313903099E-2</c:v>
                </c:pt>
                <c:pt idx="6">
                  <c:v>6.3441042124851965E-2</c:v>
                </c:pt>
                <c:pt idx="7">
                  <c:v>7.2414791928164524E-2</c:v>
                </c:pt>
              </c:numCache>
            </c:numRef>
          </c:xVal>
          <c:yVal>
            <c:numRef>
              <c:f>Folha1!$Y$21:$Y$28</c:f>
              <c:numCache>
                <c:formatCode>0.0</c:formatCode>
                <c:ptCount val="8"/>
                <c:pt idx="0">
                  <c:v>7.2461619353341167</c:v>
                </c:pt>
                <c:pt idx="1">
                  <c:v>-13.092960594724978</c:v>
                </c:pt>
                <c:pt idx="2">
                  <c:v>-11.788017492366132</c:v>
                </c:pt>
                <c:pt idx="3">
                  <c:v>-6.6502147177516235E-2</c:v>
                </c:pt>
                <c:pt idx="4">
                  <c:v>-8.0819350750691576</c:v>
                </c:pt>
                <c:pt idx="5">
                  <c:v>-7.5635607863362431</c:v>
                </c:pt>
                <c:pt idx="6">
                  <c:v>12.816865496545482</c:v>
                </c:pt>
                <c:pt idx="7">
                  <c:v>20.52994866379354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E1-419A-A6A2-7A11782DD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95871"/>
        <c:axId val="166596351"/>
      </c:scatterChart>
      <c:valAx>
        <c:axId val="166595871"/>
        <c:scaling>
          <c:orientation val="minMax"/>
          <c:max val="9.0000000000000024E-2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baseline="0">
                    <a:effectLst/>
                  </a:rPr>
                  <a:t>Q / mm</a:t>
                </a:r>
                <a:r>
                  <a:rPr lang="pt-PT" sz="1100" b="0" i="0" u="none" strike="noStrike" baseline="30000">
                    <a:effectLst/>
                  </a:rPr>
                  <a:t>3</a:t>
                </a:r>
                <a:r>
                  <a:rPr lang="pt-PT" sz="1100" b="0" i="0" u="none" strike="noStrike" baseline="0">
                    <a:effectLst/>
                  </a:rPr>
                  <a:t>/s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596351"/>
        <c:crossesAt val="-6"/>
        <c:crossBetween val="midCat"/>
      </c:valAx>
      <c:valAx>
        <c:axId val="16659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P - P</a:t>
                </a:r>
                <a:r>
                  <a:rPr lang="pt-PT" sz="1100" baseline="-25000"/>
                  <a:t>ajuste</a:t>
                </a:r>
                <a:r>
                  <a:rPr lang="pt-PT" sz="1100" baseline="0"/>
                  <a:t> /Pa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59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</a:t>
            </a:r>
            <a:r>
              <a:rPr lang="pt-PT" baseline="0"/>
              <a:t> P para V = 20ml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 = 5ml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>
                    <a:alpha val="99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7</c:v>
                </c:pt>
              </c:numLit>
            </c:plus>
            <c:minus>
              <c:numLit>
                <c:formatCode>General</c:formatCode>
                <c:ptCount val="1"/>
                <c:pt idx="0">
                  <c:v>7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Folha1!$W$5:$W$12</c:f>
              <c:numCache>
                <c:formatCode>0.000</c:formatCode>
                <c:ptCount val="8"/>
                <c:pt idx="0">
                  <c:v>2.7112026895130682E-2</c:v>
                </c:pt>
                <c:pt idx="1">
                  <c:v>9.1524803221673057E-2</c:v>
                </c:pt>
                <c:pt idx="2">
                  <c:v>3.7554453958239448E-2</c:v>
                </c:pt>
                <c:pt idx="3">
                  <c:v>4.9338859285573314E-2</c:v>
                </c:pt>
                <c:pt idx="4">
                  <c:v>5.7877069105220502E-2</c:v>
                </c:pt>
                <c:pt idx="5">
                  <c:v>6.3099444724886419E-2</c:v>
                </c:pt>
                <c:pt idx="6">
                  <c:v>6.6586762551604728E-2</c:v>
                </c:pt>
                <c:pt idx="7">
                  <c:v>7.6852136489394388E-2</c:v>
                </c:pt>
              </c:numCache>
            </c:numRef>
          </c:xVal>
          <c:yVal>
            <c:numRef>
              <c:f>Folha1!$Y$29:$Y$36</c:f>
              <c:numCache>
                <c:formatCode>0.0</c:formatCode>
                <c:ptCount val="8"/>
                <c:pt idx="0">
                  <c:v>11.07284116317031</c:v>
                </c:pt>
                <c:pt idx="1">
                  <c:v>21.742233826420154</c:v>
                </c:pt>
                <c:pt idx="2">
                  <c:v>-10.669264203472251</c:v>
                </c:pt>
                <c:pt idx="3">
                  <c:v>28.30802561786183</c:v>
                </c:pt>
                <c:pt idx="4">
                  <c:v>-16.190111855409974</c:v>
                </c:pt>
                <c:pt idx="5">
                  <c:v>-12.739771770921227</c:v>
                </c:pt>
                <c:pt idx="6">
                  <c:v>-9.8527047096745868</c:v>
                </c:pt>
                <c:pt idx="7">
                  <c:v>-11.671248067975259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93-497B-A699-71357F359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95871"/>
        <c:axId val="166596351"/>
      </c:scatterChart>
      <c:valAx>
        <c:axId val="166595871"/>
        <c:scaling>
          <c:orientation val="minMax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0" i="0" u="none" strike="noStrike" baseline="0">
                    <a:effectLst/>
                  </a:rPr>
                  <a:t>Q / mm</a:t>
                </a:r>
                <a:r>
                  <a:rPr lang="pt-PT" sz="1100" b="0" i="0" u="none" strike="noStrike" baseline="30000">
                    <a:effectLst/>
                  </a:rPr>
                  <a:t>3</a:t>
                </a:r>
                <a:r>
                  <a:rPr lang="pt-PT" sz="1100" b="0" i="0" u="none" strike="noStrike" baseline="0">
                    <a:effectLst/>
                  </a:rPr>
                  <a:t>/s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596351"/>
        <c:crossesAt val="-6"/>
        <c:crossBetween val="midCat"/>
      </c:valAx>
      <c:valAx>
        <c:axId val="16659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P - P</a:t>
                </a:r>
                <a:r>
                  <a:rPr lang="pt-PT" sz="1100" baseline="-25000"/>
                  <a:t>ajuste</a:t>
                </a:r>
                <a:r>
                  <a:rPr lang="pt-PT" sz="1100" baseline="0"/>
                  <a:t> /Pa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6595871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</a:t>
            </a:r>
            <a:r>
              <a:rPr lang="pt-PT" baseline="0"/>
              <a:t> log(P) para cada volume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429722222222223"/>
          <c:y val="0.14945993094375806"/>
          <c:w val="0.77060384615384603"/>
          <c:h val="0.66667385870313622"/>
        </c:manualLayout>
      </c:layout>
      <c:scatterChart>
        <c:scatterStyle val="lineMarker"/>
        <c:varyColors val="0"/>
        <c:ser>
          <c:idx val="0"/>
          <c:order val="0"/>
          <c:tx>
            <c:v>V = 5ml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Folha1!$AA$5:$AA$12</c:f>
                <c:numCache>
                  <c:formatCode>General</c:formatCode>
                  <c:ptCount val="8"/>
                  <c:pt idx="0">
                    <c:v>3.3411849791366347E-3</c:v>
                  </c:pt>
                  <c:pt idx="1">
                    <c:v>9.9593013801188178E-4</c:v>
                  </c:pt>
                  <c:pt idx="2">
                    <c:v>2.4370996318408391E-3</c:v>
                  </c:pt>
                  <c:pt idx="3">
                    <c:v>1.8606598985611194E-3</c:v>
                  </c:pt>
                  <c:pt idx="4">
                    <c:v>1.5813241885990178E-3</c:v>
                  </c:pt>
                  <c:pt idx="5">
                    <c:v>1.4938952070178224E-3</c:v>
                  </c:pt>
                  <c:pt idx="6">
                    <c:v>1.3749124029190575E-3</c:v>
                  </c:pt>
                  <c:pt idx="7">
                    <c:v>1.2043806320143685E-3</c:v>
                  </c:pt>
                </c:numCache>
              </c:numRef>
            </c:plus>
            <c:minus>
              <c:numRef>
                <c:f>Folha1!$AA$5:$AA$12</c:f>
                <c:numCache>
                  <c:formatCode>General</c:formatCode>
                  <c:ptCount val="8"/>
                  <c:pt idx="0">
                    <c:v>3.3411849791366347E-3</c:v>
                  </c:pt>
                  <c:pt idx="1">
                    <c:v>9.9593013801188178E-4</c:v>
                  </c:pt>
                  <c:pt idx="2">
                    <c:v>2.4370996318408391E-3</c:v>
                  </c:pt>
                  <c:pt idx="3">
                    <c:v>1.8606598985611194E-3</c:v>
                  </c:pt>
                  <c:pt idx="4">
                    <c:v>1.5813241885990178E-3</c:v>
                  </c:pt>
                  <c:pt idx="5">
                    <c:v>1.4938952070178224E-3</c:v>
                  </c:pt>
                  <c:pt idx="6">
                    <c:v>1.3749124029190575E-3</c:v>
                  </c:pt>
                  <c:pt idx="7">
                    <c:v>1.2043806320143685E-3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Folha1!$AB$5:$AB$12</c:f>
              <c:numCache>
                <c:formatCode>0.00</c:formatCode>
                <c:ptCount val="8"/>
                <c:pt idx="0">
                  <c:v>-7.5668380133503383</c:v>
                </c:pt>
                <c:pt idx="1">
                  <c:v>-7.0384611961785639</c:v>
                </c:pt>
                <c:pt idx="2">
                  <c:v>-7.4253385482796332</c:v>
                </c:pt>
                <c:pt idx="3">
                  <c:v>-7.3068108956186339</c:v>
                </c:pt>
                <c:pt idx="4">
                  <c:v>-7.2374934696687285</c:v>
                </c:pt>
                <c:pt idx="5">
                  <c:v>-7.1999744625304904</c:v>
                </c:pt>
                <c:pt idx="6">
                  <c:v>-7.1766120999918668</c:v>
                </c:pt>
                <c:pt idx="7">
                  <c:v>-7.1143440546098162</c:v>
                </c:pt>
              </c:numCache>
            </c:numRef>
          </c:xVal>
          <c:yVal>
            <c:numRef>
              <c:f>Folha1!$AE$5:$AE$12</c:f>
              <c:numCache>
                <c:formatCode>0.0000</c:formatCode>
                <c:ptCount val="8"/>
                <c:pt idx="0">
                  <c:v>2.4911577469985957E-3</c:v>
                </c:pt>
                <c:pt idx="1">
                  <c:v>5.9384885933519982E-3</c:v>
                </c:pt>
                <c:pt idx="2">
                  <c:v>-3.3342913721989831E-4</c:v>
                </c:pt>
                <c:pt idx="3">
                  <c:v>-2.7464083779804582E-4</c:v>
                </c:pt>
                <c:pt idx="4">
                  <c:v>1.8611597587940842E-3</c:v>
                </c:pt>
                <c:pt idx="5">
                  <c:v>-1.0520189922836209E-2</c:v>
                </c:pt>
                <c:pt idx="6">
                  <c:v>2.434586737786848E-3</c:v>
                </c:pt>
                <c:pt idx="7">
                  <c:v>-1.5971329390742639E-3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29-4DB9-8EEC-DA9A7926B9D6}"/>
            </c:ext>
          </c:extLst>
        </c:ser>
        <c:ser>
          <c:idx val="1"/>
          <c:order val="1"/>
          <c:tx>
            <c:v>V = 10ml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Folha1!$AA$13:$AA$20</c:f>
                <c:numCache>
                  <c:formatCode>General</c:formatCode>
                  <c:ptCount val="8"/>
                  <c:pt idx="0">
                    <c:v>3.3056404580819885E-3</c:v>
                  </c:pt>
                  <c:pt idx="1">
                    <c:v>9.9593013801188178E-4</c:v>
                  </c:pt>
                  <c:pt idx="2">
                    <c:v>2.4370996318408391E-3</c:v>
                  </c:pt>
                  <c:pt idx="3">
                    <c:v>1.8495845420220659E-3</c:v>
                  </c:pt>
                  <c:pt idx="4">
                    <c:v>1.5773106754299847E-3</c:v>
                  </c:pt>
                  <c:pt idx="5">
                    <c:v>1.4938952070178224E-3</c:v>
                  </c:pt>
                  <c:pt idx="6">
                    <c:v>1.368855520086815E-3</c:v>
                  </c:pt>
                  <c:pt idx="7">
                    <c:v>1.2043806320143685E-3</c:v>
                  </c:pt>
                </c:numCache>
              </c:numRef>
            </c:plus>
            <c:minus>
              <c:numRef>
                <c:f>Folha1!$AA$13:$AA$20</c:f>
                <c:numCache>
                  <c:formatCode>General</c:formatCode>
                  <c:ptCount val="8"/>
                  <c:pt idx="0">
                    <c:v>3.3056404580819885E-3</c:v>
                  </c:pt>
                  <c:pt idx="1">
                    <c:v>9.9593013801188178E-4</c:v>
                  </c:pt>
                  <c:pt idx="2">
                    <c:v>2.4370996318408391E-3</c:v>
                  </c:pt>
                  <c:pt idx="3">
                    <c:v>1.8495845420220659E-3</c:v>
                  </c:pt>
                  <c:pt idx="4">
                    <c:v>1.5773106754299847E-3</c:v>
                  </c:pt>
                  <c:pt idx="5">
                    <c:v>1.4938952070178224E-3</c:v>
                  </c:pt>
                  <c:pt idx="6">
                    <c:v>1.368855520086815E-3</c:v>
                  </c:pt>
                  <c:pt idx="7">
                    <c:v>1.2043806320143685E-3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Folha1!$AB$13:$AB$20</c:f>
              <c:numCache>
                <c:formatCode>0.00</c:formatCode>
                <c:ptCount val="8"/>
                <c:pt idx="0">
                  <c:v>-7.572616059691252</c:v>
                </c:pt>
                <c:pt idx="1">
                  <c:v>-7.0529631287555032</c:v>
                </c:pt>
                <c:pt idx="2">
                  <c:v>-7.440342241242651</c:v>
                </c:pt>
                <c:pt idx="3">
                  <c:v>-7.3186892699477459</c:v>
                </c:pt>
                <c:pt idx="4">
                  <c:v>-7.2438562328065057</c:v>
                </c:pt>
                <c:pt idx="5">
                  <c:v>-7.2161923023639263</c:v>
                </c:pt>
                <c:pt idx="6">
                  <c:v>-7.1922328229242769</c:v>
                </c:pt>
                <c:pt idx="7">
                  <c:v>-7.1354506993455136</c:v>
                </c:pt>
              </c:numCache>
            </c:numRef>
          </c:xVal>
          <c:yVal>
            <c:numRef>
              <c:f>Folha1!$AE$13:$AE$20</c:f>
              <c:numCache>
                <c:formatCode>0.0000</c:formatCode>
                <c:ptCount val="8"/>
                <c:pt idx="0">
                  <c:v>1.7685836926948362E-3</c:v>
                </c:pt>
                <c:pt idx="1">
                  <c:v>3.3975914650543615E-3</c:v>
                </c:pt>
                <c:pt idx="2">
                  <c:v>1.9420552555229342E-3</c:v>
                </c:pt>
                <c:pt idx="3">
                  <c:v>1.4792392635509799E-4</c:v>
                </c:pt>
                <c:pt idx="4">
                  <c:v>-5.49141874479675E-3</c:v>
                </c:pt>
                <c:pt idx="5">
                  <c:v>-9.5446548037818602E-3</c:v>
                </c:pt>
                <c:pt idx="6">
                  <c:v>4.4701543367438035E-3</c:v>
                </c:pt>
                <c:pt idx="7">
                  <c:v>3.3097648722115736E-3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29-4DB9-8EEC-DA9A7926B9D6}"/>
            </c:ext>
          </c:extLst>
        </c:ser>
        <c:ser>
          <c:idx val="2"/>
          <c:order val="2"/>
          <c:tx>
            <c:v>V = 15ml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Folha1!$AA$21:$AA$28</c:f>
                <c:numCache>
                  <c:formatCode>General</c:formatCode>
                  <c:ptCount val="8"/>
                  <c:pt idx="0">
                    <c:v>3.3056404580819885E-3</c:v>
                  </c:pt>
                  <c:pt idx="1">
                    <c:v>9.9593013801188178E-4</c:v>
                  </c:pt>
                  <c:pt idx="2">
                    <c:v>2.4466945122811573E-3</c:v>
                  </c:pt>
                  <c:pt idx="3">
                    <c:v>1.8551056899086984E-3</c:v>
                  </c:pt>
                  <c:pt idx="4">
                    <c:v>1.5773106754299847E-3</c:v>
                  </c:pt>
                  <c:pt idx="5">
                    <c:v>1.4938952070178224E-3</c:v>
                  </c:pt>
                  <c:pt idx="6">
                    <c:v>1.3779609891783019E-3</c:v>
                  </c:pt>
                  <c:pt idx="7">
                    <c:v>1.2043806320143685E-3</c:v>
                  </c:pt>
                </c:numCache>
              </c:numRef>
            </c:plus>
            <c:minus>
              <c:numRef>
                <c:f>Folha1!$AA$21:$AA$28</c:f>
                <c:numCache>
                  <c:formatCode>General</c:formatCode>
                  <c:ptCount val="8"/>
                  <c:pt idx="0">
                    <c:v>3.3056404580819885E-3</c:v>
                  </c:pt>
                  <c:pt idx="1">
                    <c:v>9.9593013801188178E-4</c:v>
                  </c:pt>
                  <c:pt idx="2">
                    <c:v>2.4466945122811573E-3</c:v>
                  </c:pt>
                  <c:pt idx="3">
                    <c:v>1.8551056899086984E-3</c:v>
                  </c:pt>
                  <c:pt idx="4">
                    <c:v>1.5773106754299847E-3</c:v>
                  </c:pt>
                  <c:pt idx="5">
                    <c:v>1.4938952070178224E-3</c:v>
                  </c:pt>
                  <c:pt idx="6">
                    <c:v>1.3779609891783019E-3</c:v>
                  </c:pt>
                  <c:pt idx="7">
                    <c:v>1.2043806320143685E-3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Folha1!$AB$21:$AB$28</c:f>
              <c:numCache>
                <c:formatCode>0.00</c:formatCode>
                <c:ptCount val="8"/>
                <c:pt idx="0">
                  <c:v>-7.5785551694836659</c:v>
                </c:pt>
                <c:pt idx="1">
                  <c:v>-7.0522320902523346</c:v>
                </c:pt>
                <c:pt idx="2">
                  <c:v>-7.440342241242651</c:v>
                </c:pt>
                <c:pt idx="3">
                  <c:v>-7.3242138409548838</c:v>
                </c:pt>
                <c:pt idx="4">
                  <c:v>-7.2519625023239493</c:v>
                </c:pt>
                <c:pt idx="5">
                  <c:v>-7.2285714418180413</c:v>
                </c:pt>
                <c:pt idx="6">
                  <c:v>-7.1976296916211684</c:v>
                </c:pt>
                <c:pt idx="7">
                  <c:v>-7.1401727128550085</c:v>
                </c:pt>
              </c:numCache>
            </c:numRef>
          </c:xVal>
          <c:yVal>
            <c:numRef>
              <c:f>Folha1!$AE$21:$AE$28</c:f>
              <c:numCache>
                <c:formatCode>0.0000</c:formatCode>
                <c:ptCount val="8"/>
                <c:pt idx="0">
                  <c:v>3.0866677410563703E-3</c:v>
                </c:pt>
                <c:pt idx="1">
                  <c:v>-1.6224067823458199E-3</c:v>
                </c:pt>
                <c:pt idx="2">
                  <c:v>-4.2961769972644781E-3</c:v>
                </c:pt>
                <c:pt idx="3">
                  <c:v>-8.3912344147396567E-5</c:v>
                </c:pt>
                <c:pt idx="4">
                  <c:v>-1.803219103998277E-3</c:v>
                </c:pt>
                <c:pt idx="5">
                  <c:v>-1.5710713746388549E-3</c:v>
                </c:pt>
                <c:pt idx="6">
                  <c:v>2.604914072902087E-3</c:v>
                </c:pt>
                <c:pt idx="7">
                  <c:v>3.6852047884474715E-3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29-4DB9-8EEC-DA9A7926B9D6}"/>
            </c:ext>
          </c:extLst>
        </c:ser>
        <c:ser>
          <c:idx val="3"/>
          <c:order val="3"/>
          <c:tx>
            <c:v>V = 20ml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Folha1!$AA$29:$AA$36</c:f>
                <c:numCache>
                  <c:formatCode>General</c:formatCode>
                  <c:ptCount val="8"/>
                  <c:pt idx="0">
                    <c:v>3.3056404580819885E-3</c:v>
                  </c:pt>
                  <c:pt idx="1">
                    <c:v>9.9593013801188178E-4</c:v>
                  </c:pt>
                  <c:pt idx="2">
                    <c:v>2.4466945122811573E-3</c:v>
                  </c:pt>
                  <c:pt idx="3">
                    <c:v>1.8171356904076433E-3</c:v>
                  </c:pt>
                  <c:pt idx="4">
                    <c:v>1.5693444598975101E-3</c:v>
                  </c:pt>
                  <c:pt idx="5">
                    <c:v>1.4938952070178224E-3</c:v>
                  </c:pt>
                  <c:pt idx="6">
                    <c:v>1.3779609891783019E-3</c:v>
                  </c:pt>
                  <c:pt idx="7">
                    <c:v>1.2043806320143685E-3</c:v>
                  </c:pt>
                </c:numCache>
              </c:numRef>
            </c:plus>
            <c:minus>
              <c:numRef>
                <c:f>Folha1!$AA$29:$AA$36</c:f>
                <c:numCache>
                  <c:formatCode>General</c:formatCode>
                  <c:ptCount val="8"/>
                  <c:pt idx="0">
                    <c:v>3.3056404580819885E-3</c:v>
                  </c:pt>
                  <c:pt idx="1">
                    <c:v>9.9593013801188178E-4</c:v>
                  </c:pt>
                  <c:pt idx="2">
                    <c:v>2.4466945122811573E-3</c:v>
                  </c:pt>
                  <c:pt idx="3">
                    <c:v>1.8171356904076433E-3</c:v>
                  </c:pt>
                  <c:pt idx="4">
                    <c:v>1.5693444598975101E-3</c:v>
                  </c:pt>
                  <c:pt idx="5">
                    <c:v>1.4938952070178224E-3</c:v>
                  </c:pt>
                  <c:pt idx="6">
                    <c:v>1.3779609891783019E-3</c:v>
                  </c:pt>
                  <c:pt idx="7">
                    <c:v>1.2043806320143685E-3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Folha1!$AB$29:$AB$36</c:f>
              <c:numCache>
                <c:formatCode>0.00</c:formatCode>
                <c:ptCount val="8"/>
                <c:pt idx="0">
                  <c:v>-7.5782436958973873</c:v>
                </c:pt>
                <c:pt idx="1">
                  <c:v>-7.0623751280766447</c:v>
                </c:pt>
                <c:pt idx="2">
                  <c:v>-7.441451611157512</c:v>
                </c:pt>
                <c:pt idx="3">
                  <c:v>-7.3251871501236536</c:v>
                </c:pt>
                <c:pt idx="4">
                  <c:v>-7.251407021800083</c:v>
                </c:pt>
                <c:pt idx="5">
                  <c:v>-7.2311381360297196</c:v>
                </c:pt>
                <c:pt idx="6">
                  <c:v>-7.1971840375158429</c:v>
                </c:pt>
                <c:pt idx="7">
                  <c:v>-7.1391861804161287</c:v>
                </c:pt>
              </c:numCache>
            </c:numRef>
          </c:xVal>
          <c:yVal>
            <c:numRef>
              <c:f>Folha1!$AE$29:$AE$36</c:f>
              <c:numCache>
                <c:formatCode>0.0000</c:formatCode>
                <c:ptCount val="8"/>
                <c:pt idx="0">
                  <c:v>2.3731720825153069E-3</c:v>
                </c:pt>
                <c:pt idx="1">
                  <c:v>3.7129174360428507E-3</c:v>
                </c:pt>
                <c:pt idx="2">
                  <c:v>-4.7555718549214809E-3</c:v>
                </c:pt>
                <c:pt idx="3">
                  <c:v>7.3117741951116422E-3</c:v>
                </c:pt>
                <c:pt idx="4">
                  <c:v>-3.3453902073388164E-3</c:v>
                </c:pt>
                <c:pt idx="5">
                  <c:v>-2.3661603157822952E-3</c:v>
                </c:pt>
                <c:pt idx="6">
                  <c:v>-1.4883737163651212E-3</c:v>
                </c:pt>
                <c:pt idx="7">
                  <c:v>-1.4423676192549806E-3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29-4DB9-8EEC-DA9A7926B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55200"/>
        <c:axId val="174655680"/>
      </c:scatterChart>
      <c:valAx>
        <c:axId val="174655200"/>
        <c:scaling>
          <c:orientation val="minMax"/>
          <c:min val="-7.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log(Q)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4655680"/>
        <c:crossesAt val="-1.6000000000000004E-2"/>
        <c:crossBetween val="midCat"/>
      </c:valAx>
      <c:valAx>
        <c:axId val="174655680"/>
        <c:scaling>
          <c:orientation val="minMax"/>
          <c:max val="8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/>
                  <a:t>log(P)-log(P)|</a:t>
                </a:r>
                <a:r>
                  <a:rPr lang="pt-PT" sz="1100" baseline="-25000"/>
                  <a:t>ajuste </a:t>
                </a:r>
                <a:r>
                  <a:rPr lang="pt-PT" sz="1100" baseline="0"/>
                  <a:t>/s.u.</a:t>
                </a:r>
                <a:endParaRPr lang="pt-PT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4655200"/>
        <c:crossesAt val="-7.6"/>
        <c:crossBetween val="midCat"/>
        <c:majorUnit val="4.000000000000001E-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069615384615387"/>
          <c:y val="0.51730626081581799"/>
          <c:w val="0.13003034188034188"/>
          <c:h val="0.27064735173143639"/>
        </c:manualLayout>
      </c:layout>
      <c:overlay val="0"/>
      <c:spPr>
        <a:solidFill>
          <a:schemeClr val="bg1"/>
        </a:solidFill>
        <a:ln>
          <a:solidFill>
            <a:schemeClr val="accent3">
              <a:lumMod val="60000"/>
              <a:lumOff val="4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  <a:r>
              <a:rPr lang="pt-PT" baseline="0"/>
              <a:t> de P obrigando b = 0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63453151008197"/>
          <c:y val="0.17476984245065058"/>
          <c:w val="0.77998997422445082"/>
          <c:h val="0.61599966459126332"/>
        </c:manualLayout>
      </c:layout>
      <c:scatterChart>
        <c:scatterStyle val="lineMarker"/>
        <c:varyColors val="0"/>
        <c:ser>
          <c:idx val="0"/>
          <c:order val="0"/>
          <c:tx>
            <c:v>V = 5ml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7</c:v>
                </c:pt>
              </c:numLit>
            </c:plus>
            <c:minus>
              <c:numLit>
                <c:formatCode>General</c:formatCode>
                <c:ptCount val="1"/>
                <c:pt idx="0">
                  <c:v>7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Folha1!$W$5:$W$12</c:f>
              <c:numCache>
                <c:formatCode>0.000</c:formatCode>
                <c:ptCount val="8"/>
                <c:pt idx="0">
                  <c:v>2.7112026895130682E-2</c:v>
                </c:pt>
                <c:pt idx="1">
                  <c:v>9.1524803221673057E-2</c:v>
                </c:pt>
                <c:pt idx="2">
                  <c:v>3.7554453958239448E-2</c:v>
                </c:pt>
                <c:pt idx="3">
                  <c:v>4.9338859285573314E-2</c:v>
                </c:pt>
                <c:pt idx="4">
                  <c:v>5.7877069105220502E-2</c:v>
                </c:pt>
                <c:pt idx="5">
                  <c:v>6.3099444724886419E-2</c:v>
                </c:pt>
                <c:pt idx="6">
                  <c:v>6.6586762551604728E-2</c:v>
                </c:pt>
                <c:pt idx="7">
                  <c:v>7.6852136489394388E-2</c:v>
                </c:pt>
              </c:numCache>
            </c:numRef>
          </c:xVal>
          <c:yVal>
            <c:numRef>
              <c:f>Folha1!$V$40:$V$47</c:f>
              <c:numCache>
                <c:formatCode>0.0</c:formatCode>
                <c:ptCount val="8"/>
                <c:pt idx="0">
                  <c:v>13.693215123826803</c:v>
                </c:pt>
                <c:pt idx="1">
                  <c:v>27.152642640763133</c:v>
                </c:pt>
                <c:pt idx="2">
                  <c:v>6.0554725014583255</c:v>
                </c:pt>
                <c:pt idx="3">
                  <c:v>2.9769600488887136</c:v>
                </c:pt>
                <c:pt idx="4">
                  <c:v>9.3646710972377605</c:v>
                </c:pt>
                <c:pt idx="5">
                  <c:v>-50.748337918709922</c:v>
                </c:pt>
                <c:pt idx="6">
                  <c:v>10.084029177493449</c:v>
                </c:pt>
                <c:pt idx="7">
                  <c:v>-16.160272876766157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89-48FD-BA43-B66606AAC95C}"/>
            </c:ext>
          </c:extLst>
        </c:ser>
        <c:ser>
          <c:idx val="1"/>
          <c:order val="1"/>
          <c:tx>
            <c:v>V = 10ml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7</c:v>
                </c:pt>
              </c:numLit>
            </c:plus>
            <c:minus>
              <c:numLit>
                <c:formatCode>General</c:formatCode>
                <c:ptCount val="1"/>
                <c:pt idx="0">
                  <c:v>7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Folha1!$W$13:$W$20</c:f>
              <c:numCache>
                <c:formatCode>0.000</c:formatCode>
                <c:ptCount val="8"/>
                <c:pt idx="0" formatCode="0.0000">
                  <c:v>2.6753705388196266E-2</c:v>
                </c:pt>
                <c:pt idx="1">
                  <c:v>8.8519075860848007E-2</c:v>
                </c:pt>
                <c:pt idx="2" formatCode="0.0000">
                  <c:v>3.6279204759831665E-2</c:v>
                </c:pt>
                <c:pt idx="3">
                  <c:v>4.8007681228996631E-2</c:v>
                </c:pt>
                <c:pt idx="4">
                  <c:v>5.7035304853704442E-2</c:v>
                </c:pt>
                <c:pt idx="5">
                  <c:v>6.078657832350616E-2</c:v>
                </c:pt>
                <c:pt idx="6">
                  <c:v>6.4234326824254881E-2</c:v>
                </c:pt>
                <c:pt idx="7">
                  <c:v>7.320644216691069E-2</c:v>
                </c:pt>
              </c:numCache>
            </c:numRef>
          </c:xVal>
          <c:yVal>
            <c:numRef>
              <c:f>Folha1!$V$48:$V$55</c:f>
              <c:numCache>
                <c:formatCode>0.0</c:formatCode>
                <c:ptCount val="8"/>
                <c:pt idx="0">
                  <c:v>3.0642757783534762</c:v>
                </c:pt>
                <c:pt idx="1">
                  <c:v>19.779373631756243</c:v>
                </c:pt>
                <c:pt idx="2">
                  <c:v>4.4669316747331322</c:v>
                </c:pt>
                <c:pt idx="3">
                  <c:v>-1.1202137673540165</c:v>
                </c:pt>
                <c:pt idx="4">
                  <c:v>-26.68632018798894</c:v>
                </c:pt>
                <c:pt idx="5">
                  <c:v>-47.587066282894966</c:v>
                </c:pt>
                <c:pt idx="6">
                  <c:v>20.179930862010679</c:v>
                </c:pt>
                <c:pt idx="7">
                  <c:v>16.082773048236049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89-48FD-BA43-B66606AAC95C}"/>
            </c:ext>
          </c:extLst>
        </c:ser>
        <c:ser>
          <c:idx val="2"/>
          <c:order val="2"/>
          <c:tx>
            <c:v>V = 15ml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7</c:v>
                </c:pt>
              </c:numLit>
            </c:plus>
            <c:minus>
              <c:numLit>
                <c:formatCode>General</c:formatCode>
                <c:ptCount val="1"/>
                <c:pt idx="0">
                  <c:v>7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Folha1!$W$21:$W$28</c:f>
              <c:numCache>
                <c:formatCode>0.000</c:formatCode>
                <c:ptCount val="8"/>
                <c:pt idx="0" formatCode="0.0000">
                  <c:v>2.6390330582874433E-2</c:v>
                </c:pt>
                <c:pt idx="1">
                  <c:v>8.8668203582195404E-2</c:v>
                </c:pt>
                <c:pt idx="2" formatCode="0.0000">
                  <c:v>3.6279204759831665E-2</c:v>
                </c:pt>
                <c:pt idx="3" formatCode="0.0000">
                  <c:v>4.740085321535787E-2</c:v>
                </c:pt>
                <c:pt idx="4" formatCode="0.0000">
                  <c:v>5.5980593394289978E-2</c:v>
                </c:pt>
                <c:pt idx="5">
                  <c:v>5.9078377313903099E-2</c:v>
                </c:pt>
                <c:pt idx="6">
                  <c:v>6.3441042124851965E-2</c:v>
                </c:pt>
                <c:pt idx="7">
                  <c:v>7.2414791928164524E-2</c:v>
                </c:pt>
              </c:numCache>
            </c:numRef>
          </c:xVal>
          <c:yVal>
            <c:numRef>
              <c:f>Folha1!$V$56:$V$63</c:f>
              <c:numCache>
                <c:formatCode>0.0</c:formatCode>
                <c:ptCount val="8"/>
                <c:pt idx="0">
                  <c:v>7.2497365193466976</c:v>
                </c:pt>
                <c:pt idx="1">
                  <c:v>-13.095585053420564</c:v>
                </c:pt>
                <c:pt idx="2">
                  <c:v>-11.785427231523045</c:v>
                </c:pt>
                <c:pt idx="3">
                  <c:v>-6.5018917940506071E-2</c:v>
                </c:pt>
                <c:pt idx="4">
                  <c:v>-8.0813058598380394</c:v>
                </c:pt>
                <c:pt idx="5">
                  <c:v>-7.5632399197027098</c:v>
                </c:pt>
                <c:pt idx="6">
                  <c:v>12.816752110302332</c:v>
                </c:pt>
                <c:pt idx="7">
                  <c:v>20.528942044438736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89-48FD-BA43-B66606AAC95C}"/>
            </c:ext>
          </c:extLst>
        </c:ser>
        <c:ser>
          <c:idx val="3"/>
          <c:order val="3"/>
          <c:tx>
            <c:v>V = 20ml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7</c:v>
                </c:pt>
              </c:numLit>
            </c:plus>
            <c:minus>
              <c:numLit>
                <c:formatCode>General</c:formatCode>
                <c:ptCount val="1"/>
                <c:pt idx="0">
                  <c:v>7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Folha1!$W$29:$W$36</c:f>
              <c:numCache>
                <c:formatCode>0.000</c:formatCode>
                <c:ptCount val="8"/>
                <c:pt idx="0" formatCode="0.0000">
                  <c:v>2.6409264369940975E-2</c:v>
                </c:pt>
                <c:pt idx="1">
                  <c:v>8.6621334834769789E-2</c:v>
                </c:pt>
                <c:pt idx="2" formatCode="0.0000">
                  <c:v>3.6186650744540333E-2</c:v>
                </c:pt>
                <c:pt idx="3" formatCode="0.0000">
                  <c:v>4.7294740824820276E-2</c:v>
                </c:pt>
                <c:pt idx="4" formatCode="0.0000">
                  <c:v>5.6052240688321514E-2</c:v>
                </c:pt>
                <c:pt idx="5" formatCode="0.0000">
                  <c:v>5.8730251952780872E-2</c:v>
                </c:pt>
                <c:pt idx="6" formatCode="0.0000">
                  <c:v>6.3506175975613616E-2</c:v>
                </c:pt>
                <c:pt idx="7" formatCode="0.0000">
                  <c:v>7.2579474524604434E-2</c:v>
                </c:pt>
              </c:numCache>
            </c:numRef>
          </c:xVal>
          <c:yVal>
            <c:numRef>
              <c:f>Folha1!$V$64:$V$71</c:f>
              <c:numCache>
                <c:formatCode>0.0</c:formatCode>
                <c:ptCount val="8"/>
                <c:pt idx="0">
                  <c:v>-1.6375351847792672</c:v>
                </c:pt>
                <c:pt idx="1">
                  <c:v>30.669258487594561</c:v>
                </c:pt>
                <c:pt idx="2">
                  <c:v>-19.866105338711805</c:v>
                </c:pt>
                <c:pt idx="3">
                  <c:v>23.102912348098471</c:v>
                </c:pt>
                <c:pt idx="4">
                  <c:v>-18.248189407565633</c:v>
                </c:pt>
                <c:pt idx="5">
                  <c:v>-13.835497369577524</c:v>
                </c:pt>
                <c:pt idx="6">
                  <c:v>-9.2321866636038976</c:v>
                </c:pt>
                <c:pt idx="7">
                  <c:v>-7.7902110318673294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89-48FD-BA43-B66606AAC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330399"/>
        <c:axId val="1460332799"/>
      </c:scatterChart>
      <c:valAx>
        <c:axId val="1460330399"/>
        <c:scaling>
          <c:orientation val="minMax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Q</a:t>
                </a:r>
                <a:r>
                  <a:rPr lang="pt-PT" baseline="0"/>
                  <a:t> / m</a:t>
                </a:r>
                <a:r>
                  <a:rPr lang="pt-PT" baseline="30000"/>
                  <a:t>3</a:t>
                </a:r>
                <a:r>
                  <a:rPr lang="pt-PT" baseline="0"/>
                  <a:t>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60332799"/>
        <c:crossesAt val="-60"/>
        <c:crossBetween val="midCat"/>
      </c:valAx>
      <c:valAx>
        <c:axId val="1460332799"/>
        <c:scaling>
          <c:orientation val="minMax"/>
          <c:max val="40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P - P</a:t>
                </a:r>
                <a:r>
                  <a:rPr lang="pt-PT" sz="1000" b="0" i="0" baseline="-25000">
                    <a:effectLst/>
                  </a:rPr>
                  <a:t>ajuste</a:t>
                </a:r>
                <a:r>
                  <a:rPr lang="pt-PT" sz="1000" b="0" i="0" baseline="0">
                    <a:effectLst/>
                  </a:rPr>
                  <a:t> /Pa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60330399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402718777668582"/>
          <c:y val="0.50387400983733099"/>
          <c:w val="0.12034990285708154"/>
          <c:h val="0.26414436838830119"/>
        </c:manualLayout>
      </c:layout>
      <c:overlay val="0"/>
      <c:spPr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2281</xdr:colOff>
      <xdr:row>3</xdr:row>
      <xdr:rowOff>1995</xdr:rowOff>
    </xdr:from>
    <xdr:to>
      <xdr:col>46</xdr:col>
      <xdr:colOff>396031</xdr:colOff>
      <xdr:row>18</xdr:row>
      <xdr:rowOff>153173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4969FE-9641-45C5-EEAA-A5BB83E15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963</xdr:colOff>
      <xdr:row>20</xdr:row>
      <xdr:rowOff>1318</xdr:rowOff>
    </xdr:from>
    <xdr:to>
      <xdr:col>38</xdr:col>
      <xdr:colOff>299463</xdr:colOff>
      <xdr:row>37</xdr:row>
      <xdr:rowOff>138889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C6FA31-CB6D-6896-DCC7-20B53004A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4598</xdr:colOff>
      <xdr:row>3</xdr:row>
      <xdr:rowOff>379</xdr:rowOff>
    </xdr:from>
    <xdr:to>
      <xdr:col>38</xdr:col>
      <xdr:colOff>327521</xdr:colOff>
      <xdr:row>18</xdr:row>
      <xdr:rowOff>104456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41634D5-A689-8D04-0F10-456E36AF5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23166</xdr:colOff>
      <xdr:row>1</xdr:row>
      <xdr:rowOff>168405</xdr:rowOff>
    </xdr:from>
    <xdr:to>
      <xdr:col>62</xdr:col>
      <xdr:colOff>480416</xdr:colOff>
      <xdr:row>17</xdr:row>
      <xdr:rowOff>42905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0CA491F-2E48-A683-670B-36CFE745A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1</xdr:colOff>
      <xdr:row>19</xdr:row>
      <xdr:rowOff>190499</xdr:rowOff>
    </xdr:from>
    <xdr:to>
      <xdr:col>46</xdr:col>
      <xdr:colOff>393751</xdr:colOff>
      <xdr:row>37</xdr:row>
      <xdr:rowOff>137570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DF0DF19-48B9-4A1E-AEF0-941DBD26BB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-1</xdr:colOff>
      <xdr:row>40</xdr:row>
      <xdr:rowOff>0</xdr:rowOff>
    </xdr:from>
    <xdr:to>
      <xdr:col>38</xdr:col>
      <xdr:colOff>298499</xdr:colOff>
      <xdr:row>56</xdr:row>
      <xdr:rowOff>151178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F9F3F7E-7B3F-4480-B323-76E6CC222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0</xdr:colOff>
      <xdr:row>40</xdr:row>
      <xdr:rowOff>0</xdr:rowOff>
    </xdr:from>
    <xdr:to>
      <xdr:col>46</xdr:col>
      <xdr:colOff>393750</xdr:colOff>
      <xdr:row>56</xdr:row>
      <xdr:rowOff>151178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FE4E459-3FDC-47CC-9014-814BCCB65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55</xdr:col>
      <xdr:colOff>7938</xdr:colOff>
      <xdr:row>18</xdr:row>
      <xdr:rowOff>160337</xdr:rowOff>
    </xdr:from>
    <xdr:to>
      <xdr:col>62</xdr:col>
      <xdr:colOff>420738</xdr:colOff>
      <xdr:row>35</xdr:row>
      <xdr:rowOff>156394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60EDD11-40F0-ABB2-3F05-F11927229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171091</xdr:colOff>
      <xdr:row>60</xdr:row>
      <xdr:rowOff>25821</xdr:rowOff>
    </xdr:from>
    <xdr:to>
      <xdr:col>29</xdr:col>
      <xdr:colOff>552091</xdr:colOff>
      <xdr:row>76</xdr:row>
      <xdr:rowOff>15136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AEF65D9-FAEA-755A-05D9-4C8B47413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82"/>
  <sheetViews>
    <sheetView tabSelected="1" topLeftCell="J30" zoomScale="54" zoomScaleNormal="49" workbookViewId="0">
      <selection activeCell="Y55" sqref="Y55:AB57"/>
    </sheetView>
  </sheetViews>
  <sheetFormatPr defaultRowHeight="14.4" x14ac:dyDescent="0.3"/>
  <cols>
    <col min="2" max="2" width="13.33203125" customWidth="1"/>
    <col min="3" max="3" width="10.21875" bestFit="1" customWidth="1"/>
    <col min="4" max="4" width="18.6640625" bestFit="1" customWidth="1"/>
    <col min="5" max="5" width="21.33203125" bestFit="1" customWidth="1"/>
    <col min="6" max="6" width="11.88671875" customWidth="1"/>
    <col min="7" max="7" width="16.44140625" bestFit="1" customWidth="1"/>
    <col min="8" max="8" width="16.5546875" bestFit="1" customWidth="1"/>
    <col min="9" max="9" width="14.21875" bestFit="1" customWidth="1"/>
    <col min="10" max="10" width="12.5546875" bestFit="1" customWidth="1"/>
    <col min="11" max="11" width="11.6640625" customWidth="1"/>
    <col min="12" max="12" width="10.6640625" bestFit="1" customWidth="1"/>
    <col min="13" max="13" width="12.77734375" bestFit="1" customWidth="1"/>
    <col min="14" max="14" width="9" bestFit="1" customWidth="1"/>
    <col min="16" max="16" width="11.44140625" bestFit="1" customWidth="1"/>
    <col min="17" max="17" width="10.6640625" bestFit="1" customWidth="1"/>
    <col min="18" max="18" width="15.33203125" bestFit="1" customWidth="1"/>
    <col min="19" max="19" width="13.88671875" customWidth="1"/>
    <col min="20" max="20" width="12" bestFit="1" customWidth="1"/>
    <col min="21" max="21" width="13.21875" bestFit="1" customWidth="1"/>
    <col min="22" max="22" width="19" bestFit="1" customWidth="1"/>
    <col min="23" max="23" width="18.33203125" bestFit="1" customWidth="1"/>
    <col min="24" max="24" width="12.33203125" bestFit="1" customWidth="1"/>
    <col min="25" max="25" width="19" bestFit="1" customWidth="1"/>
    <col min="26" max="26" width="10.6640625" customWidth="1"/>
    <col min="27" max="27" width="10" customWidth="1"/>
    <col min="28" max="28" width="11.77734375" customWidth="1"/>
    <col min="29" max="29" width="12.109375" customWidth="1"/>
    <col min="30" max="30" width="13.33203125" customWidth="1"/>
    <col min="31" max="31" width="19.44140625" bestFit="1" customWidth="1"/>
    <col min="32" max="32" width="12.109375" bestFit="1" customWidth="1"/>
    <col min="33" max="33" width="13.5546875" customWidth="1"/>
    <col min="34" max="34" width="11.44140625" customWidth="1"/>
    <col min="36" max="36" width="8.88671875" customWidth="1"/>
    <col min="49" max="49" width="12" bestFit="1" customWidth="1"/>
    <col min="50" max="50" width="9" bestFit="1" customWidth="1"/>
    <col min="54" max="54" width="15.6640625" bestFit="1" customWidth="1"/>
  </cols>
  <sheetData>
    <row r="1" spans="2:70" x14ac:dyDescent="0.3">
      <c r="B1" s="267"/>
      <c r="C1" s="268" t="s">
        <v>2</v>
      </c>
      <c r="D1" s="269" t="s">
        <v>23</v>
      </c>
    </row>
    <row r="2" spans="2:70" ht="18.600000000000001" thickBot="1" x14ac:dyDescent="0.4">
      <c r="B2" s="270" t="s">
        <v>6</v>
      </c>
      <c r="C2" s="54">
        <f>792/2 * 0.001*0.001</f>
        <v>3.9600000000000003E-4</v>
      </c>
      <c r="D2" s="273">
        <f xml:space="preserve"> 2.5 * 0.001*0.001</f>
        <v>2.5000000000000002E-6</v>
      </c>
      <c r="F2" s="14" t="s">
        <v>13</v>
      </c>
      <c r="G2" s="15" t="s">
        <v>14</v>
      </c>
      <c r="H2" s="8" t="s">
        <v>15</v>
      </c>
      <c r="I2" s="16" t="s">
        <v>12</v>
      </c>
      <c r="P2" s="320" t="s">
        <v>17</v>
      </c>
      <c r="Q2" s="320"/>
      <c r="R2" s="320"/>
      <c r="S2" s="320"/>
      <c r="AI2" s="320" t="s">
        <v>19</v>
      </c>
      <c r="AJ2" s="320"/>
      <c r="AK2" s="320"/>
      <c r="AL2" s="320"/>
      <c r="AM2" s="320"/>
      <c r="AN2" s="320"/>
      <c r="AO2" s="113"/>
    </row>
    <row r="3" spans="2:70" ht="16.2" thickBot="1" x14ac:dyDescent="0.4">
      <c r="B3" s="270" t="s">
        <v>7</v>
      </c>
      <c r="C3" s="188">
        <f>325*0.001</f>
        <v>0.32500000000000001</v>
      </c>
      <c r="D3" s="271">
        <f>0.5*0.001</f>
        <v>5.0000000000000001E-4</v>
      </c>
      <c r="AV3" s="59" t="s">
        <v>3</v>
      </c>
      <c r="AW3" s="49">
        <f t="array" ref="AW3:AX5">LINEST(R5:R12,S5:S12,1,1)</f>
        <v>33007762992.612064</v>
      </c>
      <c r="AX3" s="18">
        <v>3.0640255002572303</v>
      </c>
      <c r="AY3" s="62" t="s">
        <v>4</v>
      </c>
      <c r="BA3" s="189" t="s">
        <v>50</v>
      </c>
      <c r="BB3" s="192">
        <f>(AW3*PI()*(C2^4)/(8*C3))</f>
        <v>9.8078397357770982E-4</v>
      </c>
      <c r="BL3" s="59" t="s">
        <v>3</v>
      </c>
      <c r="BM3" s="19" cm="1">
        <f t="array" ref="BM3:BN7">LINEST(Z5:Z12,AB5:AB12,1,1)</f>
        <v>0.98835584311485836</v>
      </c>
      <c r="BN3" s="18">
        <v>10.43521923767247</v>
      </c>
      <c r="BO3" s="62" t="s">
        <v>4</v>
      </c>
      <c r="BQ3" s="259" t="s">
        <v>60</v>
      </c>
      <c r="BR3" s="260">
        <f>BM4/BM3*100</f>
        <v>1.1692504408002853</v>
      </c>
    </row>
    <row r="4" spans="2:70" ht="17.399999999999999" thickBot="1" x14ac:dyDescent="0.4">
      <c r="B4" s="191" t="s">
        <v>20</v>
      </c>
      <c r="C4" s="274">
        <v>9.8066499999999994</v>
      </c>
      <c r="D4" s="272" t="s">
        <v>44</v>
      </c>
      <c r="O4" s="1"/>
      <c r="P4" s="58" t="s">
        <v>30</v>
      </c>
      <c r="Q4" s="95" t="s">
        <v>0</v>
      </c>
      <c r="R4" s="56" t="s">
        <v>61</v>
      </c>
      <c r="S4" s="56" t="s">
        <v>24</v>
      </c>
      <c r="T4" s="65" t="s">
        <v>25</v>
      </c>
      <c r="U4" s="56" t="s">
        <v>36</v>
      </c>
      <c r="V4" s="114" t="s">
        <v>66</v>
      </c>
      <c r="W4" s="106" t="s">
        <v>67</v>
      </c>
      <c r="X4" s="65" t="s">
        <v>64</v>
      </c>
      <c r="Y4" s="65" t="s">
        <v>40</v>
      </c>
      <c r="Z4" s="65" t="s">
        <v>45</v>
      </c>
      <c r="AA4" s="65" t="s">
        <v>57</v>
      </c>
      <c r="AB4" s="65" t="s">
        <v>46</v>
      </c>
      <c r="AC4" s="65" t="s">
        <v>58</v>
      </c>
      <c r="AD4" s="65" t="s">
        <v>52</v>
      </c>
      <c r="AE4" s="65" t="s">
        <v>53</v>
      </c>
      <c r="AV4" s="60" t="s">
        <v>54</v>
      </c>
      <c r="AW4" s="68">
        <v>469048184.90233916</v>
      </c>
      <c r="AX4" s="22">
        <v>29.022228299294891</v>
      </c>
      <c r="AY4" s="63" t="s">
        <v>55</v>
      </c>
      <c r="BA4" s="190" t="s">
        <v>51</v>
      </c>
      <c r="BB4" s="193">
        <f>(PI()/8)*SQRT((((C2^4)/C3)*AW4)^2 + ((4*AW3*C2^3)/(8*C3)*D2)^2 + (-(AW3*C2^4)/(C3^2)*D3)^2)</f>
        <v>1.4356401065237957E-5</v>
      </c>
      <c r="BL4" s="60" t="s">
        <v>54</v>
      </c>
      <c r="BM4" s="213">
        <v>1.1556355052295858E-2</v>
      </c>
      <c r="BN4" s="22">
        <v>8.3899128536556497E-2</v>
      </c>
      <c r="BO4" s="63" t="s">
        <v>55</v>
      </c>
      <c r="BQ4" s="259" t="s">
        <v>59</v>
      </c>
      <c r="BR4" s="260">
        <f>ABS(1-BM3)*100</f>
        <v>1.1644156885141643</v>
      </c>
    </row>
    <row r="5" spans="2:70" ht="17.399999999999999" thickBot="1" x14ac:dyDescent="0.4">
      <c r="O5" s="1"/>
      <c r="P5" s="325">
        <v>5</v>
      </c>
      <c r="Q5" s="20">
        <v>1</v>
      </c>
      <c r="R5" s="279">
        <f>J14</f>
        <v>909.87520664250007</v>
      </c>
      <c r="S5" s="42">
        <f>K14</f>
        <v>2.7112026895130681E-8</v>
      </c>
      <c r="T5" s="82">
        <f>L14</f>
        <v>1.3556021419171306E-9</v>
      </c>
      <c r="U5" s="18">
        <f>M14</f>
        <v>22.9</v>
      </c>
      <c r="V5" s="282">
        <f t="shared" ref="V5:V36" si="0">R5*0.001</f>
        <v>0.9098752066425001</v>
      </c>
      <c r="W5" s="168">
        <f t="shared" ref="W5:W36" si="1">S5*1000000</f>
        <v>2.7112026895130682E-2</v>
      </c>
      <c r="X5" s="80">
        <f t="shared" ref="X5:X12" si="2">(S5*$AW$3+$AX$3)*0.001</f>
        <v>0.8979713835040547</v>
      </c>
      <c r="Y5" s="18">
        <f t="shared" ref="Y5:Y36" si="3">(V5-X5)*1000</f>
        <v>11.903823138445402</v>
      </c>
      <c r="Z5" s="224">
        <f t="shared" ref="Z5:Z36" si="4">LOG10(R5)</f>
        <v>2.9589818310210356</v>
      </c>
      <c r="AA5" s="224">
        <f t="shared" ref="AA5:AA36" si="5">1/(R5*LN(10))*7</f>
        <v>3.3411849791366347E-3</v>
      </c>
      <c r="AB5" s="19">
        <f t="shared" ref="AB5:AB36" si="6">LOG10(S5)</f>
        <v>-7.5668380133503383</v>
      </c>
      <c r="AC5" s="19">
        <f t="shared" ref="AC5:AC36" si="7">1/(S5*LN(10))*T5</f>
        <v>2.1714736864493694E-2</v>
      </c>
      <c r="AD5" s="224">
        <f t="shared" ref="AD5:AD12" si="8">BM$3*AB5+BN$3</f>
        <v>2.956490673274037</v>
      </c>
      <c r="AE5" s="80">
        <f t="shared" ref="AE5:AE36" si="9">Z5-AD5</f>
        <v>2.4911577469985957E-3</v>
      </c>
      <c r="AV5" s="61" t="s">
        <v>5</v>
      </c>
      <c r="AW5" s="69">
        <v>0.99878988089092813</v>
      </c>
      <c r="AX5" s="24">
        <v>25.783793792384806</v>
      </c>
      <c r="AY5" s="64" t="s">
        <v>56</v>
      </c>
      <c r="BA5" s="190" t="s">
        <v>47</v>
      </c>
      <c r="BB5" s="194">
        <f>(BB4/BB3)* 100</f>
        <v>1.4637679093458869</v>
      </c>
      <c r="BL5" s="61" t="s">
        <v>5</v>
      </c>
      <c r="BM5" s="69">
        <v>0.99918038436484702</v>
      </c>
      <c r="BN5" s="24">
        <v>5.2325021761792422E-3</v>
      </c>
      <c r="BO5" s="64" t="s">
        <v>56</v>
      </c>
      <c r="BR5" s="261"/>
    </row>
    <row r="6" spans="2:70" ht="21.6" thickBot="1" x14ac:dyDescent="0.45">
      <c r="C6" s="324" t="s">
        <v>16</v>
      </c>
      <c r="D6" s="324"/>
      <c r="E6" s="324"/>
      <c r="O6" s="1"/>
      <c r="P6" s="326"/>
      <c r="Q6" s="96">
        <v>2</v>
      </c>
      <c r="R6" s="299">
        <f>J18</f>
        <v>3052.4845642199994</v>
      </c>
      <c r="S6" s="142">
        <f>K18</f>
        <v>9.1524803221673056E-8</v>
      </c>
      <c r="T6" s="149">
        <f>L18</f>
        <v>4.5762708283417053E-9</v>
      </c>
      <c r="U6" s="127">
        <f>M18</f>
        <v>23</v>
      </c>
      <c r="V6" s="283">
        <f t="shared" si="0"/>
        <v>3.0524845642199994</v>
      </c>
      <c r="W6" s="169">
        <f t="shared" si="1"/>
        <v>9.1524803221673057E-2</v>
      </c>
      <c r="X6" s="115">
        <f t="shared" si="2"/>
        <v>3.0240930381866988</v>
      </c>
      <c r="Y6" s="127">
        <f t="shared" si="3"/>
        <v>28.391526033300529</v>
      </c>
      <c r="Z6" s="225">
        <f t="shared" si="4"/>
        <v>3.4846534764855432</v>
      </c>
      <c r="AA6" s="225">
        <f t="shared" si="5"/>
        <v>9.9593013801188178E-4</v>
      </c>
      <c r="AB6" s="212">
        <f t="shared" si="6"/>
        <v>-7.0384611961785639</v>
      </c>
      <c r="AC6" s="212">
        <f t="shared" si="7"/>
        <v>2.1714869614415058E-2</v>
      </c>
      <c r="AD6" s="225">
        <f t="shared" si="8"/>
        <v>3.4787149878921912</v>
      </c>
      <c r="AE6" s="115">
        <f t="shared" si="9"/>
        <v>5.9384885933519982E-3</v>
      </c>
      <c r="BA6" s="191" t="s">
        <v>49</v>
      </c>
      <c r="BB6" s="195">
        <f>(ABS(D10-BB3)/D10)*100</f>
        <v>4.6057992297045427</v>
      </c>
      <c r="BM6" s="240">
        <v>7314.5045666074739</v>
      </c>
      <c r="BN6" s="240">
        <v>6</v>
      </c>
      <c r="BR6" s="261"/>
    </row>
    <row r="7" spans="2:70" ht="15" thickBot="1" x14ac:dyDescent="0.35">
      <c r="O7" s="1"/>
      <c r="P7" s="326"/>
      <c r="Q7" s="23">
        <v>3</v>
      </c>
      <c r="R7" s="300">
        <f>J22</f>
        <v>1247.4095574937501</v>
      </c>
      <c r="S7" s="84">
        <f>K22</f>
        <v>3.7554453958239448E-8</v>
      </c>
      <c r="T7" s="68">
        <f>L22</f>
        <v>1.8777248164882328E-9</v>
      </c>
      <c r="U7" s="22">
        <f>M22</f>
        <v>22.9</v>
      </c>
      <c r="V7" s="284">
        <f t="shared" si="0"/>
        <v>1.24740955749375</v>
      </c>
      <c r="W7" s="170">
        <f t="shared" si="1"/>
        <v>3.7554453958239448E-2</v>
      </c>
      <c r="X7" s="116">
        <f t="shared" si="2"/>
        <v>1.2426525410707872</v>
      </c>
      <c r="Y7" s="22">
        <f t="shared" si="3"/>
        <v>4.7570164229628897</v>
      </c>
      <c r="Z7" s="226">
        <f t="shared" si="4"/>
        <v>3.0960090672370746</v>
      </c>
      <c r="AA7" s="226">
        <f t="shared" si="5"/>
        <v>2.4370996318408391E-3</v>
      </c>
      <c r="AB7" s="213">
        <f t="shared" si="6"/>
        <v>-7.4253385482796332</v>
      </c>
      <c r="AC7" s="213">
        <f t="shared" si="7"/>
        <v>2.1714748595212049E-2</v>
      </c>
      <c r="AD7" s="226">
        <f t="shared" si="8"/>
        <v>3.0963424963742945</v>
      </c>
      <c r="AE7" s="116">
        <f t="shared" si="9"/>
        <v>-3.3342913721989831E-4</v>
      </c>
      <c r="BM7" s="240">
        <v>0.20026439854851055</v>
      </c>
      <c r="BN7" s="240">
        <v>1.6427447414232304E-4</v>
      </c>
      <c r="BR7" s="261"/>
    </row>
    <row r="8" spans="2:70" ht="16.2" thickBot="1" x14ac:dyDescent="0.4">
      <c r="C8" s="179" t="s">
        <v>41</v>
      </c>
      <c r="D8" s="257">
        <f>AVERAGE(M14:M45)</f>
        <v>22.724999999999994</v>
      </c>
      <c r="O8" s="1"/>
      <c r="P8" s="326"/>
      <c r="Q8" s="96">
        <v>4</v>
      </c>
      <c r="R8" s="299">
        <f>J26</f>
        <v>1633.8619302075003</v>
      </c>
      <c r="S8" s="142">
        <f>K26</f>
        <v>4.9338859285573314E-8</v>
      </c>
      <c r="T8" s="149">
        <f>L26</f>
        <v>2.4669477685428563E-9</v>
      </c>
      <c r="U8" s="127">
        <f>M26</f>
        <v>23</v>
      </c>
      <c r="V8" s="283">
        <f t="shared" si="0"/>
        <v>1.6338619302075004</v>
      </c>
      <c r="W8" s="169">
        <f t="shared" si="1"/>
        <v>4.9338859285573314E-2</v>
      </c>
      <c r="X8" s="115">
        <f t="shared" si="2"/>
        <v>1.6316293991242983</v>
      </c>
      <c r="Y8" s="127">
        <f t="shared" si="3"/>
        <v>2.2325310832020939</v>
      </c>
      <c r="Z8" s="225">
        <f t="shared" si="4"/>
        <v>3.2132153536146841</v>
      </c>
      <c r="AA8" s="225">
        <f t="shared" si="5"/>
        <v>1.8606598985611194E-3</v>
      </c>
      <c r="AB8" s="212">
        <f t="shared" si="6"/>
        <v>-7.3068108956186339</v>
      </c>
      <c r="AC8" s="212">
        <f t="shared" si="7"/>
        <v>2.1714766383643877E-2</v>
      </c>
      <c r="AD8" s="225">
        <f t="shared" si="8"/>
        <v>3.2134899944524822</v>
      </c>
      <c r="AE8" s="115">
        <f t="shared" si="9"/>
        <v>-2.7464083779804582E-4</v>
      </c>
      <c r="AV8" s="59" t="s">
        <v>3</v>
      </c>
      <c r="AW8" s="70">
        <f t="array" ref="AW8:AX10">LINEST(R13:R20,S13:S20,1,1)</f>
        <v>34505049336.515129</v>
      </c>
      <c r="AX8" s="75">
        <v>-15.382526453387982</v>
      </c>
      <c r="AY8" s="62" t="s">
        <v>4</v>
      </c>
      <c r="BA8" s="189" t="s">
        <v>50</v>
      </c>
      <c r="BB8" s="196">
        <f>(AW8*PI()*(C2^4)/(8*C3))</f>
        <v>1.0252739455362935E-3</v>
      </c>
      <c r="BL8" s="59" t="s">
        <v>3</v>
      </c>
      <c r="BM8" s="215" cm="1">
        <f t="array" ref="BM8:BN12">LINEST(Z13:Z20,AB13:AB20,1,1)</f>
        <v>0.99950890628307321</v>
      </c>
      <c r="BN8" s="25">
        <v>10.530755347897744</v>
      </c>
      <c r="BO8" s="62" t="s">
        <v>4</v>
      </c>
      <c r="BQ8" s="259" t="s">
        <v>60</v>
      </c>
      <c r="BR8" s="262">
        <f>BM9/BM8*100</f>
        <v>1.1998037126911749</v>
      </c>
    </row>
    <row r="9" spans="2:70" ht="16.2" thickBot="1" x14ac:dyDescent="0.4">
      <c r="D9" s="266">
        <f>_xlfn.STDEV.S(M14:M45)/SQRT(32)</f>
        <v>6.3500063500095266E-2</v>
      </c>
      <c r="F9" s="66" t="s">
        <v>21</v>
      </c>
      <c r="G9" s="67">
        <f>SQRT(2)*0.0005</f>
        <v>7.0710678118654762E-4</v>
      </c>
      <c r="O9" s="1"/>
      <c r="P9" s="326"/>
      <c r="Q9" s="23">
        <v>5</v>
      </c>
      <c r="R9" s="300">
        <f>J30</f>
        <v>1922.4782591962503</v>
      </c>
      <c r="S9" s="84">
        <f>K30</f>
        <v>5.7877069105220505E-8</v>
      </c>
      <c r="T9" s="68">
        <f>L30</f>
        <v>2.8938612102109964E-9</v>
      </c>
      <c r="U9" s="22">
        <f>M30</f>
        <v>23</v>
      </c>
      <c r="V9" s="284">
        <f t="shared" si="0"/>
        <v>1.9224782591962504</v>
      </c>
      <c r="W9" s="170">
        <f t="shared" si="1"/>
        <v>5.7877069105220502E-2</v>
      </c>
      <c r="X9" s="116">
        <f t="shared" si="2"/>
        <v>1.9134566052324058</v>
      </c>
      <c r="Y9" s="22">
        <f t="shared" si="3"/>
        <v>9.0216539638445781</v>
      </c>
      <c r="Z9" s="226">
        <f t="shared" si="4"/>
        <v>3.2838614371785462</v>
      </c>
      <c r="AA9" s="226">
        <f t="shared" si="5"/>
        <v>1.5813241885990178E-3</v>
      </c>
      <c r="AB9" s="213">
        <f t="shared" si="6"/>
        <v>-7.2374934696687285</v>
      </c>
      <c r="AC9" s="213">
        <f t="shared" si="7"/>
        <v>2.171478228629134E-2</v>
      </c>
      <c r="AD9" s="226">
        <f t="shared" si="8"/>
        <v>3.2820002774197521</v>
      </c>
      <c r="AE9" s="116">
        <f t="shared" si="9"/>
        <v>1.8611597587940842E-3</v>
      </c>
      <c r="AV9" s="60" t="s">
        <v>54</v>
      </c>
      <c r="AW9" s="73">
        <v>485291809.13154423</v>
      </c>
      <c r="AX9" s="74">
        <v>29.019056216577059</v>
      </c>
      <c r="AY9" s="63" t="s">
        <v>55</v>
      </c>
      <c r="BA9" s="190" t="s">
        <v>51</v>
      </c>
      <c r="BB9" s="197">
        <f>(PI()/8)*SQRT((((C2^4)/C3)*AW9)^2 + ((4*AW8*C2^3)/(8*C3)*D2)^2 + (-(AW8*C2^4)/(C3^2)*D3)^2)</f>
        <v>1.4862487153813878E-5</v>
      </c>
      <c r="BL9" s="60" t="s">
        <v>54</v>
      </c>
      <c r="BM9" s="29">
        <v>1.1992144966263269E-2</v>
      </c>
      <c r="BN9" s="28">
        <v>8.7221779526882343E-2</v>
      </c>
      <c r="BO9" s="63" t="s">
        <v>55</v>
      </c>
      <c r="BQ9" s="259" t="s">
        <v>59</v>
      </c>
      <c r="BR9" s="262">
        <f>ABS(1-BM8)*100</f>
        <v>4.9109371692679371E-2</v>
      </c>
    </row>
    <row r="10" spans="2:70" ht="17.399999999999999" thickBot="1" x14ac:dyDescent="0.4">
      <c r="C10" s="275" t="s">
        <v>48</v>
      </c>
      <c r="D10" s="276">
        <v>9.3760000000000002E-4</v>
      </c>
      <c r="O10" s="1"/>
      <c r="P10" s="326"/>
      <c r="Q10" s="96">
        <v>6</v>
      </c>
      <c r="R10" s="299">
        <f>J34</f>
        <v>2034.9897094799996</v>
      </c>
      <c r="S10" s="142">
        <f>K34</f>
        <v>6.3099444724886426E-8</v>
      </c>
      <c r="T10" s="149">
        <f>L34</f>
        <v>3.1549822855466522E-9</v>
      </c>
      <c r="U10" s="127">
        <f>M34</f>
        <v>22.9</v>
      </c>
      <c r="V10" s="283">
        <f t="shared" si="0"/>
        <v>2.0349897094799996</v>
      </c>
      <c r="W10" s="169">
        <f t="shared" si="1"/>
        <v>6.3099444724886419E-2</v>
      </c>
      <c r="X10" s="115">
        <f t="shared" si="2"/>
        <v>2.0858355419447339</v>
      </c>
      <c r="Y10" s="127">
        <f t="shared" si="3"/>
        <v>-50.845832464734286</v>
      </c>
      <c r="Z10" s="225">
        <f t="shared" si="4"/>
        <v>3.3085622174298619</v>
      </c>
      <c r="AA10" s="225">
        <f t="shared" si="5"/>
        <v>1.4938952070178224E-3</v>
      </c>
      <c r="AB10" s="212">
        <f t="shared" si="6"/>
        <v>-7.1999744625304904</v>
      </c>
      <c r="AC10" s="212">
        <f t="shared" si="7"/>
        <v>2.1714793261485184E-2</v>
      </c>
      <c r="AD10" s="225">
        <f t="shared" si="8"/>
        <v>3.3190824073526981</v>
      </c>
      <c r="AE10" s="115">
        <f t="shared" si="9"/>
        <v>-1.0520189922836209E-2</v>
      </c>
      <c r="AV10" s="61" t="s">
        <v>5</v>
      </c>
      <c r="AW10" s="79">
        <v>0.99881456775754085</v>
      </c>
      <c r="AX10" s="32">
        <v>25.438059458128564</v>
      </c>
      <c r="AY10" s="64" t="s">
        <v>56</v>
      </c>
      <c r="BA10" s="190" t="s">
        <v>47</v>
      </c>
      <c r="BB10" s="198">
        <f>(BB9/BB8) * 100</f>
        <v>1.4496113178843832</v>
      </c>
      <c r="BL10" s="61" t="s">
        <v>5</v>
      </c>
      <c r="BM10" s="32">
        <v>0.99913702799451787</v>
      </c>
      <c r="BN10" s="32">
        <v>5.3331965805800199E-3</v>
      </c>
      <c r="BO10" s="64" t="s">
        <v>56</v>
      </c>
      <c r="BR10" s="261"/>
    </row>
    <row r="11" spans="2:70" ht="16.8" thickBot="1" x14ac:dyDescent="0.35">
      <c r="C11" s="277" t="s">
        <v>43</v>
      </c>
      <c r="D11" s="278">
        <f>0.99765*1000</f>
        <v>997.65000000000009</v>
      </c>
      <c r="F11" s="66" t="s">
        <v>22</v>
      </c>
      <c r="G11" s="256">
        <f>D11*C4*G9</f>
        <v>6.9180529962411077</v>
      </c>
      <c r="O11" s="1"/>
      <c r="P11" s="326"/>
      <c r="Q11" s="23">
        <v>7</v>
      </c>
      <c r="R11" s="300">
        <f>J38</f>
        <v>2211.0945881850002</v>
      </c>
      <c r="S11" s="84">
        <f>K38</f>
        <v>6.6586762551604726E-8</v>
      </c>
      <c r="T11" s="68">
        <f>L38</f>
        <v>3.3293499368466734E-9</v>
      </c>
      <c r="U11" s="22">
        <f>M38</f>
        <v>22.5</v>
      </c>
      <c r="V11" s="284">
        <f t="shared" si="0"/>
        <v>2.2110945881850004</v>
      </c>
      <c r="W11" s="170">
        <f t="shared" si="1"/>
        <v>6.6586762551604728E-2</v>
      </c>
      <c r="X11" s="116">
        <f t="shared" si="2"/>
        <v>2.2009441022489629</v>
      </c>
      <c r="Y11" s="22">
        <f t="shared" si="3"/>
        <v>10.150485936037512</v>
      </c>
      <c r="Z11" s="226">
        <f t="shared" si="4"/>
        <v>3.3446073216145016</v>
      </c>
      <c r="AA11" s="226">
        <f t="shared" si="5"/>
        <v>1.3749124029190575E-3</v>
      </c>
      <c r="AB11" s="213">
        <f t="shared" si="6"/>
        <v>-7.1766120999918668</v>
      </c>
      <c r="AC11" s="213">
        <f t="shared" si="7"/>
        <v>2.1714801117967912E-2</v>
      </c>
      <c r="AD11" s="226">
        <f t="shared" si="8"/>
        <v>3.3421727348767147</v>
      </c>
      <c r="AE11" s="116">
        <f t="shared" si="9"/>
        <v>2.434586737786848E-3</v>
      </c>
      <c r="BA11" s="191" t="s">
        <v>49</v>
      </c>
      <c r="BB11" s="199">
        <f>(ABS(D10-BB8)/D10)*100</f>
        <v>9.3508900955944423</v>
      </c>
      <c r="BM11" s="241">
        <v>6946.7168458358192</v>
      </c>
      <c r="BN11" s="241">
        <v>6</v>
      </c>
      <c r="BR11" s="261"/>
    </row>
    <row r="12" spans="2:70" ht="15" thickBot="1" x14ac:dyDescent="0.35">
      <c r="O12" s="1"/>
      <c r="P12" s="327"/>
      <c r="Q12" s="97">
        <v>8</v>
      </c>
      <c r="R12" s="301">
        <f>J42</f>
        <v>2524.1699281049996</v>
      </c>
      <c r="S12" s="143">
        <f>K42</f>
        <v>7.6852136489394391E-8</v>
      </c>
      <c r="T12" s="150">
        <f>L42</f>
        <v>3.8426249807467861E-9</v>
      </c>
      <c r="U12" s="128">
        <f>M42</f>
        <v>21.9</v>
      </c>
      <c r="V12" s="285">
        <f t="shared" si="0"/>
        <v>2.5241699281049996</v>
      </c>
      <c r="W12" s="171">
        <f t="shared" si="1"/>
        <v>7.6852136489394388E-2</v>
      </c>
      <c r="X12" s="117">
        <f t="shared" si="2"/>
        <v>2.5397811322180606</v>
      </c>
      <c r="Y12" s="128">
        <f t="shared" si="3"/>
        <v>-15.611204113060939</v>
      </c>
      <c r="Z12" s="227">
        <f t="shared" si="4"/>
        <v>3.4021185884303309</v>
      </c>
      <c r="AA12" s="227">
        <f t="shared" si="5"/>
        <v>1.2043806320143685E-3</v>
      </c>
      <c r="AB12" s="214">
        <f t="shared" si="6"/>
        <v>-7.1143440546098162</v>
      </c>
      <c r="AC12" s="214">
        <f t="shared" si="7"/>
        <v>2.1714826697006882E-2</v>
      </c>
      <c r="AD12" s="227">
        <f t="shared" si="8"/>
        <v>3.4037157213694051</v>
      </c>
      <c r="AE12" s="117">
        <f t="shared" si="9"/>
        <v>-1.5971329390742639E-3</v>
      </c>
      <c r="BM12" s="241">
        <v>0.19758536837425436</v>
      </c>
      <c r="BN12" s="241">
        <v>1.7065791460266249E-4</v>
      </c>
      <c r="BR12" s="261"/>
    </row>
    <row r="13" spans="2:70" ht="17.399999999999999" thickBot="1" x14ac:dyDescent="0.4">
      <c r="B13" s="55" t="s">
        <v>0</v>
      </c>
      <c r="C13" s="55" t="s">
        <v>1</v>
      </c>
      <c r="D13" s="56" t="s">
        <v>31</v>
      </c>
      <c r="E13" s="56" t="s">
        <v>32</v>
      </c>
      <c r="F13" s="56" t="s">
        <v>33</v>
      </c>
      <c r="G13" s="56" t="s">
        <v>34</v>
      </c>
      <c r="H13" s="56" t="s">
        <v>35</v>
      </c>
      <c r="I13" s="56" t="s">
        <v>39</v>
      </c>
      <c r="J13" s="56" t="s">
        <v>61</v>
      </c>
      <c r="K13" s="56" t="s">
        <v>24</v>
      </c>
      <c r="L13" s="57" t="s">
        <v>25</v>
      </c>
      <c r="M13" s="56" t="s">
        <v>38</v>
      </c>
      <c r="O13" s="1"/>
      <c r="P13" s="328">
        <v>10</v>
      </c>
      <c r="Q13" s="26">
        <v>1</v>
      </c>
      <c r="R13" s="75">
        <f>J15</f>
        <v>919.65881101500031</v>
      </c>
      <c r="S13" s="70">
        <f>K15</f>
        <v>2.6753705388196266E-8</v>
      </c>
      <c r="T13" s="85">
        <f>L15</f>
        <v>6.688430176898428E-10</v>
      </c>
      <c r="U13" s="25">
        <f>M15</f>
        <v>23</v>
      </c>
      <c r="V13" s="286">
        <f t="shared" si="0"/>
        <v>0.91965881101500035</v>
      </c>
      <c r="W13" s="159">
        <f t="shared" si="1"/>
        <v>2.6753705388196266E-2</v>
      </c>
      <c r="X13" s="118">
        <f t="shared" ref="X13:X20" si="10">(S13*$AW$8+$AX$8)*0.001</f>
        <v>0.90775539790091486</v>
      </c>
      <c r="Y13" s="25">
        <f t="shared" si="3"/>
        <v>11.903413114085492</v>
      </c>
      <c r="Z13" s="228">
        <f t="shared" si="4"/>
        <v>2.9636267360667996</v>
      </c>
      <c r="AA13" s="228">
        <f t="shared" si="5"/>
        <v>3.3056404580819885E-3</v>
      </c>
      <c r="AB13" s="215">
        <f t="shared" si="6"/>
        <v>-7.572616059691252</v>
      </c>
      <c r="AC13" s="215">
        <f t="shared" si="7"/>
        <v>1.0857368264598414E-2</v>
      </c>
      <c r="AD13" s="228">
        <f t="shared" ref="AD13:AD20" si="11">BM$8*AB13+BN$8</f>
        <v>2.9618581523741048</v>
      </c>
      <c r="AE13" s="118">
        <f t="shared" si="9"/>
        <v>1.7685836926948362E-3</v>
      </c>
      <c r="AV13" s="59" t="s">
        <v>3</v>
      </c>
      <c r="AW13" s="71">
        <f t="array" ref="AW13:AX15">LINEST(R21:R28,S21:S28,1,1)</f>
        <v>34573513385.059479</v>
      </c>
      <c r="AX13" s="76">
        <v>6.2014365125833137E-3</v>
      </c>
      <c r="AY13" s="62" t="s">
        <v>4</v>
      </c>
      <c r="BA13" s="189" t="s">
        <v>50</v>
      </c>
      <c r="BB13" s="200">
        <f>(AW13*PI()*(C2^4)/(8*C3))</f>
        <v>1.0273082682377009E-3</v>
      </c>
      <c r="BL13" s="59" t="s">
        <v>3</v>
      </c>
      <c r="BM13" s="232" cm="1">
        <f t="array" ref="BM13:BN17">LINEST(Z21:Z28,AB21:AB28,1,1)</f>
        <v>0.9988842133047946</v>
      </c>
      <c r="BN13" s="218">
        <v>10.53063918678242</v>
      </c>
      <c r="BO13" s="62" t="s">
        <v>4</v>
      </c>
      <c r="BQ13" s="259" t="s">
        <v>60</v>
      </c>
      <c r="BR13" s="263">
        <f>BM14/BM13*100</f>
        <v>0.69105648830351707</v>
      </c>
    </row>
    <row r="14" spans="2:70" ht="16.2" thickBot="1" x14ac:dyDescent="0.4">
      <c r="B14" s="337">
        <v>1</v>
      </c>
      <c r="C14" s="17">
        <v>1</v>
      </c>
      <c r="D14" s="37">
        <v>5</v>
      </c>
      <c r="E14" s="49">
        <f t="shared" ref="E14:E45" si="12">0.000001*D14</f>
        <v>4.9999999999999996E-6</v>
      </c>
      <c r="F14" s="37">
        <f>60*3+4+0.42</f>
        <v>184.42</v>
      </c>
      <c r="G14" s="19">
        <v>26.7</v>
      </c>
      <c r="H14" s="244">
        <v>36</v>
      </c>
      <c r="I14" s="49">
        <f t="shared" ref="I14:I45" si="13">(H14-G14)*0.01</f>
        <v>9.3000000000000013E-2</v>
      </c>
      <c r="J14" s="279">
        <f t="shared" ref="J14:J45" si="14">$D$11*$C$4*I14</f>
        <v>909.87520664250007</v>
      </c>
      <c r="K14" s="42">
        <f t="shared" ref="K14:K45" si="15">E14/F14</f>
        <v>2.7112026895130681E-8</v>
      </c>
      <c r="L14" s="82">
        <f>SQRT(((1/F14)*0.00000025)^2 + ((-E14/(F14^2))*0.01)^2)</f>
        <v>1.3556021419171306E-9</v>
      </c>
      <c r="M14" s="41">
        <f>22.9</f>
        <v>22.9</v>
      </c>
      <c r="N14">
        <f>MEDIAN(M14:M17)</f>
        <v>23</v>
      </c>
      <c r="O14" s="1"/>
      <c r="P14" s="329"/>
      <c r="Q14" s="98">
        <v>2</v>
      </c>
      <c r="R14" s="302">
        <f>J19</f>
        <v>3052.4845642199994</v>
      </c>
      <c r="S14" s="144">
        <f>K19</f>
        <v>8.8519075860848009E-8</v>
      </c>
      <c r="T14" s="151">
        <f>L19</f>
        <v>2.212990768526569E-9</v>
      </c>
      <c r="U14" s="129">
        <f>M19</f>
        <v>22.9</v>
      </c>
      <c r="V14" s="287">
        <f t="shared" si="0"/>
        <v>3.0524845642199994</v>
      </c>
      <c r="W14" s="172">
        <f t="shared" si="1"/>
        <v>8.8519075860848007E-2</v>
      </c>
      <c r="X14" s="119">
        <f t="shared" si="10"/>
        <v>3.0389725533478984</v>
      </c>
      <c r="Y14" s="129">
        <f t="shared" si="3"/>
        <v>13.512010872100966</v>
      </c>
      <c r="Z14" s="229">
        <f t="shared" si="4"/>
        <v>3.4846534764855432</v>
      </c>
      <c r="AA14" s="229">
        <f t="shared" si="5"/>
        <v>9.9593013801188178E-4</v>
      </c>
      <c r="AB14" s="216">
        <f t="shared" si="6"/>
        <v>-7.0529631287555032</v>
      </c>
      <c r="AC14" s="216">
        <f t="shared" si="7"/>
        <v>1.0857430106757535E-2</v>
      </c>
      <c r="AD14" s="229">
        <f t="shared" si="11"/>
        <v>3.4812558850204889</v>
      </c>
      <c r="AE14" s="119">
        <f t="shared" si="9"/>
        <v>3.3975914650543615E-3</v>
      </c>
      <c r="AV14" s="60" t="s">
        <v>54</v>
      </c>
      <c r="AW14" s="72">
        <v>255222530.5986892</v>
      </c>
      <c r="AX14" s="77">
        <v>15.103015872671017</v>
      </c>
      <c r="AY14" s="63" t="s">
        <v>55</v>
      </c>
      <c r="BA14" s="190" t="s">
        <v>51</v>
      </c>
      <c r="BB14" s="201">
        <f>(PI()/8)*SQRT((((C2^4)/C3)*AW14)^2 + ((4*AW13*C2^3)/(8*C3)*D2)^2 + (-(AW13*C2^4)/(C3^2)*D3)^2)</f>
        <v>8.3978954032111874E-6</v>
      </c>
      <c r="BL14" s="60" t="s">
        <v>54</v>
      </c>
      <c r="BM14" s="234">
        <v>6.9028541666823259E-3</v>
      </c>
      <c r="BN14" s="9">
        <v>5.0241826784740505E-2</v>
      </c>
      <c r="BO14" s="63" t="s">
        <v>55</v>
      </c>
      <c r="BQ14" s="259" t="s">
        <v>59</v>
      </c>
      <c r="BR14" s="263">
        <f>ABS(1-BM13)*100</f>
        <v>0.11157866952054007</v>
      </c>
    </row>
    <row r="15" spans="2:70" ht="17.399999999999999" thickBot="1" x14ac:dyDescent="0.4">
      <c r="B15" s="338"/>
      <c r="C15" s="27">
        <v>2</v>
      </c>
      <c r="D15" s="38">
        <v>10</v>
      </c>
      <c r="E15" s="51">
        <f t="shared" si="12"/>
        <v>9.9999999999999991E-6</v>
      </c>
      <c r="F15" s="38">
        <f>F14+60*3+13*0.72</f>
        <v>373.78</v>
      </c>
      <c r="G15" s="29">
        <v>26.7</v>
      </c>
      <c r="H15" s="245">
        <v>36.1</v>
      </c>
      <c r="I15" s="43">
        <f t="shared" si="13"/>
        <v>9.4000000000000028E-2</v>
      </c>
      <c r="J15" s="74">
        <f t="shared" si="14"/>
        <v>919.65881101500031</v>
      </c>
      <c r="K15" s="43">
        <f t="shared" si="15"/>
        <v>2.6753705388196266E-8</v>
      </c>
      <c r="L15" s="73">
        <f t="shared" ref="L15:L45" si="16">SQRT(((1/F15)*0.00000025)^2 + ((-E15/(F15^2))*0.01)^2)</f>
        <v>6.688430176898428E-10</v>
      </c>
      <c r="M15" s="31">
        <v>23</v>
      </c>
      <c r="O15" s="1"/>
      <c r="P15" s="329"/>
      <c r="Q15" s="30">
        <v>3</v>
      </c>
      <c r="R15" s="74">
        <f>J23</f>
        <v>1247.4095574937501</v>
      </c>
      <c r="S15" s="43">
        <f>K23</f>
        <v>3.6279204759831662E-8</v>
      </c>
      <c r="T15" s="73">
        <f>L23</f>
        <v>9.0698107399506969E-10</v>
      </c>
      <c r="U15" s="28">
        <f>M23</f>
        <v>22.8</v>
      </c>
      <c r="V15" s="288">
        <f t="shared" si="0"/>
        <v>1.24740955749375</v>
      </c>
      <c r="W15" s="160">
        <f t="shared" si="1"/>
        <v>3.6279204759831665E-2</v>
      </c>
      <c r="X15" s="81">
        <f t="shared" si="10"/>
        <v>1.236433223674138</v>
      </c>
      <c r="Y15" s="28">
        <f t="shared" si="3"/>
        <v>10.97633381961205</v>
      </c>
      <c r="Z15" s="230">
        <f t="shared" si="4"/>
        <v>3.0960090672370746</v>
      </c>
      <c r="AA15" s="230">
        <f t="shared" si="5"/>
        <v>2.4370996318408391E-3</v>
      </c>
      <c r="AB15" s="29">
        <f t="shared" si="6"/>
        <v>-7.440342241242651</v>
      </c>
      <c r="AC15" s="29">
        <f t="shared" si="7"/>
        <v>1.0857373479775563E-2</v>
      </c>
      <c r="AD15" s="230">
        <f t="shared" si="11"/>
        <v>3.0940670119815517</v>
      </c>
      <c r="AE15" s="81">
        <f t="shared" si="9"/>
        <v>1.9420552555229342E-3</v>
      </c>
      <c r="AV15" s="61" t="s">
        <v>5</v>
      </c>
      <c r="AW15" s="78">
        <v>0.99967314113750716</v>
      </c>
      <c r="AX15" s="33">
        <v>13.361450884820298</v>
      </c>
      <c r="AY15" s="64" t="s">
        <v>56</v>
      </c>
      <c r="BA15" s="190" t="s">
        <v>47</v>
      </c>
      <c r="BB15" s="202">
        <f>(BB14/BB13)*100</f>
        <v>0.81746596059402732</v>
      </c>
      <c r="BL15" s="61" t="s">
        <v>5</v>
      </c>
      <c r="BM15" s="78">
        <v>0.99971354663702505</v>
      </c>
      <c r="BN15" s="242">
        <v>3.0743583516357476E-3</v>
      </c>
      <c r="BO15" s="64" t="s">
        <v>56</v>
      </c>
      <c r="BR15" s="261"/>
    </row>
    <row r="16" spans="2:70" ht="15" thickBot="1" x14ac:dyDescent="0.35">
      <c r="B16" s="338"/>
      <c r="C16" s="3">
        <v>3</v>
      </c>
      <c r="D16" s="39">
        <v>15</v>
      </c>
      <c r="E16" s="52">
        <f t="shared" si="12"/>
        <v>1.4999999999999999E-5</v>
      </c>
      <c r="F16" s="39">
        <f>F15+3*60+14+0.61</f>
        <v>568.39</v>
      </c>
      <c r="G16" s="9">
        <v>26.7</v>
      </c>
      <c r="H16" s="246">
        <v>36.1</v>
      </c>
      <c r="I16" s="44">
        <f t="shared" si="13"/>
        <v>9.4000000000000028E-2</v>
      </c>
      <c r="J16" s="280">
        <f t="shared" si="14"/>
        <v>919.65881101500031</v>
      </c>
      <c r="K16" s="44">
        <f t="shared" si="15"/>
        <v>2.6390330582874433E-8</v>
      </c>
      <c r="L16" s="72">
        <f t="shared" si="16"/>
        <v>4.3983908810828983E-10</v>
      </c>
      <c r="M16" s="7">
        <v>23</v>
      </c>
      <c r="O16" s="1"/>
      <c r="P16" s="329"/>
      <c r="Q16" s="98">
        <v>4</v>
      </c>
      <c r="R16" s="302">
        <f>J27</f>
        <v>1643.6455345799998</v>
      </c>
      <c r="S16" s="144">
        <f>K27</f>
        <v>4.8007681228996631E-8</v>
      </c>
      <c r="T16" s="151">
        <f>L27</f>
        <v>1.200194243624899E-9</v>
      </c>
      <c r="U16" s="129">
        <f>M27</f>
        <v>23.1</v>
      </c>
      <c r="V16" s="287">
        <f t="shared" si="0"/>
        <v>1.6436455345799998</v>
      </c>
      <c r="W16" s="172">
        <f t="shared" si="1"/>
        <v>4.8007681228996631E-2</v>
      </c>
      <c r="X16" s="119">
        <f t="shared" si="10"/>
        <v>1.6411248828848319</v>
      </c>
      <c r="Y16" s="129">
        <f t="shared" si="3"/>
        <v>2.5206516951679081</v>
      </c>
      <c r="Z16" s="229">
        <f t="shared" si="4"/>
        <v>3.2158081641929632</v>
      </c>
      <c r="AA16" s="229">
        <f t="shared" si="5"/>
        <v>1.8495845420220659E-3</v>
      </c>
      <c r="AB16" s="216">
        <f t="shared" si="6"/>
        <v>-7.3186892699477459</v>
      </c>
      <c r="AC16" s="216">
        <f t="shared" si="7"/>
        <v>1.0857382066258039E-2</v>
      </c>
      <c r="AD16" s="229">
        <f t="shared" si="11"/>
        <v>3.2156602402666081</v>
      </c>
      <c r="AE16" s="119">
        <f t="shared" si="9"/>
        <v>1.4792392635509799E-4</v>
      </c>
      <c r="BA16" s="191" t="s">
        <v>49</v>
      </c>
      <c r="BB16" s="203">
        <f>(ABS(D10-BB13)/D10)*100</f>
        <v>9.5678613734749263</v>
      </c>
      <c r="BM16" s="241">
        <v>20939.817977799936</v>
      </c>
      <c r="BN16" s="241">
        <v>6</v>
      </c>
      <c r="BR16" s="261"/>
    </row>
    <row r="17" spans="2:70" ht="15" thickBot="1" x14ac:dyDescent="0.35">
      <c r="B17" s="339"/>
      <c r="C17" s="34">
        <v>4</v>
      </c>
      <c r="D17" s="40">
        <v>20</v>
      </c>
      <c r="E17" s="53">
        <f t="shared" si="12"/>
        <v>1.9999999999999998E-5</v>
      </c>
      <c r="F17" s="40">
        <f>F16+60*3+8+0.92</f>
        <v>757.31</v>
      </c>
      <c r="G17" s="35">
        <v>26.7</v>
      </c>
      <c r="H17" s="247">
        <v>36.1</v>
      </c>
      <c r="I17" s="46">
        <f t="shared" si="13"/>
        <v>9.4000000000000028E-2</v>
      </c>
      <c r="J17" s="281">
        <f t="shared" si="14"/>
        <v>919.65881101500031</v>
      </c>
      <c r="K17" s="46">
        <f t="shared" si="15"/>
        <v>2.6409264369940975E-8</v>
      </c>
      <c r="L17" s="83">
        <f t="shared" si="16"/>
        <v>3.3011598881542563E-10</v>
      </c>
      <c r="M17" s="36">
        <v>23</v>
      </c>
      <c r="O17" s="1"/>
      <c r="P17" s="329"/>
      <c r="Q17" s="30">
        <v>5</v>
      </c>
      <c r="R17" s="74">
        <f>J31</f>
        <v>1927.3700613825001</v>
      </c>
      <c r="S17" s="47">
        <f>K31</f>
        <v>5.7035304853704442E-8</v>
      </c>
      <c r="T17" s="73">
        <f>L31</f>
        <v>1.4258863320843745E-9</v>
      </c>
      <c r="U17" s="28">
        <f>M31</f>
        <v>22.9</v>
      </c>
      <c r="V17" s="288">
        <f t="shared" si="0"/>
        <v>1.9273700613825002</v>
      </c>
      <c r="W17" s="173">
        <f t="shared" si="1"/>
        <v>5.7035304853704442E-2</v>
      </c>
      <c r="X17" s="81">
        <f t="shared" si="10"/>
        <v>1.9526234814468646</v>
      </c>
      <c r="Y17" s="28">
        <f t="shared" si="3"/>
        <v>-25.253420064364374</v>
      </c>
      <c r="Z17" s="230">
        <f t="shared" si="4"/>
        <v>3.2849651086286937</v>
      </c>
      <c r="AA17" s="230">
        <f t="shared" si="5"/>
        <v>1.5773106754299847E-3</v>
      </c>
      <c r="AB17" s="29">
        <f t="shared" si="6"/>
        <v>-7.2438562328065057</v>
      </c>
      <c r="AC17" s="29">
        <f t="shared" si="7"/>
        <v>1.0857390302969352E-2</v>
      </c>
      <c r="AD17" s="230">
        <f t="shared" si="11"/>
        <v>3.2904565273734905</v>
      </c>
      <c r="AE17" s="81">
        <f t="shared" si="9"/>
        <v>-5.49141874479675E-3</v>
      </c>
      <c r="BM17" s="241">
        <v>0.19791644358780974</v>
      </c>
      <c r="BN17" s="241">
        <v>5.6710075645634821E-5</v>
      </c>
      <c r="BR17" s="261"/>
    </row>
    <row r="18" spans="2:70" ht="16.2" thickBot="1" x14ac:dyDescent="0.4">
      <c r="B18" s="337">
        <v>2</v>
      </c>
      <c r="C18" s="17">
        <v>1</v>
      </c>
      <c r="D18" s="37">
        <v>5</v>
      </c>
      <c r="E18" s="49">
        <f t="shared" si="12"/>
        <v>4.9999999999999996E-6</v>
      </c>
      <c r="F18" s="37">
        <v>54.63</v>
      </c>
      <c r="G18" s="19">
        <v>2.6</v>
      </c>
      <c r="H18" s="244">
        <v>33.799999999999997</v>
      </c>
      <c r="I18" s="50">
        <f t="shared" si="13"/>
        <v>0.31199999999999994</v>
      </c>
      <c r="J18" s="279">
        <f t="shared" si="14"/>
        <v>3052.4845642199994</v>
      </c>
      <c r="K18" s="42">
        <f t="shared" si="15"/>
        <v>9.1524803221673056E-8</v>
      </c>
      <c r="L18" s="82">
        <f t="shared" si="16"/>
        <v>4.5762708283417053E-9</v>
      </c>
      <c r="M18" s="21">
        <v>23</v>
      </c>
      <c r="N18" s="187">
        <f>MEDIAN(M18:M21)</f>
        <v>22.9</v>
      </c>
      <c r="O18" s="1"/>
      <c r="P18" s="329"/>
      <c r="Q18" s="98">
        <v>6</v>
      </c>
      <c r="R18" s="302">
        <f>J35</f>
        <v>2034.9897094799996</v>
      </c>
      <c r="S18" s="144">
        <f>K35</f>
        <v>6.078657832350616E-8</v>
      </c>
      <c r="T18" s="151">
        <f>L35</f>
        <v>1.5196689502190052E-9</v>
      </c>
      <c r="U18" s="129">
        <f>M35</f>
        <v>23</v>
      </c>
      <c r="V18" s="287">
        <f t="shared" si="0"/>
        <v>2.0349897094799996</v>
      </c>
      <c r="W18" s="172">
        <f t="shared" si="1"/>
        <v>6.078657832350616E-2</v>
      </c>
      <c r="X18" s="119">
        <f t="shared" si="10"/>
        <v>2.0820613575971332</v>
      </c>
      <c r="Y18" s="129">
        <f t="shared" si="3"/>
        <v>-47.071648117133606</v>
      </c>
      <c r="Z18" s="229">
        <f t="shared" si="4"/>
        <v>3.3085622174298619</v>
      </c>
      <c r="AA18" s="229">
        <f t="shared" si="5"/>
        <v>1.4938952070178224E-3</v>
      </c>
      <c r="AB18" s="216">
        <f t="shared" si="6"/>
        <v>-7.2161923023639263</v>
      </c>
      <c r="AC18" s="216">
        <f t="shared" si="7"/>
        <v>1.0857394141966464E-2</v>
      </c>
      <c r="AD18" s="229">
        <f t="shared" si="11"/>
        <v>3.3181068722336438</v>
      </c>
      <c r="AE18" s="119">
        <f t="shared" si="9"/>
        <v>-9.5446548037818602E-3</v>
      </c>
      <c r="AV18" s="59" t="s">
        <v>3</v>
      </c>
      <c r="AW18" s="208">
        <f t="array" ref="AW18:AX20">LINEST(R29:R36,S29:S36,1,1)</f>
        <v>35244700010.462967</v>
      </c>
      <c r="AX18" s="209">
        <v>-22.200630363747905</v>
      </c>
      <c r="AY18" s="62" t="s">
        <v>4</v>
      </c>
      <c r="BA18" s="189" t="s">
        <v>50</v>
      </c>
      <c r="BB18" s="204">
        <f>(AW18*PI()*(C2^4)/(8*C3))</f>
        <v>1.0472517307990015E-3</v>
      </c>
      <c r="BL18" s="59" t="s">
        <v>3</v>
      </c>
      <c r="BM18" s="265" cm="1">
        <f t="array" ref="BM18:BN22">LINEST(Z29:Z36,AB29:AB36,1,1)</f>
        <v>1.0074019381731356</v>
      </c>
      <c r="BN18" s="243">
        <v>10.595590951179659</v>
      </c>
      <c r="BO18" s="62" t="s">
        <v>4</v>
      </c>
      <c r="BQ18" s="259" t="s">
        <v>60</v>
      </c>
      <c r="BR18" s="264">
        <f>BM19/BM18*100</f>
        <v>0.9926920896330973</v>
      </c>
    </row>
    <row r="19" spans="2:70" ht="16.2" thickBot="1" x14ac:dyDescent="0.4">
      <c r="B19" s="338"/>
      <c r="C19" s="27">
        <v>2</v>
      </c>
      <c r="D19" s="38">
        <v>10</v>
      </c>
      <c r="E19" s="51">
        <f t="shared" si="12"/>
        <v>9.9999999999999991E-6</v>
      </c>
      <c r="F19" s="38">
        <f>F18+58.34</f>
        <v>112.97</v>
      </c>
      <c r="G19" s="29">
        <v>2.6</v>
      </c>
      <c r="H19" s="245">
        <v>33.799999999999997</v>
      </c>
      <c r="I19" s="51">
        <f t="shared" si="13"/>
        <v>0.31199999999999994</v>
      </c>
      <c r="J19" s="74">
        <f t="shared" si="14"/>
        <v>3052.4845642199994</v>
      </c>
      <c r="K19" s="47">
        <f t="shared" si="15"/>
        <v>8.8519075860848009E-8</v>
      </c>
      <c r="L19" s="73">
        <f t="shared" si="16"/>
        <v>2.212990768526569E-9</v>
      </c>
      <c r="M19" s="31">
        <v>22.9</v>
      </c>
      <c r="O19" s="1"/>
      <c r="P19" s="329"/>
      <c r="Q19" s="30">
        <v>7</v>
      </c>
      <c r="R19" s="74">
        <f>J39</f>
        <v>2220.8781925575004</v>
      </c>
      <c r="S19" s="47">
        <f>K39</f>
        <v>6.4234326824254877E-8</v>
      </c>
      <c r="T19" s="73">
        <f>L39</f>
        <v>1.6058634712768923E-9</v>
      </c>
      <c r="U19" s="28">
        <f>M39</f>
        <v>22.3</v>
      </c>
      <c r="V19" s="288">
        <f t="shared" si="0"/>
        <v>2.2208781925575005</v>
      </c>
      <c r="W19" s="173">
        <f t="shared" si="1"/>
        <v>6.4234326824254881E-2</v>
      </c>
      <c r="X19" s="81">
        <f t="shared" si="10"/>
        <v>2.2010260897153642</v>
      </c>
      <c r="Y19" s="28">
        <f t="shared" si="3"/>
        <v>19.852102842136343</v>
      </c>
      <c r="Z19" s="230">
        <f t="shared" si="4"/>
        <v>3.3465247396602233</v>
      </c>
      <c r="AA19" s="230">
        <f t="shared" si="5"/>
        <v>1.368855520086815E-3</v>
      </c>
      <c r="AB19" s="29">
        <f t="shared" si="6"/>
        <v>-7.1922328229242769</v>
      </c>
      <c r="AC19" s="29">
        <f t="shared" si="7"/>
        <v>1.0857397885926167E-2</v>
      </c>
      <c r="AD19" s="230">
        <f t="shared" si="11"/>
        <v>3.3420545853234795</v>
      </c>
      <c r="AE19" s="81">
        <f t="shared" si="9"/>
        <v>4.4701543367438035E-3</v>
      </c>
      <c r="AV19" s="60" t="s">
        <v>54</v>
      </c>
      <c r="AW19" s="156">
        <v>371368015.21081567</v>
      </c>
      <c r="AX19" s="210">
        <v>21.828291119193274</v>
      </c>
      <c r="AY19" s="63" t="s">
        <v>55</v>
      </c>
      <c r="BA19" s="190" t="s">
        <v>51</v>
      </c>
      <c r="BB19" s="205">
        <f>(PI()/8)*SQRT((((C2^4)/C3)*AW19)^2 + ((4*AW18*C2^3)/(8*C3)*D2)^2 + (-(AW18*C2^4)/(C3^2)*D3)^2)</f>
        <v>1.163137561573272E-5</v>
      </c>
      <c r="BL19" s="60" t="s">
        <v>54</v>
      </c>
      <c r="BM19" s="222">
        <v>1.0000399351055223E-2</v>
      </c>
      <c r="BN19" s="134">
        <v>7.2802305322326122E-2</v>
      </c>
      <c r="BO19" s="63" t="s">
        <v>55</v>
      </c>
      <c r="BQ19" s="259" t="s">
        <v>59</v>
      </c>
      <c r="BR19" s="264">
        <f>ABS(1-BM18)*100</f>
        <v>0.74019381731356138</v>
      </c>
    </row>
    <row r="20" spans="2:70" ht="17.399999999999999" thickBot="1" x14ac:dyDescent="0.4">
      <c r="B20" s="338"/>
      <c r="C20" s="3">
        <v>3</v>
      </c>
      <c r="D20" s="39">
        <v>15</v>
      </c>
      <c r="E20" s="52">
        <f t="shared" si="12"/>
        <v>1.4999999999999999E-5</v>
      </c>
      <c r="F20" s="39">
        <f>F19+56.2</f>
        <v>169.17000000000002</v>
      </c>
      <c r="G20" s="9">
        <v>2.6</v>
      </c>
      <c r="H20" s="246">
        <v>33.799999999999997</v>
      </c>
      <c r="I20" s="52">
        <f t="shared" si="13"/>
        <v>0.31199999999999994</v>
      </c>
      <c r="J20" s="280">
        <f t="shared" si="14"/>
        <v>3052.4845642199994</v>
      </c>
      <c r="K20" s="45">
        <f t="shared" si="15"/>
        <v>8.8668203582195409E-8</v>
      </c>
      <c r="L20" s="72">
        <f t="shared" si="16"/>
        <v>1.4778126878590788E-9</v>
      </c>
      <c r="M20" s="7">
        <v>22.8</v>
      </c>
      <c r="O20" s="1"/>
      <c r="P20" s="330"/>
      <c r="Q20" s="99">
        <v>8</v>
      </c>
      <c r="R20" s="303">
        <f>J43</f>
        <v>2524.1699281049996</v>
      </c>
      <c r="S20" s="145">
        <f>K43</f>
        <v>7.320644216691069E-8</v>
      </c>
      <c r="T20" s="152">
        <f>L43</f>
        <v>1.8301689006906097E-9</v>
      </c>
      <c r="U20" s="130">
        <f>M43</f>
        <v>22</v>
      </c>
      <c r="V20" s="289">
        <f t="shared" si="0"/>
        <v>2.5241699281049996</v>
      </c>
      <c r="W20" s="174">
        <f t="shared" si="1"/>
        <v>7.320644216691069E-2</v>
      </c>
      <c r="X20" s="120">
        <f t="shared" si="10"/>
        <v>2.510609372266607</v>
      </c>
      <c r="Y20" s="130">
        <f t="shared" si="3"/>
        <v>13.560555838392663</v>
      </c>
      <c r="Z20" s="231">
        <f t="shared" si="4"/>
        <v>3.4021185884303309</v>
      </c>
      <c r="AA20" s="231">
        <f t="shared" si="5"/>
        <v>1.2043806320143685E-3</v>
      </c>
      <c r="AB20" s="217">
        <f t="shared" si="6"/>
        <v>-7.1354506993455136</v>
      </c>
      <c r="AC20" s="217">
        <f t="shared" si="7"/>
        <v>1.0857408596755113E-2</v>
      </c>
      <c r="AD20" s="231">
        <f t="shared" si="11"/>
        <v>3.3988088235581193</v>
      </c>
      <c r="AE20" s="120">
        <f t="shared" si="9"/>
        <v>3.3097648722115736E-3</v>
      </c>
      <c r="AV20" s="61" t="s">
        <v>5</v>
      </c>
      <c r="AW20" s="126">
        <v>0.99933429258031825</v>
      </c>
      <c r="AX20" s="211">
        <v>19.009757952337054</v>
      </c>
      <c r="AY20" s="64" t="s">
        <v>56</v>
      </c>
      <c r="BA20" s="190" t="s">
        <v>47</v>
      </c>
      <c r="BB20" s="206">
        <f>(BB19/BB18)*100</f>
        <v>1.1106570916677838</v>
      </c>
      <c r="BL20" s="61" t="s">
        <v>5</v>
      </c>
      <c r="BM20" s="126">
        <v>0.99940908683393392</v>
      </c>
      <c r="BN20" s="239">
        <v>4.4079707749277944E-3</v>
      </c>
      <c r="BO20" s="64" t="s">
        <v>56</v>
      </c>
    </row>
    <row r="21" spans="2:70" ht="15" thickBot="1" x14ac:dyDescent="0.35">
      <c r="B21" s="339"/>
      <c r="C21" s="34">
        <v>4</v>
      </c>
      <c r="D21" s="40">
        <v>20</v>
      </c>
      <c r="E21" s="53">
        <f t="shared" si="12"/>
        <v>1.9999999999999998E-5</v>
      </c>
      <c r="F21" s="40">
        <f>F20+61.72</f>
        <v>230.89000000000001</v>
      </c>
      <c r="G21" s="35">
        <v>2.6</v>
      </c>
      <c r="H21" s="247">
        <v>33.799999999999997</v>
      </c>
      <c r="I21" s="53">
        <f t="shared" si="13"/>
        <v>0.31199999999999994</v>
      </c>
      <c r="J21" s="281">
        <f t="shared" si="14"/>
        <v>3052.4845642199994</v>
      </c>
      <c r="K21" s="48">
        <f t="shared" si="15"/>
        <v>8.6621334834769789E-8</v>
      </c>
      <c r="L21" s="83">
        <f t="shared" si="16"/>
        <v>1.0827731848353145E-9</v>
      </c>
      <c r="M21" s="36">
        <v>22.9</v>
      </c>
      <c r="O21" s="1"/>
      <c r="P21" s="331">
        <v>15</v>
      </c>
      <c r="Q21" s="2">
        <v>1</v>
      </c>
      <c r="R21" s="304">
        <f>J16</f>
        <v>919.65881101500031</v>
      </c>
      <c r="S21" s="71">
        <f>K16</f>
        <v>2.6390330582874433E-8</v>
      </c>
      <c r="T21" s="86">
        <f>L16</f>
        <v>4.3983908810828983E-10</v>
      </c>
      <c r="U21" s="6">
        <f>M16</f>
        <v>23</v>
      </c>
      <c r="V21" s="290">
        <f t="shared" si="0"/>
        <v>0.91965881101500035</v>
      </c>
      <c r="W21" s="161">
        <f t="shared" si="1"/>
        <v>2.6390330582874433E-2</v>
      </c>
      <c r="X21" s="76">
        <f t="shared" ref="X21:X28" si="17">(S21*$AW$13+$AX$13)*0.001</f>
        <v>0.91241264907966624</v>
      </c>
      <c r="Y21" s="6">
        <f t="shared" si="3"/>
        <v>7.2461619353341167</v>
      </c>
      <c r="Z21" s="232">
        <f t="shared" si="4"/>
        <v>2.9636267360667996</v>
      </c>
      <c r="AA21" s="232">
        <f t="shared" si="5"/>
        <v>3.3056404580819885E-3</v>
      </c>
      <c r="AB21" s="218">
        <f t="shared" si="6"/>
        <v>-7.5785551694836659</v>
      </c>
      <c r="AC21" s="218">
        <f t="shared" si="7"/>
        <v>7.2382453979090173E-3</v>
      </c>
      <c r="AD21" s="232">
        <f t="shared" ref="AD21:AD28" si="18">BM$13*AB21+BN$13</f>
        <v>2.9605400683257432</v>
      </c>
      <c r="AE21" s="76">
        <f t="shared" si="9"/>
        <v>3.0866677410563703E-3</v>
      </c>
      <c r="BA21" s="191" t="s">
        <v>49</v>
      </c>
      <c r="BB21" s="207">
        <f>(ABS(D10-BB18)/D10)*100</f>
        <v>11.694937158596575</v>
      </c>
      <c r="BM21" s="241">
        <v>10147.776129145032</v>
      </c>
      <c r="BN21" s="241">
        <v>6</v>
      </c>
    </row>
    <row r="22" spans="2:70" x14ac:dyDescent="0.3">
      <c r="B22" s="337">
        <v>3</v>
      </c>
      <c r="C22" s="17">
        <v>1</v>
      </c>
      <c r="D22" s="37">
        <v>5</v>
      </c>
      <c r="E22" s="49">
        <f t="shared" si="12"/>
        <v>4.9999999999999996E-6</v>
      </c>
      <c r="F22" s="37">
        <f>2*60+13.14</f>
        <v>133.13999999999999</v>
      </c>
      <c r="G22" s="19">
        <v>23</v>
      </c>
      <c r="H22" s="244">
        <v>35.75</v>
      </c>
      <c r="I22" s="50">
        <f t="shared" si="13"/>
        <v>0.1275</v>
      </c>
      <c r="J22" s="279">
        <f t="shared" si="14"/>
        <v>1247.4095574937501</v>
      </c>
      <c r="K22" s="42">
        <f t="shared" si="15"/>
        <v>3.7554453958239448E-8</v>
      </c>
      <c r="L22" s="82">
        <f t="shared" si="16"/>
        <v>1.8777248164882328E-9</v>
      </c>
      <c r="M22" s="21">
        <v>22.9</v>
      </c>
      <c r="N22" s="187">
        <f>MEDIAN(M22:M25)</f>
        <v>22.8</v>
      </c>
      <c r="O22" s="1"/>
      <c r="P22" s="332"/>
      <c r="Q22" s="100">
        <v>2</v>
      </c>
      <c r="R22" s="305">
        <f>J20</f>
        <v>3052.4845642199994</v>
      </c>
      <c r="S22" s="146">
        <f>K20</f>
        <v>8.8668203582195409E-8</v>
      </c>
      <c r="T22" s="153">
        <f>L20</f>
        <v>1.4778126878590788E-9</v>
      </c>
      <c r="U22" s="131">
        <f>M20</f>
        <v>22.8</v>
      </c>
      <c r="V22" s="291">
        <f t="shared" si="0"/>
        <v>3.0524845642199994</v>
      </c>
      <c r="W22" s="175">
        <f t="shared" si="1"/>
        <v>8.8668203582195404E-2</v>
      </c>
      <c r="X22" s="121">
        <f t="shared" si="17"/>
        <v>3.0655775248147243</v>
      </c>
      <c r="Y22" s="131">
        <f t="shared" si="3"/>
        <v>-13.092960594724978</v>
      </c>
      <c r="Z22" s="233">
        <f t="shared" si="4"/>
        <v>3.4846534764855432</v>
      </c>
      <c r="AA22" s="233">
        <f t="shared" si="5"/>
        <v>9.9593013801188178E-4</v>
      </c>
      <c r="AB22" s="219">
        <f t="shared" si="6"/>
        <v>-7.0522320902523346</v>
      </c>
      <c r="AC22" s="219">
        <f t="shared" si="7"/>
        <v>7.2382868908453368E-3</v>
      </c>
      <c r="AD22" s="233">
        <f t="shared" si="18"/>
        <v>3.4862758832678891</v>
      </c>
      <c r="AE22" s="121">
        <f t="shared" si="9"/>
        <v>-1.6224067823458199E-3</v>
      </c>
      <c r="BM22" s="241">
        <v>0.19717338420945441</v>
      </c>
      <c r="BN22" s="241">
        <v>1.1658123811570523E-4</v>
      </c>
    </row>
    <row r="23" spans="2:70" x14ac:dyDescent="0.3">
      <c r="B23" s="338"/>
      <c r="C23" s="27">
        <v>2</v>
      </c>
      <c r="D23" s="38">
        <v>10</v>
      </c>
      <c r="E23" s="51">
        <f t="shared" si="12"/>
        <v>9.9999999999999991E-6</v>
      </c>
      <c r="F23" s="38">
        <f>F22+2*60+22.5</f>
        <v>275.64</v>
      </c>
      <c r="G23" s="29">
        <v>23</v>
      </c>
      <c r="H23" s="245">
        <v>35.75</v>
      </c>
      <c r="I23" s="51">
        <f t="shared" si="13"/>
        <v>0.1275</v>
      </c>
      <c r="J23" s="74">
        <f t="shared" si="14"/>
        <v>1247.4095574937501</v>
      </c>
      <c r="K23" s="43">
        <f t="shared" si="15"/>
        <v>3.6279204759831662E-8</v>
      </c>
      <c r="L23" s="73">
        <f t="shared" si="16"/>
        <v>9.0698107399506969E-10</v>
      </c>
      <c r="M23" s="31">
        <v>22.8</v>
      </c>
      <c r="P23" s="332"/>
      <c r="Q23" s="5">
        <v>3</v>
      </c>
      <c r="R23" s="280">
        <f>J24</f>
        <v>1242.5177553075002</v>
      </c>
      <c r="S23" s="44">
        <f>K24</f>
        <v>3.6279204759831662E-8</v>
      </c>
      <c r="T23" s="72">
        <f>L24</f>
        <v>6.0465404933004649E-10</v>
      </c>
      <c r="U23" s="10">
        <f>M24</f>
        <v>22.8</v>
      </c>
      <c r="V23" s="292">
        <f t="shared" si="0"/>
        <v>1.2425177553075002</v>
      </c>
      <c r="W23" s="163">
        <f t="shared" si="1"/>
        <v>3.6279204759831665E-2</v>
      </c>
      <c r="X23" s="77">
        <f t="shared" si="17"/>
        <v>1.2543057727998663</v>
      </c>
      <c r="Y23" s="10">
        <f t="shared" si="3"/>
        <v>-11.788017492366132</v>
      </c>
      <c r="Z23" s="234">
        <f t="shared" si="4"/>
        <v>3.0943026034230576</v>
      </c>
      <c r="AA23" s="234">
        <f t="shared" si="5"/>
        <v>2.4466945122811573E-3</v>
      </c>
      <c r="AB23" s="9">
        <f t="shared" si="6"/>
        <v>-7.440342241242651</v>
      </c>
      <c r="AC23" s="9">
        <f t="shared" si="7"/>
        <v>7.2382489865170426E-3</v>
      </c>
      <c r="AD23" s="234">
        <f t="shared" si="18"/>
        <v>3.0985987804203221</v>
      </c>
      <c r="AE23" s="77">
        <f t="shared" si="9"/>
        <v>-4.2961769972644781E-3</v>
      </c>
    </row>
    <row r="24" spans="2:70" x14ac:dyDescent="0.3">
      <c r="B24" s="338"/>
      <c r="C24" s="3">
        <v>3</v>
      </c>
      <c r="D24" s="39">
        <v>15</v>
      </c>
      <c r="E24" s="52">
        <f t="shared" si="12"/>
        <v>1.4999999999999999E-5</v>
      </c>
      <c r="F24" s="39">
        <f>F23+2*60+17.82</f>
        <v>413.46</v>
      </c>
      <c r="G24" s="9">
        <v>23</v>
      </c>
      <c r="H24" s="246">
        <v>35.700000000000003</v>
      </c>
      <c r="I24" s="52">
        <f t="shared" si="13"/>
        <v>0.12700000000000003</v>
      </c>
      <c r="J24" s="280">
        <f t="shared" si="14"/>
        <v>1242.5177553075002</v>
      </c>
      <c r="K24" s="44">
        <f t="shared" si="15"/>
        <v>3.6279204759831662E-8</v>
      </c>
      <c r="L24" s="72">
        <f t="shared" si="16"/>
        <v>6.0465404933004649E-10</v>
      </c>
      <c r="M24" s="7">
        <v>22.8</v>
      </c>
      <c r="P24" s="332"/>
      <c r="Q24" s="100">
        <v>4</v>
      </c>
      <c r="R24" s="305">
        <f>J28</f>
        <v>1638.7537323937502</v>
      </c>
      <c r="S24" s="137">
        <f>K28</f>
        <v>4.7400853215357874E-8</v>
      </c>
      <c r="T24" s="153">
        <f>L28</f>
        <v>7.9001564028368856E-10</v>
      </c>
      <c r="U24" s="131">
        <f>M28</f>
        <v>23</v>
      </c>
      <c r="V24" s="291">
        <f t="shared" si="0"/>
        <v>1.6387537323937502</v>
      </c>
      <c r="W24" s="162">
        <f t="shared" si="1"/>
        <v>4.740085321535787E-2</v>
      </c>
      <c r="X24" s="121">
        <f t="shared" si="17"/>
        <v>1.6388202345409277</v>
      </c>
      <c r="Y24" s="131">
        <f t="shared" si="3"/>
        <v>-6.6502147177516235E-2</v>
      </c>
      <c r="Z24" s="233">
        <f t="shared" si="4"/>
        <v>3.2145136938399648</v>
      </c>
      <c r="AA24" s="233">
        <f t="shared" si="5"/>
        <v>1.8551056899086984E-3</v>
      </c>
      <c r="AB24" s="219">
        <f t="shared" si="6"/>
        <v>-7.3242138409548838</v>
      </c>
      <c r="AC24" s="219">
        <f t="shared" si="7"/>
        <v>7.2382543755838144E-3</v>
      </c>
      <c r="AD24" s="233">
        <f t="shared" si="18"/>
        <v>3.2145976061841122</v>
      </c>
      <c r="AE24" s="121">
        <f t="shared" si="9"/>
        <v>-8.3912344147396567E-5</v>
      </c>
    </row>
    <row r="25" spans="2:70" ht="15" thickBot="1" x14ac:dyDescent="0.35">
      <c r="B25" s="339"/>
      <c r="C25" s="34">
        <v>4</v>
      </c>
      <c r="D25" s="40">
        <v>20</v>
      </c>
      <c r="E25" s="53">
        <f t="shared" si="12"/>
        <v>1.9999999999999998E-5</v>
      </c>
      <c r="F25" s="40">
        <f>F24+2*60+19.23</f>
        <v>552.69000000000005</v>
      </c>
      <c r="G25" s="35">
        <v>23</v>
      </c>
      <c r="H25" s="247">
        <v>35.700000000000003</v>
      </c>
      <c r="I25" s="53">
        <f t="shared" si="13"/>
        <v>0.12700000000000003</v>
      </c>
      <c r="J25" s="281">
        <f t="shared" si="14"/>
        <v>1242.5177553075002</v>
      </c>
      <c r="K25" s="46">
        <f t="shared" si="15"/>
        <v>3.6186650744540332E-8</v>
      </c>
      <c r="L25" s="83">
        <f t="shared" si="16"/>
        <v>4.5233360816117753E-10</v>
      </c>
      <c r="M25" s="36">
        <v>22.8</v>
      </c>
      <c r="P25" s="332"/>
      <c r="Q25" s="5">
        <v>5</v>
      </c>
      <c r="R25" s="280">
        <f>J32</f>
        <v>1927.3700613825001</v>
      </c>
      <c r="S25" s="44">
        <f>K32</f>
        <v>5.5980593394289975E-8</v>
      </c>
      <c r="T25" s="72">
        <f>L32</f>
        <v>9.3301222901504655E-10</v>
      </c>
      <c r="U25" s="10">
        <f>M32</f>
        <v>22.7</v>
      </c>
      <c r="V25" s="292">
        <f t="shared" si="0"/>
        <v>1.9273700613825002</v>
      </c>
      <c r="W25" s="163">
        <f t="shared" si="1"/>
        <v>5.5980593394289978E-2</v>
      </c>
      <c r="X25" s="77">
        <f t="shared" si="17"/>
        <v>1.9354519964575694</v>
      </c>
      <c r="Y25" s="10">
        <f t="shared" si="3"/>
        <v>-8.0819350750691576</v>
      </c>
      <c r="Z25" s="234">
        <f t="shared" si="4"/>
        <v>3.2849651086286937</v>
      </c>
      <c r="AA25" s="234">
        <f t="shared" si="5"/>
        <v>1.5773106754299847E-3</v>
      </c>
      <c r="AB25" s="9">
        <f t="shared" si="6"/>
        <v>-7.2519625023239493</v>
      </c>
      <c r="AC25" s="9">
        <f t="shared" si="7"/>
        <v>7.2382595117474842E-3</v>
      </c>
      <c r="AD25" s="234">
        <f t="shared" si="18"/>
        <v>3.286768327732692</v>
      </c>
      <c r="AE25" s="77">
        <f t="shared" si="9"/>
        <v>-1.803219103998277E-3</v>
      </c>
    </row>
    <row r="26" spans="2:70" x14ac:dyDescent="0.3">
      <c r="B26" s="337">
        <v>4</v>
      </c>
      <c r="C26" s="17">
        <v>1</v>
      </c>
      <c r="D26" s="37">
        <v>5</v>
      </c>
      <c r="E26" s="49">
        <f t="shared" si="12"/>
        <v>4.9999999999999996E-6</v>
      </c>
      <c r="F26" s="37">
        <f>60+41.34</f>
        <v>101.34</v>
      </c>
      <c r="G26" s="19">
        <v>18.5</v>
      </c>
      <c r="H26" s="244">
        <v>35.200000000000003</v>
      </c>
      <c r="I26" s="50">
        <f t="shared" si="13"/>
        <v>0.16700000000000004</v>
      </c>
      <c r="J26" s="279">
        <f t="shared" si="14"/>
        <v>1633.8619302075003</v>
      </c>
      <c r="K26" s="42">
        <f t="shared" si="15"/>
        <v>4.9338859285573314E-8</v>
      </c>
      <c r="L26" s="82">
        <f t="shared" si="16"/>
        <v>2.4669477685428563E-9</v>
      </c>
      <c r="M26" s="21">
        <v>23</v>
      </c>
      <c r="N26" s="187">
        <f>MEDIAN(M26:M29)</f>
        <v>23</v>
      </c>
      <c r="P26" s="332"/>
      <c r="Q26" s="100">
        <v>6</v>
      </c>
      <c r="R26" s="305">
        <f>J36</f>
        <v>2034.9897094799996</v>
      </c>
      <c r="S26" s="146">
        <f>K36</f>
        <v>5.9078377313903097E-8</v>
      </c>
      <c r="T26" s="153">
        <f>L36</f>
        <v>9.8464237120897455E-10</v>
      </c>
      <c r="U26" s="131">
        <f>M36</f>
        <v>22.9</v>
      </c>
      <c r="V26" s="291">
        <f t="shared" si="0"/>
        <v>2.0349897094799996</v>
      </c>
      <c r="W26" s="175">
        <f t="shared" si="1"/>
        <v>5.9078377313903099E-2</v>
      </c>
      <c r="X26" s="121">
        <f t="shared" si="17"/>
        <v>2.0425532702663358</v>
      </c>
      <c r="Y26" s="131">
        <f t="shared" si="3"/>
        <v>-7.5635607863362431</v>
      </c>
      <c r="Z26" s="233">
        <f t="shared" si="4"/>
        <v>3.3085622174298619</v>
      </c>
      <c r="AA26" s="233">
        <f t="shared" si="5"/>
        <v>1.4938952070178224E-3</v>
      </c>
      <c r="AB26" s="219">
        <f t="shared" si="6"/>
        <v>-7.2285714418180413</v>
      </c>
      <c r="AC26" s="219">
        <f t="shared" si="7"/>
        <v>7.2382615756705409E-3</v>
      </c>
      <c r="AD26" s="233">
        <f t="shared" si="18"/>
        <v>3.3101332888045008</v>
      </c>
      <c r="AE26" s="121">
        <f t="shared" si="9"/>
        <v>-1.5710713746388549E-3</v>
      </c>
    </row>
    <row r="27" spans="2:70" x14ac:dyDescent="0.3">
      <c r="B27" s="338"/>
      <c r="C27" s="27">
        <v>2</v>
      </c>
      <c r="D27" s="38">
        <v>10</v>
      </c>
      <c r="E27" s="51">
        <f t="shared" si="12"/>
        <v>9.9999999999999991E-6</v>
      </c>
      <c r="F27" s="38">
        <f>F26+60+46.96</f>
        <v>208.3</v>
      </c>
      <c r="G27" s="29">
        <v>18.5</v>
      </c>
      <c r="H27" s="245">
        <v>35.299999999999997</v>
      </c>
      <c r="I27" s="51">
        <f t="shared" si="13"/>
        <v>0.16799999999999998</v>
      </c>
      <c r="J27" s="74">
        <f t="shared" si="14"/>
        <v>1643.6455345799998</v>
      </c>
      <c r="K27" s="47">
        <f t="shared" si="15"/>
        <v>4.8007681228996631E-8</v>
      </c>
      <c r="L27" s="73">
        <f t="shared" si="16"/>
        <v>1.200194243624899E-9</v>
      </c>
      <c r="M27" s="31">
        <v>23.1</v>
      </c>
      <c r="P27" s="332"/>
      <c r="Q27" s="5">
        <v>7</v>
      </c>
      <c r="R27" s="280">
        <f>J40</f>
        <v>2206.2027859987497</v>
      </c>
      <c r="S27" s="45">
        <f>K40</f>
        <v>6.3441042124851967E-8</v>
      </c>
      <c r="T27" s="72">
        <f>L40</f>
        <v>1.0573541065465627E-9</v>
      </c>
      <c r="U27" s="10">
        <f>M40</f>
        <v>22.3</v>
      </c>
      <c r="V27" s="292">
        <f t="shared" si="0"/>
        <v>2.2062027859987499</v>
      </c>
      <c r="W27" s="176">
        <f t="shared" si="1"/>
        <v>6.3441042124851965E-2</v>
      </c>
      <c r="X27" s="77">
        <f t="shared" si="17"/>
        <v>2.1933859205022044</v>
      </c>
      <c r="Y27" s="10">
        <f t="shared" si="3"/>
        <v>12.816865496545482</v>
      </c>
      <c r="Z27" s="234">
        <f t="shared" si="4"/>
        <v>3.3436454286810799</v>
      </c>
      <c r="AA27" s="234">
        <f t="shared" si="5"/>
        <v>1.3779609891783019E-3</v>
      </c>
      <c r="AB27" s="9">
        <f t="shared" si="6"/>
        <v>-7.1976296916211684</v>
      </c>
      <c r="AC27" s="9">
        <f t="shared" si="7"/>
        <v>7.2382646707978655E-3</v>
      </c>
      <c r="AD27" s="234">
        <f t="shared" si="18"/>
        <v>3.3410405146081779</v>
      </c>
      <c r="AE27" s="77">
        <f t="shared" si="9"/>
        <v>2.604914072902087E-3</v>
      </c>
    </row>
    <row r="28" spans="2:70" ht="15" thickBot="1" x14ac:dyDescent="0.35">
      <c r="B28" s="338"/>
      <c r="C28" s="3">
        <v>3</v>
      </c>
      <c r="D28" s="39">
        <v>15</v>
      </c>
      <c r="E28" s="52">
        <f t="shared" si="12"/>
        <v>1.4999999999999999E-5</v>
      </c>
      <c r="F28" s="39">
        <f>F27+60+48.15</f>
        <v>316.45</v>
      </c>
      <c r="G28" s="9">
        <v>18.5</v>
      </c>
      <c r="H28" s="246">
        <v>35.25</v>
      </c>
      <c r="I28" s="52">
        <f t="shared" si="13"/>
        <v>0.16750000000000001</v>
      </c>
      <c r="J28" s="280">
        <f t="shared" si="14"/>
        <v>1638.7537323937502</v>
      </c>
      <c r="K28" s="44">
        <f t="shared" si="15"/>
        <v>4.7400853215357874E-8</v>
      </c>
      <c r="L28" s="72">
        <f t="shared" si="16"/>
        <v>7.9001564028368856E-10</v>
      </c>
      <c r="M28" s="7">
        <v>23</v>
      </c>
      <c r="P28" s="333"/>
      <c r="Q28" s="101">
        <v>8</v>
      </c>
      <c r="R28" s="306">
        <f>J44</f>
        <v>2524.1699281049996</v>
      </c>
      <c r="S28" s="147">
        <f>K44</f>
        <v>7.2414791928164529E-8</v>
      </c>
      <c r="T28" s="154">
        <f>L44</f>
        <v>1.2069182619398385E-9</v>
      </c>
      <c r="U28" s="132">
        <f>M44</f>
        <v>22</v>
      </c>
      <c r="V28" s="293">
        <f t="shared" si="0"/>
        <v>2.5241699281049996</v>
      </c>
      <c r="W28" s="177">
        <f t="shared" si="1"/>
        <v>7.2414791928164524E-2</v>
      </c>
      <c r="X28" s="122">
        <f t="shared" si="17"/>
        <v>2.5036399794412061</v>
      </c>
      <c r="Y28" s="132">
        <f t="shared" si="3"/>
        <v>20.52994866379354</v>
      </c>
      <c r="Z28" s="235">
        <f t="shared" si="4"/>
        <v>3.4021185884303309</v>
      </c>
      <c r="AA28" s="235">
        <f t="shared" si="5"/>
        <v>1.2043806320143685E-3</v>
      </c>
      <c r="AB28" s="220">
        <f t="shared" si="6"/>
        <v>-7.1401727128550085</v>
      </c>
      <c r="AC28" s="220">
        <f t="shared" si="7"/>
        <v>7.2382717302937223E-3</v>
      </c>
      <c r="AD28" s="235">
        <f t="shared" si="18"/>
        <v>3.3984333836418834</v>
      </c>
      <c r="AE28" s="122">
        <f t="shared" si="9"/>
        <v>3.6852047884474715E-3</v>
      </c>
    </row>
    <row r="29" spans="2:70" ht="15" thickBot="1" x14ac:dyDescent="0.35">
      <c r="B29" s="339"/>
      <c r="C29" s="34">
        <v>4</v>
      </c>
      <c r="D29" s="40">
        <v>20</v>
      </c>
      <c r="E29" s="53">
        <f t="shared" si="12"/>
        <v>1.9999999999999998E-5</v>
      </c>
      <c r="F29" s="40">
        <f>F28+60+46.43</f>
        <v>422.88</v>
      </c>
      <c r="G29" s="35">
        <v>18.5</v>
      </c>
      <c r="H29" s="247">
        <v>35.6</v>
      </c>
      <c r="I29" s="53">
        <f t="shared" si="13"/>
        <v>0.17100000000000001</v>
      </c>
      <c r="J29" s="281">
        <f t="shared" si="14"/>
        <v>1672.9963476975001</v>
      </c>
      <c r="K29" s="46">
        <f t="shared" si="15"/>
        <v>4.7294740824820273E-8</v>
      </c>
      <c r="L29" s="83">
        <f t="shared" si="16"/>
        <v>5.9118531819452719E-10</v>
      </c>
      <c r="M29" s="36">
        <v>23</v>
      </c>
      <c r="P29" s="334">
        <v>20</v>
      </c>
      <c r="Q29" s="102">
        <v>1</v>
      </c>
      <c r="R29" s="307">
        <f>J17</f>
        <v>919.65881101500031</v>
      </c>
      <c r="S29" s="138">
        <f>K17</f>
        <v>2.6409264369940975E-8</v>
      </c>
      <c r="T29" s="155">
        <f>L17</f>
        <v>3.3011598881542563E-10</v>
      </c>
      <c r="U29" s="133">
        <f>M17</f>
        <v>23</v>
      </c>
      <c r="V29" s="294">
        <f t="shared" si="0"/>
        <v>0.91965881101500035</v>
      </c>
      <c r="W29" s="164">
        <f t="shared" si="1"/>
        <v>2.6409264369940975E-2</v>
      </c>
      <c r="X29" s="123">
        <f t="shared" ref="X29:X36" si="19">(S29*$AW$18+$AX$18)*0.001</f>
        <v>0.90858596985183004</v>
      </c>
      <c r="Y29" s="133">
        <f t="shared" si="3"/>
        <v>11.07284116317031</v>
      </c>
      <c r="Z29" s="236">
        <f t="shared" si="4"/>
        <v>2.9636267360667996</v>
      </c>
      <c r="AA29" s="236">
        <f t="shared" si="5"/>
        <v>3.3056404580819885E-3</v>
      </c>
      <c r="AB29" s="221">
        <f t="shared" si="6"/>
        <v>-7.5782436958973873</v>
      </c>
      <c r="AC29" s="221">
        <f t="shared" si="7"/>
        <v>5.4286840527733851E-3</v>
      </c>
      <c r="AD29" s="236">
        <f t="shared" ref="AD29:AD36" si="20">BM$18*AB29+BN$18</f>
        <v>2.9612535639842843</v>
      </c>
      <c r="AE29" s="123">
        <f t="shared" si="9"/>
        <v>2.3731720825153069E-3</v>
      </c>
    </row>
    <row r="30" spans="2:70" x14ac:dyDescent="0.3">
      <c r="B30" s="337">
        <v>5</v>
      </c>
      <c r="C30" s="17">
        <v>1</v>
      </c>
      <c r="D30" s="37">
        <v>5</v>
      </c>
      <c r="E30" s="49">
        <f t="shared" si="12"/>
        <v>4.9999999999999996E-6</v>
      </c>
      <c r="F30" s="37">
        <f>60+26.39</f>
        <v>86.39</v>
      </c>
      <c r="G30" s="19">
        <v>15.3</v>
      </c>
      <c r="H30" s="244">
        <v>34.950000000000003</v>
      </c>
      <c r="I30" s="50">
        <f t="shared" si="13"/>
        <v>0.19650000000000004</v>
      </c>
      <c r="J30" s="279">
        <f t="shared" si="14"/>
        <v>1922.4782591962503</v>
      </c>
      <c r="K30" s="42">
        <f t="shared" si="15"/>
        <v>5.7877069105220505E-8</v>
      </c>
      <c r="L30" s="82">
        <f t="shared" si="16"/>
        <v>2.8938612102109964E-9</v>
      </c>
      <c r="M30" s="21">
        <v>23</v>
      </c>
      <c r="N30" s="187">
        <f>MEDIAN(M30:M33)</f>
        <v>22.85</v>
      </c>
      <c r="P30" s="335"/>
      <c r="Q30" s="103">
        <v>2</v>
      </c>
      <c r="R30" s="210">
        <f>J21</f>
        <v>3052.4845642199994</v>
      </c>
      <c r="S30" s="148">
        <f>K21</f>
        <v>8.6621334834769789E-8</v>
      </c>
      <c r="T30" s="156">
        <f>L21</f>
        <v>1.0827731848353145E-9</v>
      </c>
      <c r="U30" s="134">
        <f>M21</f>
        <v>22.9</v>
      </c>
      <c r="V30" s="295">
        <f t="shared" si="0"/>
        <v>3.0524845642199994</v>
      </c>
      <c r="W30" s="178">
        <f t="shared" si="1"/>
        <v>8.6621334834769789E-2</v>
      </c>
      <c r="X30" s="124">
        <f t="shared" si="19"/>
        <v>3.0307423303935792</v>
      </c>
      <c r="Y30" s="134">
        <f t="shared" si="3"/>
        <v>21.742233826420154</v>
      </c>
      <c r="Z30" s="237">
        <f t="shared" si="4"/>
        <v>3.4846534764855432</v>
      </c>
      <c r="AA30" s="237">
        <f t="shared" si="5"/>
        <v>9.9593013801188178E-4</v>
      </c>
      <c r="AB30" s="222">
        <f t="shared" si="6"/>
        <v>-7.0623751280766447</v>
      </c>
      <c r="AC30" s="222">
        <f t="shared" si="7"/>
        <v>5.4287136099180917E-3</v>
      </c>
      <c r="AD30" s="237">
        <f t="shared" si="20"/>
        <v>3.4809405590495004</v>
      </c>
      <c r="AE30" s="124">
        <f t="shared" si="9"/>
        <v>3.7129174360428507E-3</v>
      </c>
    </row>
    <row r="31" spans="2:70" x14ac:dyDescent="0.3">
      <c r="B31" s="338"/>
      <c r="C31" s="27">
        <v>2</v>
      </c>
      <c r="D31" s="38">
        <v>10</v>
      </c>
      <c r="E31" s="51">
        <f t="shared" si="12"/>
        <v>9.9999999999999991E-6</v>
      </c>
      <c r="F31" s="38">
        <f>F30+60+28.94</f>
        <v>175.32999999999998</v>
      </c>
      <c r="G31" s="29">
        <v>15.3</v>
      </c>
      <c r="H31" s="245">
        <v>35</v>
      </c>
      <c r="I31" s="51">
        <f t="shared" si="13"/>
        <v>0.19700000000000001</v>
      </c>
      <c r="J31" s="74">
        <f t="shared" si="14"/>
        <v>1927.3700613825001</v>
      </c>
      <c r="K31" s="47">
        <f t="shared" si="15"/>
        <v>5.7035304853704442E-8</v>
      </c>
      <c r="L31" s="73">
        <f t="shared" si="16"/>
        <v>1.4258863320843745E-9</v>
      </c>
      <c r="M31" s="31">
        <v>22.9</v>
      </c>
      <c r="P31" s="335"/>
      <c r="Q31" s="104">
        <v>3</v>
      </c>
      <c r="R31" s="308">
        <f>J25</f>
        <v>1242.5177553075002</v>
      </c>
      <c r="S31" s="140">
        <f>K25</f>
        <v>3.6186650744540332E-8</v>
      </c>
      <c r="T31" s="157">
        <f>L25</f>
        <v>4.5233360816117753E-10</v>
      </c>
      <c r="U31" s="135">
        <f>M25</f>
        <v>22.8</v>
      </c>
      <c r="V31" s="296">
        <f t="shared" si="0"/>
        <v>1.2425177553075002</v>
      </c>
      <c r="W31" s="166">
        <f t="shared" si="1"/>
        <v>3.6186650744540333E-2</v>
      </c>
      <c r="X31" s="125">
        <f t="shared" si="19"/>
        <v>1.2531870195109724</v>
      </c>
      <c r="Y31" s="135">
        <f t="shared" si="3"/>
        <v>-10.669264203472251</v>
      </c>
      <c r="Z31" s="238">
        <f t="shared" si="4"/>
        <v>3.0943026034230576</v>
      </c>
      <c r="AA31" s="238">
        <f t="shared" si="5"/>
        <v>2.4466945122811573E-3</v>
      </c>
      <c r="AB31" s="223">
        <f t="shared" si="6"/>
        <v>-7.441451611157512</v>
      </c>
      <c r="AC31" s="223">
        <f t="shared" si="7"/>
        <v>5.4286867107596554E-3</v>
      </c>
      <c r="AD31" s="238">
        <f t="shared" si="20"/>
        <v>3.0990581752779791</v>
      </c>
      <c r="AE31" s="125">
        <f t="shared" si="9"/>
        <v>-4.7555718549214809E-3</v>
      </c>
    </row>
    <row r="32" spans="2:70" x14ac:dyDescent="0.3">
      <c r="B32" s="338"/>
      <c r="C32" s="3">
        <v>3</v>
      </c>
      <c r="D32" s="39">
        <v>15</v>
      </c>
      <c r="E32" s="52">
        <f t="shared" si="12"/>
        <v>1.4999999999999999E-5</v>
      </c>
      <c r="F32" s="39">
        <f>F31+60+32.62</f>
        <v>267.95</v>
      </c>
      <c r="G32" s="9">
        <v>15.3</v>
      </c>
      <c r="H32" s="246">
        <v>35</v>
      </c>
      <c r="I32" s="52">
        <f t="shared" si="13"/>
        <v>0.19700000000000001</v>
      </c>
      <c r="J32" s="280">
        <f t="shared" si="14"/>
        <v>1927.3700613825001</v>
      </c>
      <c r="K32" s="44">
        <f t="shared" si="15"/>
        <v>5.5980593394289975E-8</v>
      </c>
      <c r="L32" s="72">
        <f t="shared" si="16"/>
        <v>9.3301222901504655E-10</v>
      </c>
      <c r="M32" s="7">
        <v>22.7</v>
      </c>
      <c r="P32" s="335"/>
      <c r="Q32" s="103">
        <v>4</v>
      </c>
      <c r="R32" s="210">
        <f>J29</f>
        <v>1672.9963476975001</v>
      </c>
      <c r="S32" s="139">
        <f>K29</f>
        <v>4.7294740824820273E-8</v>
      </c>
      <c r="T32" s="156">
        <f>L29</f>
        <v>5.9118531819452719E-10</v>
      </c>
      <c r="U32" s="134">
        <f>M29</f>
        <v>23</v>
      </c>
      <c r="V32" s="295">
        <f t="shared" si="0"/>
        <v>1.6729963476975003</v>
      </c>
      <c r="W32" s="165">
        <f t="shared" si="1"/>
        <v>4.7294740824820276E-2</v>
      </c>
      <c r="X32" s="124">
        <f t="shared" si="19"/>
        <v>1.6446883220796384</v>
      </c>
      <c r="Y32" s="134">
        <f t="shared" si="3"/>
        <v>28.30802561786183</v>
      </c>
      <c r="Z32" s="237">
        <f t="shared" si="4"/>
        <v>3.2234949928592544</v>
      </c>
      <c r="AA32" s="237">
        <f t="shared" si="5"/>
        <v>1.8171356904076433E-3</v>
      </c>
      <c r="AB32" s="222">
        <f t="shared" si="6"/>
        <v>-7.3251871501236536</v>
      </c>
      <c r="AC32" s="222">
        <f t="shared" si="7"/>
        <v>5.4286907380483975E-3</v>
      </c>
      <c r="AD32" s="237">
        <f t="shared" si="20"/>
        <v>3.2161832186641428</v>
      </c>
      <c r="AE32" s="124">
        <f t="shared" si="9"/>
        <v>7.3117741951116422E-3</v>
      </c>
    </row>
    <row r="33" spans="2:31" ht="15" thickBot="1" x14ac:dyDescent="0.35">
      <c r="B33" s="339"/>
      <c r="C33" s="34">
        <v>4</v>
      </c>
      <c r="D33" s="40">
        <v>20</v>
      </c>
      <c r="E33" s="53">
        <f t="shared" si="12"/>
        <v>1.9999999999999998E-5</v>
      </c>
      <c r="F33" s="40">
        <f>F32+60+28.86</f>
        <v>356.81</v>
      </c>
      <c r="G33" s="35">
        <v>15.2</v>
      </c>
      <c r="H33" s="247">
        <v>35</v>
      </c>
      <c r="I33" s="53">
        <f t="shared" si="13"/>
        <v>0.19800000000000001</v>
      </c>
      <c r="J33" s="281">
        <f t="shared" si="14"/>
        <v>1937.153665755</v>
      </c>
      <c r="K33" s="46">
        <f t="shared" si="15"/>
        <v>5.6052240688321514E-8</v>
      </c>
      <c r="L33" s="83">
        <f t="shared" si="16"/>
        <v>7.0065476968119591E-10</v>
      </c>
      <c r="M33" s="36">
        <v>22.8</v>
      </c>
      <c r="P33" s="335"/>
      <c r="Q33" s="104">
        <v>5</v>
      </c>
      <c r="R33" s="308">
        <f>J33</f>
        <v>1937.153665755</v>
      </c>
      <c r="S33" s="140">
        <f>K33</f>
        <v>5.6052240688321514E-8</v>
      </c>
      <c r="T33" s="157">
        <f>L33</f>
        <v>7.0065476968119591E-10</v>
      </c>
      <c r="U33" s="135">
        <f>M33</f>
        <v>22.8</v>
      </c>
      <c r="V33" s="296">
        <f t="shared" si="0"/>
        <v>1.9371536657550001</v>
      </c>
      <c r="W33" s="166">
        <f t="shared" si="1"/>
        <v>5.6052240688321514E-2</v>
      </c>
      <c r="X33" s="125">
        <f t="shared" si="19"/>
        <v>1.9533437776104101</v>
      </c>
      <c r="Y33" s="135">
        <f t="shared" si="3"/>
        <v>-16.190111855409974</v>
      </c>
      <c r="Z33" s="238">
        <f t="shared" si="4"/>
        <v>3.2871640727286318</v>
      </c>
      <c r="AA33" s="238">
        <f t="shared" si="5"/>
        <v>1.5693444598975101E-3</v>
      </c>
      <c r="AB33" s="223">
        <f t="shared" si="6"/>
        <v>-7.251407021800083</v>
      </c>
      <c r="AC33" s="223">
        <f t="shared" si="7"/>
        <v>5.4286946686706869E-3</v>
      </c>
      <c r="AD33" s="238">
        <f t="shared" si="20"/>
        <v>3.2905094629359706</v>
      </c>
      <c r="AE33" s="125">
        <f t="shared" si="9"/>
        <v>-3.3453902073388164E-3</v>
      </c>
    </row>
    <row r="34" spans="2:31" x14ac:dyDescent="0.3">
      <c r="B34" s="337">
        <v>6</v>
      </c>
      <c r="C34" s="17">
        <v>1</v>
      </c>
      <c r="D34" s="37">
        <v>5</v>
      </c>
      <c r="E34" s="49">
        <f t="shared" si="12"/>
        <v>4.9999999999999996E-6</v>
      </c>
      <c r="F34" s="37">
        <f>60+19.24</f>
        <v>79.239999999999995</v>
      </c>
      <c r="G34" s="19">
        <v>14</v>
      </c>
      <c r="H34" s="244">
        <v>34.799999999999997</v>
      </c>
      <c r="I34" s="50">
        <f t="shared" si="13"/>
        <v>0.20799999999999996</v>
      </c>
      <c r="J34" s="279">
        <f t="shared" si="14"/>
        <v>2034.9897094799996</v>
      </c>
      <c r="K34" s="42">
        <f t="shared" si="15"/>
        <v>6.3099444724886426E-8</v>
      </c>
      <c r="L34" s="82">
        <f t="shared" si="16"/>
        <v>3.1549822855466522E-9</v>
      </c>
      <c r="M34" s="21">
        <v>22.9</v>
      </c>
      <c r="N34" s="187">
        <f>MEDIAN(M34:M37)</f>
        <v>22.9</v>
      </c>
      <c r="P34" s="335"/>
      <c r="Q34" s="103">
        <v>6</v>
      </c>
      <c r="R34" s="210">
        <f>J37</f>
        <v>2034.9897094799996</v>
      </c>
      <c r="S34" s="139">
        <f>K37</f>
        <v>5.8730251952780869E-8</v>
      </c>
      <c r="T34" s="156">
        <f>L37</f>
        <v>7.341301751557735E-10</v>
      </c>
      <c r="U34" s="134">
        <f>M37</f>
        <v>22.8</v>
      </c>
      <c r="V34" s="295">
        <f t="shared" si="0"/>
        <v>2.0349897094799996</v>
      </c>
      <c r="W34" s="165">
        <f t="shared" si="1"/>
        <v>5.8730251952780872E-2</v>
      </c>
      <c r="X34" s="124">
        <f t="shared" si="19"/>
        <v>2.0477294812509208</v>
      </c>
      <c r="Y34" s="134">
        <f t="shared" si="3"/>
        <v>-12.739771770921227</v>
      </c>
      <c r="Z34" s="237">
        <f t="shared" si="4"/>
        <v>3.3085622174298619</v>
      </c>
      <c r="AA34" s="237">
        <f t="shared" si="5"/>
        <v>1.4938952070178224E-3</v>
      </c>
      <c r="AB34" s="222">
        <f t="shared" si="6"/>
        <v>-7.2311381360297196</v>
      </c>
      <c r="AC34" s="222">
        <f t="shared" si="7"/>
        <v>5.4286960036398013E-3</v>
      </c>
      <c r="AD34" s="237">
        <f t="shared" si="20"/>
        <v>3.3109283777456442</v>
      </c>
      <c r="AE34" s="124">
        <f t="shared" si="9"/>
        <v>-2.3661603157822952E-3</v>
      </c>
    </row>
    <row r="35" spans="2:31" x14ac:dyDescent="0.3">
      <c r="B35" s="338"/>
      <c r="C35" s="27">
        <v>2</v>
      </c>
      <c r="D35" s="38">
        <v>10</v>
      </c>
      <c r="E35" s="51">
        <f t="shared" si="12"/>
        <v>9.9999999999999991E-6</v>
      </c>
      <c r="F35" s="38">
        <f>F34+60+25.27</f>
        <v>164.51000000000002</v>
      </c>
      <c r="G35" s="29">
        <v>14</v>
      </c>
      <c r="H35" s="245">
        <v>34.799999999999997</v>
      </c>
      <c r="I35" s="51">
        <f t="shared" si="13"/>
        <v>0.20799999999999996</v>
      </c>
      <c r="J35" s="74">
        <f t="shared" si="14"/>
        <v>2034.9897094799996</v>
      </c>
      <c r="K35" s="47">
        <f t="shared" si="15"/>
        <v>6.078657832350616E-8</v>
      </c>
      <c r="L35" s="73">
        <f t="shared" si="16"/>
        <v>1.5196689502190052E-9</v>
      </c>
      <c r="M35" s="31">
        <v>23</v>
      </c>
      <c r="P35" s="335"/>
      <c r="Q35" s="104">
        <v>7</v>
      </c>
      <c r="R35" s="308">
        <f>J41</f>
        <v>2206.2027859987497</v>
      </c>
      <c r="S35" s="140">
        <f>K41</f>
        <v>6.350617597561362E-8</v>
      </c>
      <c r="T35" s="157">
        <f>L41</f>
        <v>7.9382976091695349E-10</v>
      </c>
      <c r="U35" s="135">
        <f>M41</f>
        <v>22.4</v>
      </c>
      <c r="V35" s="296">
        <f t="shared" si="0"/>
        <v>2.2062027859987499</v>
      </c>
      <c r="W35" s="166">
        <f t="shared" si="1"/>
        <v>6.3506175975613616E-2</v>
      </c>
      <c r="X35" s="125">
        <f t="shared" si="19"/>
        <v>2.2160554907084244</v>
      </c>
      <c r="Y35" s="135">
        <f t="shared" si="3"/>
        <v>-9.8527047096745868</v>
      </c>
      <c r="Z35" s="238">
        <f t="shared" si="4"/>
        <v>3.3436454286810799</v>
      </c>
      <c r="AA35" s="238">
        <f t="shared" si="5"/>
        <v>1.3779609891783019E-3</v>
      </c>
      <c r="AB35" s="223">
        <f t="shared" si="6"/>
        <v>-7.1971840375158429</v>
      </c>
      <c r="AC35" s="223">
        <f t="shared" si="7"/>
        <v>5.4286985390081888E-3</v>
      </c>
      <c r="AD35" s="238">
        <f t="shared" si="20"/>
        <v>3.3451338023974451</v>
      </c>
      <c r="AE35" s="125">
        <f t="shared" si="9"/>
        <v>-1.4883737163651212E-3</v>
      </c>
    </row>
    <row r="36" spans="2:31" ht="15" thickBot="1" x14ac:dyDescent="0.35">
      <c r="B36" s="338"/>
      <c r="C36" s="3">
        <v>3</v>
      </c>
      <c r="D36" s="39">
        <v>15</v>
      </c>
      <c r="E36" s="52">
        <f t="shared" si="12"/>
        <v>1.4999999999999999E-5</v>
      </c>
      <c r="F36" s="39">
        <f>F35+60+29.39</f>
        <v>253.90000000000003</v>
      </c>
      <c r="G36" s="9">
        <v>14</v>
      </c>
      <c r="H36" s="246">
        <v>34.799999999999997</v>
      </c>
      <c r="I36" s="52">
        <f t="shared" si="13"/>
        <v>0.20799999999999996</v>
      </c>
      <c r="J36" s="280">
        <f t="shared" si="14"/>
        <v>2034.9897094799996</v>
      </c>
      <c r="K36" s="45">
        <f t="shared" si="15"/>
        <v>5.9078377313903097E-8</v>
      </c>
      <c r="L36" s="72">
        <f t="shared" si="16"/>
        <v>9.8464237120897455E-10</v>
      </c>
      <c r="M36" s="7">
        <v>22.9</v>
      </c>
      <c r="P36" s="336"/>
      <c r="Q36" s="105">
        <v>8</v>
      </c>
      <c r="R36" s="309">
        <f>J45</f>
        <v>2524.1699281049996</v>
      </c>
      <c r="S36" s="141">
        <f>K45</f>
        <v>7.2579474524604433E-8</v>
      </c>
      <c r="T36" s="158">
        <f>L45</f>
        <v>9.072472548766312E-10</v>
      </c>
      <c r="U36" s="136">
        <f>M45</f>
        <v>21.9</v>
      </c>
      <c r="V36" s="297">
        <f t="shared" si="0"/>
        <v>2.5241699281049996</v>
      </c>
      <c r="W36" s="167">
        <f t="shared" si="1"/>
        <v>7.2579474524604434E-2</v>
      </c>
      <c r="X36" s="126">
        <f t="shared" si="19"/>
        <v>2.5358411761729749</v>
      </c>
      <c r="Y36" s="136">
        <f t="shared" si="3"/>
        <v>-11.671248067975259</v>
      </c>
      <c r="Z36" s="239">
        <f t="shared" si="4"/>
        <v>3.4021185884303309</v>
      </c>
      <c r="AA36" s="239">
        <f t="shared" si="5"/>
        <v>1.2043806320143685E-3</v>
      </c>
      <c r="AB36" s="211">
        <f t="shared" si="6"/>
        <v>-7.1391861804161287</v>
      </c>
      <c r="AC36" s="211">
        <f t="shared" si="7"/>
        <v>5.4287039014208321E-3</v>
      </c>
      <c r="AD36" s="239">
        <f t="shared" si="20"/>
        <v>3.4035609560495859</v>
      </c>
      <c r="AE36" s="126">
        <f t="shared" si="9"/>
        <v>-1.4423676192549806E-3</v>
      </c>
    </row>
    <row r="37" spans="2:31" ht="15" thickBot="1" x14ac:dyDescent="0.35">
      <c r="B37" s="339"/>
      <c r="C37" s="34">
        <v>4</v>
      </c>
      <c r="D37" s="40">
        <v>20</v>
      </c>
      <c r="E37" s="53">
        <f t="shared" si="12"/>
        <v>1.9999999999999998E-5</v>
      </c>
      <c r="F37" s="40">
        <f>F36+60+24.87+1.77</f>
        <v>340.54</v>
      </c>
      <c r="G37" s="35">
        <v>14</v>
      </c>
      <c r="H37" s="247">
        <v>34.799999999999997</v>
      </c>
      <c r="I37" s="53">
        <f t="shared" si="13"/>
        <v>0.20799999999999996</v>
      </c>
      <c r="J37" s="281">
        <f t="shared" si="14"/>
        <v>2034.9897094799996</v>
      </c>
      <c r="K37" s="46">
        <f t="shared" si="15"/>
        <v>5.8730251952780869E-8</v>
      </c>
      <c r="L37" s="83">
        <f t="shared" si="16"/>
        <v>7.341301751557735E-10</v>
      </c>
      <c r="M37" s="36">
        <v>22.8</v>
      </c>
    </row>
    <row r="38" spans="2:31" ht="15" thickBot="1" x14ac:dyDescent="0.35">
      <c r="B38" s="337">
        <v>7</v>
      </c>
      <c r="C38" s="17">
        <v>1</v>
      </c>
      <c r="D38" s="37">
        <v>5</v>
      </c>
      <c r="E38" s="49">
        <f t="shared" si="12"/>
        <v>4.9999999999999996E-6</v>
      </c>
      <c r="F38" s="37">
        <f>60+15.09</f>
        <v>75.09</v>
      </c>
      <c r="G38" s="19">
        <v>12.1</v>
      </c>
      <c r="H38" s="244">
        <v>34.700000000000003</v>
      </c>
      <c r="I38" s="50">
        <f t="shared" si="13"/>
        <v>0.22600000000000001</v>
      </c>
      <c r="J38" s="279">
        <f t="shared" si="14"/>
        <v>2211.0945881850002</v>
      </c>
      <c r="K38" s="42">
        <f t="shared" si="15"/>
        <v>6.6586762551604726E-8</v>
      </c>
      <c r="L38" s="82">
        <f t="shared" si="16"/>
        <v>3.3293499368466734E-9</v>
      </c>
      <c r="M38" s="21">
        <v>22.5</v>
      </c>
      <c r="N38" s="187">
        <f>MEDIAN(M38:M41)</f>
        <v>22.35</v>
      </c>
    </row>
    <row r="39" spans="2:31" ht="17.399999999999999" thickBot="1" x14ac:dyDescent="0.4">
      <c r="B39" s="338"/>
      <c r="C39" s="27">
        <v>2</v>
      </c>
      <c r="D39" s="38">
        <v>10</v>
      </c>
      <c r="E39" s="51">
        <f t="shared" si="12"/>
        <v>9.9999999999999991E-6</v>
      </c>
      <c r="F39" s="38">
        <f>F38+60+20.59</f>
        <v>155.68</v>
      </c>
      <c r="G39" s="29">
        <v>12</v>
      </c>
      <c r="H39" s="245">
        <v>34.700000000000003</v>
      </c>
      <c r="I39" s="51">
        <f t="shared" si="13"/>
        <v>0.22700000000000004</v>
      </c>
      <c r="J39" s="74">
        <f t="shared" si="14"/>
        <v>2220.8781925575004</v>
      </c>
      <c r="K39" s="47">
        <f t="shared" si="15"/>
        <v>6.4234326824254877E-8</v>
      </c>
      <c r="L39" s="73">
        <f t="shared" si="16"/>
        <v>1.6058634712768923E-9</v>
      </c>
      <c r="M39" s="31">
        <v>22.3</v>
      </c>
      <c r="P39" s="58" t="s">
        <v>30</v>
      </c>
      <c r="Q39" s="95" t="s">
        <v>0</v>
      </c>
      <c r="R39" s="56" t="str">
        <f t="shared" ref="R39:T58" si="21">R4</f>
        <v>P /Pa ± 7 Pa</v>
      </c>
      <c r="S39" s="56" t="str">
        <f t="shared" si="21"/>
        <v>Q / m3/s</v>
      </c>
      <c r="T39" s="65" t="str">
        <f t="shared" si="21"/>
        <v>u(Q) / m3/s</v>
      </c>
      <c r="U39" s="65" t="s">
        <v>65</v>
      </c>
      <c r="V39" s="65" t="s">
        <v>40</v>
      </c>
    </row>
    <row r="40" spans="2:31" x14ac:dyDescent="0.3">
      <c r="B40" s="338"/>
      <c r="C40" s="3">
        <v>3</v>
      </c>
      <c r="D40" s="39">
        <v>15</v>
      </c>
      <c r="E40" s="52">
        <f t="shared" si="12"/>
        <v>1.4999999999999999E-5</v>
      </c>
      <c r="F40" s="39">
        <f>F39+60+20.76</f>
        <v>236.44</v>
      </c>
      <c r="G40" s="9">
        <v>12.1</v>
      </c>
      <c r="H40" s="246">
        <v>34.65</v>
      </c>
      <c r="I40" s="52">
        <f t="shared" si="13"/>
        <v>0.22549999999999998</v>
      </c>
      <c r="J40" s="280">
        <f t="shared" si="14"/>
        <v>2206.2027859987497</v>
      </c>
      <c r="K40" s="45">
        <f t="shared" si="15"/>
        <v>6.3441042124851967E-8</v>
      </c>
      <c r="L40" s="72">
        <f t="shared" si="16"/>
        <v>1.0573541065465627E-9</v>
      </c>
      <c r="M40" s="7">
        <v>22.3</v>
      </c>
      <c r="P40" s="325">
        <v>5</v>
      </c>
      <c r="Q40" s="20">
        <v>1</v>
      </c>
      <c r="R40" s="279">
        <f t="shared" si="21"/>
        <v>909.87520664250007</v>
      </c>
      <c r="S40" s="42">
        <f t="shared" si="21"/>
        <v>2.7112026895130681E-8</v>
      </c>
      <c r="T40" s="82">
        <f t="shared" si="21"/>
        <v>1.3556021419171306E-9</v>
      </c>
      <c r="U40" s="279">
        <f t="shared" ref="U40:U47" si="22">Z$40*S5</f>
        <v>896.18199151867327</v>
      </c>
      <c r="V40" s="18">
        <f t="shared" ref="V40:V71" si="23">R5-U40</f>
        <v>13.693215123826803</v>
      </c>
      <c r="Y40" s="59" t="s">
        <v>3</v>
      </c>
      <c r="Z40" s="49" cm="1">
        <f t="array" ref="Z40:AA44">LINEST(R5:R12,S5:S12,0,1)</f>
        <v>33054776575.174744</v>
      </c>
      <c r="AA40" s="18">
        <v>0</v>
      </c>
      <c r="AB40" s="62" t="s">
        <v>4</v>
      </c>
      <c r="AD40" s="189" t="s">
        <v>50</v>
      </c>
      <c r="AE40" s="258">
        <f>(Z40*PI()*(C2^4)/(8*C3))</f>
        <v>9.8218092278412128E-4</v>
      </c>
    </row>
    <row r="41" spans="2:31" ht="16.2" thickBot="1" x14ac:dyDescent="0.4">
      <c r="B41" s="339"/>
      <c r="C41" s="34">
        <v>4</v>
      </c>
      <c r="D41" s="40">
        <v>20</v>
      </c>
      <c r="E41" s="53">
        <f t="shared" si="12"/>
        <v>1.9999999999999998E-5</v>
      </c>
      <c r="F41" s="40">
        <f>F40+60+18.49</f>
        <v>314.93</v>
      </c>
      <c r="G41" s="35">
        <v>12.1</v>
      </c>
      <c r="H41" s="247">
        <v>34.65</v>
      </c>
      <c r="I41" s="53">
        <f t="shared" si="13"/>
        <v>0.22549999999999998</v>
      </c>
      <c r="J41" s="281">
        <f t="shared" si="14"/>
        <v>2206.2027859987497</v>
      </c>
      <c r="K41" s="46">
        <f t="shared" si="15"/>
        <v>6.350617597561362E-8</v>
      </c>
      <c r="L41" s="83">
        <f t="shared" si="16"/>
        <v>7.9382976091695349E-10</v>
      </c>
      <c r="M41" s="36">
        <v>22.4</v>
      </c>
      <c r="P41" s="326"/>
      <c r="Q41" s="96">
        <v>2</v>
      </c>
      <c r="R41" s="299">
        <f t="shared" si="21"/>
        <v>3052.4845642199994</v>
      </c>
      <c r="S41" s="142">
        <f t="shared" si="21"/>
        <v>9.1524803221673056E-8</v>
      </c>
      <c r="T41" s="149">
        <f t="shared" si="21"/>
        <v>4.5762708283417053E-9</v>
      </c>
      <c r="U41" s="299">
        <f t="shared" si="22"/>
        <v>3025.3319215792362</v>
      </c>
      <c r="V41" s="127">
        <f t="shared" si="23"/>
        <v>27.152642640763133</v>
      </c>
      <c r="Y41" s="60" t="s">
        <v>54</v>
      </c>
      <c r="Z41" s="68">
        <v>136526876.16709289</v>
      </c>
      <c r="AA41" s="22" t="e">
        <v>#N/A</v>
      </c>
      <c r="AB41" s="63" t="s">
        <v>55</v>
      </c>
      <c r="AD41" s="190" t="s">
        <v>51</v>
      </c>
      <c r="AE41" s="193">
        <f>(PI()/8)*SQRT((((C2^4)/C3)*Z41)^2 + ((4*Z40*C2^3)/(8*C3)*D2)^2 + (-(Z40*C2^4)/(C3^2)*D3)^2)</f>
        <v>5.3246827709998894E-6</v>
      </c>
    </row>
    <row r="42" spans="2:31" ht="17.399999999999999" thickBot="1" x14ac:dyDescent="0.4">
      <c r="B42" s="337">
        <v>8</v>
      </c>
      <c r="C42" s="17">
        <v>1</v>
      </c>
      <c r="D42" s="37">
        <v>5</v>
      </c>
      <c r="E42" s="50">
        <f t="shared" si="12"/>
        <v>4.9999999999999996E-6</v>
      </c>
      <c r="F42" s="37">
        <f>60+5.06</f>
        <v>65.06</v>
      </c>
      <c r="G42" s="19">
        <v>8.6</v>
      </c>
      <c r="H42" s="244">
        <v>34.4</v>
      </c>
      <c r="I42" s="50">
        <f t="shared" si="13"/>
        <v>0.25799999999999995</v>
      </c>
      <c r="J42" s="279">
        <f t="shared" si="14"/>
        <v>2524.1699281049996</v>
      </c>
      <c r="K42" s="42">
        <f t="shared" si="15"/>
        <v>7.6852136489394391E-8</v>
      </c>
      <c r="L42" s="82">
        <f t="shared" si="16"/>
        <v>3.8426249807467861E-9</v>
      </c>
      <c r="M42" s="21">
        <v>21.9</v>
      </c>
      <c r="N42" s="187">
        <f>MEDIAN(M42:M45)</f>
        <v>21.95</v>
      </c>
      <c r="P42" s="326"/>
      <c r="Q42" s="23">
        <v>3</v>
      </c>
      <c r="R42" s="300">
        <f t="shared" si="21"/>
        <v>1247.4095574937501</v>
      </c>
      <c r="S42" s="84">
        <f t="shared" si="21"/>
        <v>3.7554453958239448E-8</v>
      </c>
      <c r="T42" s="68">
        <f t="shared" si="21"/>
        <v>1.8777248164882328E-9</v>
      </c>
      <c r="U42" s="300">
        <f t="shared" si="22"/>
        <v>1241.3540849922917</v>
      </c>
      <c r="V42" s="22">
        <f t="shared" si="23"/>
        <v>6.0554725014583255</v>
      </c>
      <c r="Y42" s="61" t="s">
        <v>5</v>
      </c>
      <c r="Z42" s="319">
        <v>0.99988059733070889</v>
      </c>
      <c r="AA42" s="24">
        <v>23.893316792203262</v>
      </c>
      <c r="AB42" s="64" t="s">
        <v>56</v>
      </c>
      <c r="AD42" s="190" t="s">
        <v>47</v>
      </c>
      <c r="AE42" s="194">
        <f>(AE41/AE40)* 100</f>
        <v>0.54212850682401514</v>
      </c>
    </row>
    <row r="43" spans="2:31" ht="15" thickBot="1" x14ac:dyDescent="0.35">
      <c r="B43" s="338"/>
      <c r="C43" s="27">
        <v>2</v>
      </c>
      <c r="D43" s="38">
        <v>10</v>
      </c>
      <c r="E43" s="51">
        <f t="shared" si="12"/>
        <v>9.9999999999999991E-6</v>
      </c>
      <c r="F43" s="38">
        <f>F42+60+11.54</f>
        <v>136.6</v>
      </c>
      <c r="G43" s="29">
        <v>8.6</v>
      </c>
      <c r="H43" s="245">
        <v>34.4</v>
      </c>
      <c r="I43" s="51">
        <f t="shared" si="13"/>
        <v>0.25799999999999995</v>
      </c>
      <c r="J43" s="74">
        <f t="shared" si="14"/>
        <v>2524.1699281049996</v>
      </c>
      <c r="K43" s="47">
        <f t="shared" si="15"/>
        <v>7.320644216691069E-8</v>
      </c>
      <c r="L43" s="73">
        <f t="shared" si="16"/>
        <v>1.8301689006906097E-9</v>
      </c>
      <c r="M43" s="31">
        <v>22</v>
      </c>
      <c r="P43" s="326"/>
      <c r="Q43" s="96">
        <v>4</v>
      </c>
      <c r="R43" s="299">
        <f t="shared" si="21"/>
        <v>1633.8619302075003</v>
      </c>
      <c r="S43" s="142">
        <f t="shared" si="21"/>
        <v>4.9338859285573314E-8</v>
      </c>
      <c r="T43" s="149">
        <f t="shared" si="21"/>
        <v>2.4669477685428563E-9</v>
      </c>
      <c r="U43" s="299">
        <f t="shared" si="22"/>
        <v>1630.8849701586116</v>
      </c>
      <c r="V43" s="127">
        <f t="shared" si="23"/>
        <v>2.9769600488887136</v>
      </c>
      <c r="Z43" s="240">
        <v>58618.155045159045</v>
      </c>
      <c r="AA43" s="240">
        <v>7</v>
      </c>
      <c r="AD43" s="191" t="s">
        <v>49</v>
      </c>
      <c r="AE43" s="195">
        <f>(ABS(D10-AE40)/D10)*100</f>
        <v>4.7547912525726597</v>
      </c>
    </row>
    <row r="44" spans="2:31" ht="15" thickBot="1" x14ac:dyDescent="0.35">
      <c r="B44" s="338"/>
      <c r="C44" s="3">
        <v>3</v>
      </c>
      <c r="D44" s="39">
        <v>15</v>
      </c>
      <c r="E44" s="52">
        <f t="shared" si="12"/>
        <v>1.4999999999999999E-5</v>
      </c>
      <c r="F44" s="39">
        <f>F43+60+10.54</f>
        <v>207.14</v>
      </c>
      <c r="G44" s="9">
        <v>8.6</v>
      </c>
      <c r="H44" s="246">
        <v>34.4</v>
      </c>
      <c r="I44" s="52">
        <f t="shared" si="13"/>
        <v>0.25799999999999995</v>
      </c>
      <c r="J44" s="280">
        <f t="shared" si="14"/>
        <v>2524.1699281049996</v>
      </c>
      <c r="K44" s="45">
        <f t="shared" si="15"/>
        <v>7.2414791928164529E-8</v>
      </c>
      <c r="L44" s="72">
        <f t="shared" si="16"/>
        <v>1.2069182619398385E-9</v>
      </c>
      <c r="M44" s="7">
        <v>22</v>
      </c>
      <c r="P44" s="326"/>
      <c r="Q44" s="23">
        <v>5</v>
      </c>
      <c r="R44" s="300">
        <f t="shared" si="21"/>
        <v>1922.4782591962503</v>
      </c>
      <c r="S44" s="84">
        <f t="shared" si="21"/>
        <v>5.7877069105220505E-8</v>
      </c>
      <c r="T44" s="68">
        <f t="shared" si="21"/>
        <v>2.8938612102109964E-9</v>
      </c>
      <c r="U44" s="300">
        <f t="shared" si="22"/>
        <v>1913.1135880990125</v>
      </c>
      <c r="V44" s="22">
        <f t="shared" si="23"/>
        <v>9.3646710972377605</v>
      </c>
      <c r="Z44" s="240">
        <v>33464552.962083228</v>
      </c>
      <c r="AA44" s="240">
        <v>3996.2341113280772</v>
      </c>
    </row>
    <row r="45" spans="2:31" ht="15" thickBot="1" x14ac:dyDescent="0.35">
      <c r="B45" s="339"/>
      <c r="C45" s="34">
        <v>4</v>
      </c>
      <c r="D45" s="40">
        <v>20</v>
      </c>
      <c r="E45" s="53">
        <f t="shared" si="12"/>
        <v>1.9999999999999998E-5</v>
      </c>
      <c r="F45" s="40">
        <f>F44+60+8.42</f>
        <v>275.56</v>
      </c>
      <c r="G45" s="35">
        <v>8.6</v>
      </c>
      <c r="H45" s="247">
        <v>34.4</v>
      </c>
      <c r="I45" s="53">
        <f t="shared" si="13"/>
        <v>0.25799999999999995</v>
      </c>
      <c r="J45" s="281">
        <f t="shared" si="14"/>
        <v>2524.1699281049996</v>
      </c>
      <c r="K45" s="46">
        <f t="shared" si="15"/>
        <v>7.2579474524604433E-8</v>
      </c>
      <c r="L45" s="83">
        <f t="shared" si="16"/>
        <v>9.072472548766312E-10</v>
      </c>
      <c r="M45" s="36">
        <v>21.9</v>
      </c>
      <c r="P45" s="326"/>
      <c r="Q45" s="96">
        <v>6</v>
      </c>
      <c r="R45" s="299">
        <f t="shared" si="21"/>
        <v>2034.9897094799996</v>
      </c>
      <c r="S45" s="142">
        <f t="shared" si="21"/>
        <v>6.3099444724886426E-8</v>
      </c>
      <c r="T45" s="149">
        <f t="shared" si="21"/>
        <v>3.1549822855466522E-9</v>
      </c>
      <c r="U45" s="299">
        <f t="shared" si="22"/>
        <v>2085.7380473987096</v>
      </c>
      <c r="V45" s="127">
        <f t="shared" si="23"/>
        <v>-50.748337918709922</v>
      </c>
      <c r="Y45" s="59" t="s">
        <v>3</v>
      </c>
      <c r="Z45" s="70" cm="1">
        <f t="array" ref="Z45:AA49">LINEST(R13:R20,S13:S20,0,1)</f>
        <v>34260470538.075386</v>
      </c>
      <c r="AA45" s="75">
        <v>0</v>
      </c>
      <c r="AB45" s="62" t="s">
        <v>4</v>
      </c>
      <c r="AD45" s="189" t="s">
        <v>50</v>
      </c>
      <c r="AE45" s="313">
        <f>(Z45*PI()*(C$2^4)/(8*C$3))</f>
        <v>1.0180065955544034E-3</v>
      </c>
    </row>
    <row r="46" spans="2:31" ht="15.6" x14ac:dyDescent="0.35">
      <c r="P46" s="326"/>
      <c r="Q46" s="23">
        <v>7</v>
      </c>
      <c r="R46" s="300">
        <f t="shared" si="21"/>
        <v>2211.0945881850002</v>
      </c>
      <c r="S46" s="84">
        <f t="shared" si="21"/>
        <v>6.6586762551604726E-8</v>
      </c>
      <c r="T46" s="68">
        <f t="shared" si="21"/>
        <v>3.3293499368466734E-9</v>
      </c>
      <c r="U46" s="300">
        <f t="shared" si="22"/>
        <v>2201.0105590075068</v>
      </c>
      <c r="V46" s="22">
        <f t="shared" si="23"/>
        <v>10.084029177493449</v>
      </c>
      <c r="Y46" s="60" t="s">
        <v>54</v>
      </c>
      <c r="Z46" s="73">
        <v>142470072.80592674</v>
      </c>
      <c r="AA46" s="74" t="e">
        <v>#N/A</v>
      </c>
      <c r="AB46" s="63" t="s">
        <v>55</v>
      </c>
      <c r="AD46" s="190" t="s">
        <v>51</v>
      </c>
      <c r="AE46" s="197">
        <f>(PI()/8)*SQRT((((C$2^4)/C$3)*Z46)^2 + ((4*Z45*C$2^3)/(8*C$3)*D$2)^2 + (-(Z45*C$2^4)/(C$3^2)*D$3)^2)</f>
        <v>5.5407420268480815E-6</v>
      </c>
    </row>
    <row r="47" spans="2:31" ht="21.6" thickBot="1" x14ac:dyDescent="0.45">
      <c r="C47" s="255" t="s">
        <v>18</v>
      </c>
      <c r="D47" s="255"/>
      <c r="P47" s="327"/>
      <c r="Q47" s="97">
        <v>8</v>
      </c>
      <c r="R47" s="301">
        <f t="shared" si="21"/>
        <v>2524.1699281049996</v>
      </c>
      <c r="S47" s="143">
        <f t="shared" si="21"/>
        <v>7.6852136489394391E-8</v>
      </c>
      <c r="T47" s="150">
        <f t="shared" si="21"/>
        <v>3.8426249807467861E-9</v>
      </c>
      <c r="U47" s="301">
        <f t="shared" si="22"/>
        <v>2540.3302009817658</v>
      </c>
      <c r="V47" s="128">
        <f t="shared" si="23"/>
        <v>-16.160272876766157</v>
      </c>
      <c r="Y47" s="61" t="s">
        <v>5</v>
      </c>
      <c r="Z47" s="317">
        <v>0.99987896635336138</v>
      </c>
      <c r="AA47" s="32">
        <v>24.096222365124902</v>
      </c>
      <c r="AB47" s="64" t="s">
        <v>56</v>
      </c>
      <c r="AD47" s="190" t="s">
        <v>47</v>
      </c>
      <c r="AE47" s="198">
        <f>AE46/AE45*100</f>
        <v>0.54427368654037145</v>
      </c>
    </row>
    <row r="48" spans="2:31" ht="15" thickBot="1" x14ac:dyDescent="0.35">
      <c r="P48" s="328">
        <v>10</v>
      </c>
      <c r="Q48" s="26">
        <v>1</v>
      </c>
      <c r="R48" s="75">
        <f t="shared" si="21"/>
        <v>919.65881101500031</v>
      </c>
      <c r="S48" s="70">
        <f t="shared" si="21"/>
        <v>2.6753705388196266E-8</v>
      </c>
      <c r="T48" s="85">
        <f t="shared" si="21"/>
        <v>6.688430176898428E-10</v>
      </c>
      <c r="U48" s="75">
        <f t="shared" ref="U48:U55" si="24">Z$45*S13</f>
        <v>916.59453523664683</v>
      </c>
      <c r="V48" s="25">
        <f t="shared" si="23"/>
        <v>3.0642757783534762</v>
      </c>
      <c r="Z48" s="240">
        <v>57828.157366647931</v>
      </c>
      <c r="AA48" s="240">
        <v>7</v>
      </c>
      <c r="AD48" s="191" t="s">
        <v>49</v>
      </c>
      <c r="AE48" s="199">
        <f>(ABS(D$10-AE45)/D$10)*100</f>
        <v>8.5757887750003654</v>
      </c>
    </row>
    <row r="49" spans="2:31" ht="15" thickBot="1" x14ac:dyDescent="0.35">
      <c r="C49" s="179" t="s">
        <v>41</v>
      </c>
      <c r="D49" s="257">
        <f>AVERAGE(M55:M70)</f>
        <v>21.65625</v>
      </c>
      <c r="P49" s="329"/>
      <c r="Q49" s="98">
        <v>2</v>
      </c>
      <c r="R49" s="302">
        <f t="shared" si="21"/>
        <v>3052.4845642199994</v>
      </c>
      <c r="S49" s="144">
        <f t="shared" si="21"/>
        <v>8.8519075860848009E-8</v>
      </c>
      <c r="T49" s="151">
        <f t="shared" si="21"/>
        <v>2.212990768526569E-9</v>
      </c>
      <c r="U49" s="302">
        <f t="shared" si="24"/>
        <v>3032.7051905882431</v>
      </c>
      <c r="V49" s="129">
        <f t="shared" si="23"/>
        <v>19.779373631756243</v>
      </c>
      <c r="Z49" s="240">
        <v>33576643.43875467</v>
      </c>
      <c r="AA49" s="240">
        <v>4064.3955258868182</v>
      </c>
    </row>
    <row r="50" spans="2:31" ht="15" thickBot="1" x14ac:dyDescent="0.35">
      <c r="D50" s="266">
        <f>_xlfn.STDEV.S(M55:M70)/SQRT(16)</f>
        <v>3.0233466556119609E-2</v>
      </c>
      <c r="P50" s="329"/>
      <c r="Q50" s="30">
        <v>3</v>
      </c>
      <c r="R50" s="74">
        <f t="shared" si="21"/>
        <v>1247.4095574937501</v>
      </c>
      <c r="S50" s="43">
        <f t="shared" si="21"/>
        <v>3.6279204759831662E-8</v>
      </c>
      <c r="T50" s="73">
        <f t="shared" si="21"/>
        <v>9.0698107399506969E-10</v>
      </c>
      <c r="U50" s="74">
        <f t="shared" si="24"/>
        <v>1242.9426258190169</v>
      </c>
      <c r="V50" s="28">
        <f t="shared" si="23"/>
        <v>4.4669316747331322</v>
      </c>
      <c r="Y50" s="59" t="s">
        <v>3</v>
      </c>
      <c r="Z50" s="316" cm="1">
        <f t="array" ref="Z50:AA54">LINEST(R21:R28,S21:S28,0,1)</f>
        <v>34573612923.505638</v>
      </c>
      <c r="AA50" s="76">
        <v>0</v>
      </c>
      <c r="AB50" s="62" t="s">
        <v>4</v>
      </c>
      <c r="AD50" s="189" t="s">
        <v>50</v>
      </c>
      <c r="AE50" s="315">
        <f>(Z50*PI()*(C$2^4)/(8*C$3))</f>
        <v>1.0273112258968665E-3</v>
      </c>
    </row>
    <row r="51" spans="2:31" ht="17.399999999999999" thickBot="1" x14ac:dyDescent="0.4">
      <c r="C51" s="179" t="s">
        <v>63</v>
      </c>
      <c r="D51" s="180">
        <v>997.94</v>
      </c>
      <c r="P51" s="329"/>
      <c r="Q51" s="98">
        <v>4</v>
      </c>
      <c r="R51" s="302">
        <f t="shared" si="21"/>
        <v>1643.6455345799998</v>
      </c>
      <c r="S51" s="144">
        <f t="shared" si="21"/>
        <v>4.8007681228996631E-8</v>
      </c>
      <c r="T51" s="151">
        <f t="shared" si="21"/>
        <v>1.200194243624899E-9</v>
      </c>
      <c r="U51" s="302">
        <f t="shared" si="24"/>
        <v>1644.7657483473538</v>
      </c>
      <c r="V51" s="129">
        <f t="shared" si="23"/>
        <v>-1.1202137673540165</v>
      </c>
      <c r="Y51" s="60" t="s">
        <v>54</v>
      </c>
      <c r="Z51" s="72">
        <v>73907850.059467703</v>
      </c>
      <c r="AA51" s="77" t="e">
        <v>#N/A</v>
      </c>
      <c r="AB51" s="63" t="s">
        <v>55</v>
      </c>
      <c r="AD51" s="190" t="s">
        <v>51</v>
      </c>
      <c r="AE51" s="201">
        <f>(PI()/8)*SQRT((((C$2^4)/C$3)*Z51)^2 + ((4*Z50*C$2^3)/(8*C$3)*D$2)^2 + (-(Z50*C$2^4)/(C$3^2)*D$3)^2)</f>
        <v>4.2233002982844793E-6</v>
      </c>
    </row>
    <row r="52" spans="2:31" ht="17.399999999999999" thickBot="1" x14ac:dyDescent="0.4">
      <c r="C52" s="310" t="s">
        <v>62</v>
      </c>
      <c r="D52" s="311">
        <v>9.6009999999999997E-4</v>
      </c>
      <c r="P52" s="329"/>
      <c r="Q52" s="30">
        <v>5</v>
      </c>
      <c r="R52" s="74">
        <f t="shared" si="21"/>
        <v>1927.3700613825001</v>
      </c>
      <c r="S52" s="47">
        <f t="shared" si="21"/>
        <v>5.7035304853704442E-8</v>
      </c>
      <c r="T52" s="73">
        <f t="shared" si="21"/>
        <v>1.4258863320843745E-9</v>
      </c>
      <c r="U52" s="74">
        <f t="shared" si="24"/>
        <v>1954.0563815704891</v>
      </c>
      <c r="V52" s="28">
        <f t="shared" si="23"/>
        <v>-26.68632018798894</v>
      </c>
      <c r="Y52" s="61" t="s">
        <v>5</v>
      </c>
      <c r="Z52" s="318">
        <v>0.99996801283466119</v>
      </c>
      <c r="AA52" s="33">
        <v>12.37029996509278</v>
      </c>
      <c r="AB52" s="64" t="s">
        <v>56</v>
      </c>
      <c r="AD52" s="190" t="s">
        <v>47</v>
      </c>
      <c r="AE52" s="202">
        <f>AE51/AE50*100</f>
        <v>0.41110232146031894</v>
      </c>
    </row>
    <row r="53" spans="2:31" ht="15" thickBot="1" x14ac:dyDescent="0.35">
      <c r="P53" s="329"/>
      <c r="Q53" s="98">
        <v>6</v>
      </c>
      <c r="R53" s="302">
        <f t="shared" si="21"/>
        <v>2034.9897094799996</v>
      </c>
      <c r="S53" s="144">
        <f t="shared" si="21"/>
        <v>6.078657832350616E-8</v>
      </c>
      <c r="T53" s="151">
        <f t="shared" si="21"/>
        <v>1.5196689502190052E-9</v>
      </c>
      <c r="U53" s="302">
        <f t="shared" si="24"/>
        <v>2082.5767757628946</v>
      </c>
      <c r="V53" s="129">
        <f t="shared" si="23"/>
        <v>-47.587066282894966</v>
      </c>
      <c r="Z53" s="240">
        <v>218830.77214557782</v>
      </c>
      <c r="AA53" s="240">
        <v>7</v>
      </c>
      <c r="AD53" s="191" t="s">
        <v>49</v>
      </c>
      <c r="AE53" s="203">
        <f>(ABS(D$10-AE50)/D$10)*100</f>
        <v>9.5681768234712496</v>
      </c>
    </row>
    <row r="54" spans="2:31" ht="17.399999999999999" thickBot="1" x14ac:dyDescent="0.4">
      <c r="B54" s="55" t="s">
        <v>0</v>
      </c>
      <c r="C54" s="55" t="s">
        <v>1</v>
      </c>
      <c r="D54" s="58" t="s">
        <v>37</v>
      </c>
      <c r="E54" s="58" t="s">
        <v>42</v>
      </c>
      <c r="F54" s="56" t="s">
        <v>33</v>
      </c>
      <c r="G54" s="56" t="s">
        <v>34</v>
      </c>
      <c r="H54" s="56" t="s">
        <v>35</v>
      </c>
      <c r="I54" s="181" t="s">
        <v>39</v>
      </c>
      <c r="J54" s="56" t="s">
        <v>61</v>
      </c>
      <c r="K54" s="56" t="s">
        <v>24</v>
      </c>
      <c r="L54" s="182" t="s">
        <v>25</v>
      </c>
      <c r="M54" s="56" t="s">
        <v>38</v>
      </c>
      <c r="P54" s="329"/>
      <c r="Q54" s="30">
        <v>7</v>
      </c>
      <c r="R54" s="74">
        <f t="shared" si="21"/>
        <v>2220.8781925575004</v>
      </c>
      <c r="S54" s="47">
        <f t="shared" si="21"/>
        <v>6.4234326824254877E-8</v>
      </c>
      <c r="T54" s="73">
        <f t="shared" si="21"/>
        <v>1.6058634712768923E-9</v>
      </c>
      <c r="U54" s="74">
        <f t="shared" si="24"/>
        <v>2200.6982616954897</v>
      </c>
      <c r="V54" s="28">
        <f t="shared" si="23"/>
        <v>20.179930862010679</v>
      </c>
      <c r="Z54" s="240">
        <v>33486430.371020455</v>
      </c>
      <c r="AA54" s="240">
        <v>1071.170248584621</v>
      </c>
    </row>
    <row r="55" spans="2:31" ht="15" thickBot="1" x14ac:dyDescent="0.35">
      <c r="B55" s="321" t="s">
        <v>8</v>
      </c>
      <c r="C55" s="88">
        <v>1</v>
      </c>
      <c r="D55" s="17">
        <v>5</v>
      </c>
      <c r="E55" s="92">
        <f>D55*10^-6</f>
        <v>4.9999999999999996E-6</v>
      </c>
      <c r="F55" s="11">
        <f>59.44</f>
        <v>59.44</v>
      </c>
      <c r="G55" s="19">
        <v>6</v>
      </c>
      <c r="H55" s="19">
        <v>34.200000000000003</v>
      </c>
      <c r="I55" s="110">
        <f>(H55-G55)*10^-2</f>
        <v>0.28200000000000003</v>
      </c>
      <c r="J55" s="279">
        <f t="shared" ref="J55:J70" si="25">$D$51*$C$4*I55</f>
        <v>2759.7784208820003</v>
      </c>
      <c r="K55" s="42">
        <f>E55/F55</f>
        <v>8.411843876177658E-8</v>
      </c>
      <c r="L55" s="183">
        <f t="shared" ref="L55:L70" si="26">SQRT(((1/F55)*0.00000025)^2 + ((-E55/(F55^2))*0.01)^2)</f>
        <v>4.2059457466073764E-9</v>
      </c>
      <c r="M55" s="21">
        <v>21.7</v>
      </c>
      <c r="P55" s="330"/>
      <c r="Q55" s="99">
        <v>8</v>
      </c>
      <c r="R55" s="303">
        <f t="shared" si="21"/>
        <v>2524.1699281049996</v>
      </c>
      <c r="S55" s="145">
        <f t="shared" si="21"/>
        <v>7.320644216691069E-8</v>
      </c>
      <c r="T55" s="152">
        <f t="shared" si="21"/>
        <v>1.8301689006906097E-9</v>
      </c>
      <c r="U55" s="303">
        <f t="shared" si="24"/>
        <v>2508.0871550567635</v>
      </c>
      <c r="V55" s="130">
        <f t="shared" si="23"/>
        <v>16.082773048236049</v>
      </c>
      <c r="Y55" s="59" t="s">
        <v>3</v>
      </c>
      <c r="Z55" s="208" cm="1">
        <f t="array" ref="Z55:AA59">LINEST(R29:R36,S29:S36,0,1)</f>
        <v>34885346797.027756</v>
      </c>
      <c r="AA55" s="209">
        <v>0</v>
      </c>
      <c r="AB55" s="62" t="s">
        <v>4</v>
      </c>
      <c r="AD55" s="189" t="s">
        <v>50</v>
      </c>
      <c r="AE55" s="314">
        <f>(Z55*PI()*(C$2^4)/(8*C$3))</f>
        <v>1.0365740040875675E-3</v>
      </c>
    </row>
    <row r="56" spans="2:31" ht="15.6" x14ac:dyDescent="0.35">
      <c r="B56" s="322"/>
      <c r="C56" s="89">
        <v>2</v>
      </c>
      <c r="D56" s="27">
        <v>10</v>
      </c>
      <c r="E56" s="107">
        <f t="shared" ref="E56:E70" si="27">D56*10^-6</f>
        <v>9.9999999999999991E-6</v>
      </c>
      <c r="F56" s="12">
        <f>F55+60+8.06</f>
        <v>127.5</v>
      </c>
      <c r="G56" s="29">
        <v>6.1</v>
      </c>
      <c r="H56" s="29">
        <v>34.200000000000003</v>
      </c>
      <c r="I56" s="87">
        <f t="shared" ref="I56:I70" si="28">(H56-G56)*10^-2</f>
        <v>0.28100000000000003</v>
      </c>
      <c r="J56" s="74">
        <f t="shared" si="25"/>
        <v>2749.9919725810005</v>
      </c>
      <c r="K56" s="47">
        <f t="shared" ref="K56:K70" si="29">E56/F56</f>
        <v>7.8431372549019607E-8</v>
      </c>
      <c r="L56" s="184">
        <f t="shared" si="26"/>
        <v>1.9607939630824531E-9</v>
      </c>
      <c r="M56" s="31">
        <v>21.7</v>
      </c>
      <c r="P56" s="331">
        <v>15</v>
      </c>
      <c r="Q56" s="2">
        <v>1</v>
      </c>
      <c r="R56" s="304">
        <f t="shared" si="21"/>
        <v>919.65881101500031</v>
      </c>
      <c r="S56" s="71">
        <f t="shared" si="21"/>
        <v>2.6390330582874433E-8</v>
      </c>
      <c r="T56" s="86">
        <f t="shared" si="21"/>
        <v>4.3983908810828983E-10</v>
      </c>
      <c r="U56" s="304">
        <f t="shared" ref="U56:U63" si="30">Z$50*S21</f>
        <v>912.40907449565361</v>
      </c>
      <c r="V56" s="6">
        <f t="shared" si="23"/>
        <v>7.2497365193466976</v>
      </c>
      <c r="Y56" s="60" t="s">
        <v>54</v>
      </c>
      <c r="Z56" s="156">
        <v>114625450.63338043</v>
      </c>
      <c r="AA56" s="210" t="e">
        <v>#N/A</v>
      </c>
      <c r="AB56" s="63" t="s">
        <v>55</v>
      </c>
      <c r="AD56" s="190" t="s">
        <v>51</v>
      </c>
      <c r="AE56" s="205">
        <f>(PI()/8)*SQRT((((C$2^4)/C$3)*Z56)^2 + ((4*Z55*C$2^3)/(8*C$3)*D$2)^2 + (-(Z55*C$2^4)/(C$3^2)*D$3)^2)</f>
        <v>4.9849508246915635E-6</v>
      </c>
    </row>
    <row r="57" spans="2:31" ht="17.399999999999999" thickBot="1" x14ac:dyDescent="0.4">
      <c r="B57" s="322"/>
      <c r="C57" s="90">
        <v>3</v>
      </c>
      <c r="D57" s="3">
        <v>15</v>
      </c>
      <c r="E57" s="108">
        <f t="shared" si="27"/>
        <v>1.4999999999999999E-5</v>
      </c>
      <c r="F57" s="4">
        <f>F56+60+5.73</f>
        <v>193.23</v>
      </c>
      <c r="G57" s="9">
        <v>6.1</v>
      </c>
      <c r="H57" s="9">
        <v>34.200000000000003</v>
      </c>
      <c r="I57" s="111">
        <f t="shared" si="28"/>
        <v>0.28100000000000003</v>
      </c>
      <c r="J57" s="280">
        <f t="shared" si="25"/>
        <v>2749.9919725810005</v>
      </c>
      <c r="K57" s="45">
        <f t="shared" si="29"/>
        <v>7.7627697562490292E-8</v>
      </c>
      <c r="L57" s="185">
        <f t="shared" si="26"/>
        <v>1.2938011965480551E-9</v>
      </c>
      <c r="M57" s="7">
        <v>21.6</v>
      </c>
      <c r="P57" s="332"/>
      <c r="Q57" s="100">
        <v>2</v>
      </c>
      <c r="R57" s="305">
        <f t="shared" si="21"/>
        <v>3052.4845642199994</v>
      </c>
      <c r="S57" s="146">
        <f t="shared" si="21"/>
        <v>8.8668203582195409E-8</v>
      </c>
      <c r="T57" s="153">
        <f t="shared" si="21"/>
        <v>1.4778126878590788E-9</v>
      </c>
      <c r="U57" s="305">
        <f t="shared" si="30"/>
        <v>3065.5801492734199</v>
      </c>
      <c r="V57" s="131">
        <f t="shared" si="23"/>
        <v>-13.095585053420564</v>
      </c>
      <c r="Y57" s="61" t="s">
        <v>5</v>
      </c>
      <c r="Z57" s="298">
        <v>0.99992443142331078</v>
      </c>
      <c r="AA57" s="211">
        <v>19.056418868280872</v>
      </c>
      <c r="AB57" s="64" t="s">
        <v>56</v>
      </c>
      <c r="AD57" s="190" t="s">
        <v>47</v>
      </c>
      <c r="AE57" s="206">
        <f>AE56/AE55*100</f>
        <v>0.48090640948298807</v>
      </c>
    </row>
    <row r="58" spans="2:31" ht="15" thickBot="1" x14ac:dyDescent="0.35">
      <c r="B58" s="323"/>
      <c r="C58" s="91">
        <v>4</v>
      </c>
      <c r="D58" s="34">
        <v>20</v>
      </c>
      <c r="E58" s="109">
        <f t="shared" si="27"/>
        <v>1.9999999999999998E-5</v>
      </c>
      <c r="F58" s="13">
        <f>F57+60+4.61</f>
        <v>257.83999999999997</v>
      </c>
      <c r="G58" s="35">
        <v>6.1</v>
      </c>
      <c r="H58" s="35">
        <v>34.1</v>
      </c>
      <c r="I58" s="112">
        <f t="shared" si="28"/>
        <v>0.28000000000000003</v>
      </c>
      <c r="J58" s="281">
        <f t="shared" si="25"/>
        <v>2740.2055242800002</v>
      </c>
      <c r="K58" s="48">
        <f t="shared" si="29"/>
        <v>7.7567483710828422E-8</v>
      </c>
      <c r="L58" s="186">
        <f t="shared" si="26"/>
        <v>9.695982133881859E-10</v>
      </c>
      <c r="M58" s="36">
        <v>21.7</v>
      </c>
      <c r="P58" s="332"/>
      <c r="Q58" s="5">
        <v>3</v>
      </c>
      <c r="R58" s="280">
        <f t="shared" si="21"/>
        <v>1242.5177553075002</v>
      </c>
      <c r="S58" s="44">
        <f t="shared" si="21"/>
        <v>3.6279204759831662E-8</v>
      </c>
      <c r="T58" s="72">
        <f t="shared" si="21"/>
        <v>6.0465404933004649E-10</v>
      </c>
      <c r="U58" s="280">
        <f t="shared" si="30"/>
        <v>1254.3031825390233</v>
      </c>
      <c r="V58" s="10">
        <f t="shared" si="23"/>
        <v>-11.785427231523045</v>
      </c>
      <c r="Z58" s="240">
        <v>92624.094916510294</v>
      </c>
      <c r="AA58" s="240">
        <v>7</v>
      </c>
      <c r="AD58" s="191" t="s">
        <v>49</v>
      </c>
      <c r="AE58" s="207">
        <f>(ABS(D$10-AE55)/D$10)*100</f>
        <v>10.556101118554549</v>
      </c>
    </row>
    <row r="59" spans="2:31" x14ac:dyDescent="0.3">
      <c r="B59" s="321" t="s">
        <v>9</v>
      </c>
      <c r="C59" s="88">
        <v>1</v>
      </c>
      <c r="D59" s="17">
        <v>5</v>
      </c>
      <c r="E59" s="92">
        <f t="shared" si="27"/>
        <v>4.9999999999999996E-6</v>
      </c>
      <c r="F59" s="11">
        <f>58.58</f>
        <v>58.58</v>
      </c>
      <c r="G59" s="19">
        <v>6.2</v>
      </c>
      <c r="H59" s="19">
        <v>34.1</v>
      </c>
      <c r="I59" s="110">
        <f t="shared" si="28"/>
        <v>0.27900000000000003</v>
      </c>
      <c r="J59" s="279">
        <f t="shared" si="25"/>
        <v>2730.4190759790004</v>
      </c>
      <c r="K59" s="42">
        <f t="shared" si="29"/>
        <v>8.5353362922499136E-8</v>
      </c>
      <c r="L59" s="183">
        <f t="shared" si="26"/>
        <v>4.267693018693522E-9</v>
      </c>
      <c r="M59" s="21">
        <v>21.7</v>
      </c>
      <c r="P59" s="332"/>
      <c r="Q59" s="100">
        <v>4</v>
      </c>
      <c r="R59" s="305">
        <f t="shared" ref="R59:T71" si="31">R24</f>
        <v>1638.7537323937502</v>
      </c>
      <c r="S59" s="137">
        <f t="shared" si="31"/>
        <v>4.7400853215357874E-8</v>
      </c>
      <c r="T59" s="153">
        <f t="shared" si="31"/>
        <v>7.9001564028368856E-10</v>
      </c>
      <c r="U59" s="305">
        <f t="shared" si="30"/>
        <v>1638.8187513116907</v>
      </c>
      <c r="V59" s="131">
        <f t="shared" si="23"/>
        <v>-6.5018917940506071E-2</v>
      </c>
      <c r="Z59" s="240">
        <v>33636171.466777638</v>
      </c>
      <c r="AA59" s="240">
        <v>2542.0297005835982</v>
      </c>
    </row>
    <row r="60" spans="2:31" x14ac:dyDescent="0.3">
      <c r="B60" s="322"/>
      <c r="C60" s="89">
        <v>2</v>
      </c>
      <c r="D60" s="27">
        <v>10</v>
      </c>
      <c r="E60" s="107">
        <f t="shared" si="27"/>
        <v>9.9999999999999991E-6</v>
      </c>
      <c r="F60" s="12">
        <f>F59+60+7.06</f>
        <v>125.64</v>
      </c>
      <c r="G60" s="29">
        <v>6.1</v>
      </c>
      <c r="H60" s="29">
        <v>34.1</v>
      </c>
      <c r="I60" s="87">
        <f t="shared" si="28"/>
        <v>0.28000000000000003</v>
      </c>
      <c r="J60" s="74">
        <f t="shared" si="25"/>
        <v>2740.2055242800002</v>
      </c>
      <c r="K60" s="47">
        <f t="shared" si="29"/>
        <v>7.9592486469277288E-8</v>
      </c>
      <c r="L60" s="184">
        <f t="shared" si="26"/>
        <v>1.9898222460169528E-9</v>
      </c>
      <c r="M60" s="31">
        <v>21.8</v>
      </c>
      <c r="P60" s="332"/>
      <c r="Q60" s="5">
        <v>5</v>
      </c>
      <c r="R60" s="280">
        <f t="shared" si="31"/>
        <v>1927.3700613825001</v>
      </c>
      <c r="S60" s="44">
        <f t="shared" si="31"/>
        <v>5.5980593394289975E-8</v>
      </c>
      <c r="T60" s="72">
        <f t="shared" si="31"/>
        <v>9.3301222901504655E-10</v>
      </c>
      <c r="U60" s="280">
        <f t="shared" si="30"/>
        <v>1935.4513672423382</v>
      </c>
      <c r="V60" s="10">
        <f t="shared" si="23"/>
        <v>-8.0813058598380394</v>
      </c>
    </row>
    <row r="61" spans="2:31" x14ac:dyDescent="0.3">
      <c r="B61" s="322"/>
      <c r="C61" s="90">
        <v>3</v>
      </c>
      <c r="D61" s="3">
        <v>15</v>
      </c>
      <c r="E61" s="108">
        <f t="shared" si="27"/>
        <v>1.4999999999999999E-5</v>
      </c>
      <c r="F61" s="4">
        <f>F60+60+4.45</f>
        <v>190.08999999999997</v>
      </c>
      <c r="G61" s="9">
        <v>6.1</v>
      </c>
      <c r="H61" s="9">
        <v>34.1</v>
      </c>
      <c r="I61" s="111">
        <f t="shared" si="28"/>
        <v>0.28000000000000003</v>
      </c>
      <c r="J61" s="280">
        <f t="shared" si="25"/>
        <v>2740.2055242800002</v>
      </c>
      <c r="K61" s="45">
        <f t="shared" si="29"/>
        <v>7.8909990004734597E-8</v>
      </c>
      <c r="L61" s="185">
        <f t="shared" si="26"/>
        <v>1.3151730514714224E-9</v>
      </c>
      <c r="M61" s="7">
        <v>21.8</v>
      </c>
      <c r="P61" s="332"/>
      <c r="Q61" s="100">
        <v>6</v>
      </c>
      <c r="R61" s="305">
        <f t="shared" si="31"/>
        <v>2034.9897094799996</v>
      </c>
      <c r="S61" s="146">
        <f t="shared" si="31"/>
        <v>5.9078377313903097E-8</v>
      </c>
      <c r="T61" s="153">
        <f t="shared" si="31"/>
        <v>9.8464237120897455E-10</v>
      </c>
      <c r="U61" s="305">
        <f t="shared" si="30"/>
        <v>2042.5529493997024</v>
      </c>
      <c r="V61" s="131">
        <f t="shared" si="23"/>
        <v>-7.5632399197027098</v>
      </c>
    </row>
    <row r="62" spans="2:31" ht="15" thickBot="1" x14ac:dyDescent="0.35">
      <c r="B62" s="323"/>
      <c r="C62" s="91">
        <v>4</v>
      </c>
      <c r="D62" s="34">
        <v>20</v>
      </c>
      <c r="E62" s="109">
        <f t="shared" si="27"/>
        <v>1.9999999999999998E-5</v>
      </c>
      <c r="F62" s="13">
        <f>F61+60+5.28</f>
        <v>255.36999999999998</v>
      </c>
      <c r="G62" s="35">
        <v>6.1</v>
      </c>
      <c r="H62" s="35">
        <v>34.1</v>
      </c>
      <c r="I62" s="112">
        <f t="shared" si="28"/>
        <v>0.28000000000000003</v>
      </c>
      <c r="J62" s="281">
        <f t="shared" si="25"/>
        <v>2740.2055242800002</v>
      </c>
      <c r="K62" s="48">
        <f t="shared" si="29"/>
        <v>7.8317735051102323E-8</v>
      </c>
      <c r="L62" s="186">
        <f t="shared" si="26"/>
        <v>9.789764918765518E-10</v>
      </c>
      <c r="M62" s="36">
        <v>21.7</v>
      </c>
      <c r="P62" s="332"/>
      <c r="Q62" s="5">
        <v>7</v>
      </c>
      <c r="R62" s="280">
        <f t="shared" si="31"/>
        <v>2206.2027859987497</v>
      </c>
      <c r="S62" s="45">
        <f t="shared" si="31"/>
        <v>6.3441042124851967E-8</v>
      </c>
      <c r="T62" s="72">
        <f t="shared" si="31"/>
        <v>1.0573541065465627E-9</v>
      </c>
      <c r="U62" s="280">
        <f t="shared" si="30"/>
        <v>2193.3860338884474</v>
      </c>
      <c r="V62" s="10">
        <f t="shared" si="23"/>
        <v>12.816752110302332</v>
      </c>
    </row>
    <row r="63" spans="2:31" ht="15" thickBot="1" x14ac:dyDescent="0.35">
      <c r="B63" s="321" t="s">
        <v>10</v>
      </c>
      <c r="C63" s="88">
        <v>1</v>
      </c>
      <c r="D63" s="17">
        <v>5</v>
      </c>
      <c r="E63" s="92">
        <f t="shared" si="27"/>
        <v>4.9999999999999996E-6</v>
      </c>
      <c r="F63" s="11">
        <f>61.06</f>
        <v>61.06</v>
      </c>
      <c r="G63" s="19">
        <v>6.2</v>
      </c>
      <c r="H63" s="19">
        <v>34.1</v>
      </c>
      <c r="I63" s="110">
        <f t="shared" si="28"/>
        <v>0.27900000000000003</v>
      </c>
      <c r="J63" s="279">
        <f t="shared" si="25"/>
        <v>2730.4190759790004</v>
      </c>
      <c r="K63" s="42">
        <f t="shared" si="29"/>
        <v>8.1886668850311161E-8</v>
      </c>
      <c r="L63" s="183">
        <f t="shared" si="26"/>
        <v>4.0943554058583372E-9</v>
      </c>
      <c r="M63" s="21">
        <v>21.8</v>
      </c>
      <c r="P63" s="333"/>
      <c r="Q63" s="101">
        <v>8</v>
      </c>
      <c r="R63" s="306">
        <f t="shared" si="31"/>
        <v>2524.1699281049996</v>
      </c>
      <c r="S63" s="147">
        <f t="shared" si="31"/>
        <v>7.2414791928164529E-8</v>
      </c>
      <c r="T63" s="154">
        <f t="shared" si="31"/>
        <v>1.2069182619398385E-9</v>
      </c>
      <c r="U63" s="306">
        <f t="shared" si="30"/>
        <v>2503.6409860605609</v>
      </c>
      <c r="V63" s="132">
        <f t="shared" si="23"/>
        <v>20.528942044438736</v>
      </c>
    </row>
    <row r="64" spans="2:31" x14ac:dyDescent="0.3">
      <c r="B64" s="322"/>
      <c r="C64" s="89">
        <v>2</v>
      </c>
      <c r="D64" s="27">
        <v>10</v>
      </c>
      <c r="E64" s="107">
        <f t="shared" si="27"/>
        <v>9.9999999999999991E-6</v>
      </c>
      <c r="F64" s="12">
        <f>F63+64.47</f>
        <v>125.53</v>
      </c>
      <c r="G64" s="29">
        <v>6.2</v>
      </c>
      <c r="H64" s="29">
        <v>34.1</v>
      </c>
      <c r="I64" s="87">
        <f t="shared" si="28"/>
        <v>0.27900000000000003</v>
      </c>
      <c r="J64" s="74">
        <f t="shared" si="25"/>
        <v>2730.4190759790004</v>
      </c>
      <c r="K64" s="47">
        <f t="shared" si="29"/>
        <v>7.9662232135744438E-8</v>
      </c>
      <c r="L64" s="184">
        <f t="shared" si="26"/>
        <v>1.9915659142119331E-9</v>
      </c>
      <c r="M64" s="31">
        <v>21.7</v>
      </c>
      <c r="P64" s="334">
        <v>20</v>
      </c>
      <c r="Q64" s="102">
        <v>1</v>
      </c>
      <c r="R64" s="307">
        <f t="shared" si="31"/>
        <v>919.65881101500031</v>
      </c>
      <c r="S64" s="138">
        <f t="shared" si="31"/>
        <v>2.6409264369940975E-8</v>
      </c>
      <c r="T64" s="155">
        <f t="shared" si="31"/>
        <v>3.3011598881542563E-10</v>
      </c>
      <c r="U64" s="307">
        <f t="shared" ref="U64:U71" si="32">Z$55*S29</f>
        <v>921.29634619977958</v>
      </c>
      <c r="V64" s="133">
        <f t="shared" si="23"/>
        <v>-1.6375351847792672</v>
      </c>
    </row>
    <row r="65" spans="2:22" x14ac:dyDescent="0.3">
      <c r="B65" s="322"/>
      <c r="C65" s="90">
        <v>3</v>
      </c>
      <c r="D65" s="3">
        <v>15</v>
      </c>
      <c r="E65" s="108">
        <f t="shared" si="27"/>
        <v>1.4999999999999999E-5</v>
      </c>
      <c r="F65" s="4">
        <f>F64+63.34</f>
        <v>188.87</v>
      </c>
      <c r="G65" s="9">
        <v>6.2</v>
      </c>
      <c r="H65" s="9">
        <v>34.1</v>
      </c>
      <c r="I65" s="111">
        <f t="shared" si="28"/>
        <v>0.27900000000000003</v>
      </c>
      <c r="J65" s="280">
        <f t="shared" si="25"/>
        <v>2730.4190759790004</v>
      </c>
      <c r="K65" s="45">
        <f t="shared" si="29"/>
        <v>7.9419706676550002E-8</v>
      </c>
      <c r="L65" s="185">
        <f t="shared" si="26"/>
        <v>1.3236684571121882E-9</v>
      </c>
      <c r="M65" s="7">
        <v>21.7</v>
      </c>
      <c r="P65" s="335"/>
      <c r="Q65" s="103">
        <v>2</v>
      </c>
      <c r="R65" s="210">
        <f t="shared" si="31"/>
        <v>3052.4845642199994</v>
      </c>
      <c r="S65" s="148">
        <f t="shared" si="31"/>
        <v>8.6621334834769789E-8</v>
      </c>
      <c r="T65" s="156">
        <f t="shared" si="31"/>
        <v>1.0827731848353145E-9</v>
      </c>
      <c r="U65" s="210">
        <f t="shared" si="32"/>
        <v>3021.8153057324048</v>
      </c>
      <c r="V65" s="134">
        <f t="shared" si="23"/>
        <v>30.669258487594561</v>
      </c>
    </row>
    <row r="66" spans="2:22" ht="15" thickBot="1" x14ac:dyDescent="0.35">
      <c r="B66" s="323"/>
      <c r="C66" s="91">
        <v>4</v>
      </c>
      <c r="D66" s="34">
        <v>20</v>
      </c>
      <c r="E66" s="109">
        <f t="shared" si="27"/>
        <v>1.9999999999999998E-5</v>
      </c>
      <c r="F66" s="13">
        <f>F65+67.17</f>
        <v>256.04000000000002</v>
      </c>
      <c r="G66" s="35">
        <v>6.2</v>
      </c>
      <c r="H66" s="35">
        <v>34.1</v>
      </c>
      <c r="I66" s="112">
        <f t="shared" si="28"/>
        <v>0.27900000000000003</v>
      </c>
      <c r="J66" s="281">
        <f t="shared" si="25"/>
        <v>2730.4190759790004</v>
      </c>
      <c r="K66" s="48">
        <f t="shared" si="29"/>
        <v>7.8112794875800648E-8</v>
      </c>
      <c r="L66" s="186">
        <f t="shared" si="26"/>
        <v>9.7641470207298181E-10</v>
      </c>
      <c r="M66" s="36">
        <v>21.7</v>
      </c>
      <c r="P66" s="335"/>
      <c r="Q66" s="104">
        <v>3</v>
      </c>
      <c r="R66" s="308">
        <f t="shared" si="31"/>
        <v>1242.5177553075002</v>
      </c>
      <c r="S66" s="140">
        <f t="shared" si="31"/>
        <v>3.6186650744540332E-8</v>
      </c>
      <c r="T66" s="157">
        <f t="shared" si="31"/>
        <v>4.5233360816117753E-10</v>
      </c>
      <c r="U66" s="308">
        <f t="shared" si="32"/>
        <v>1262.383860646212</v>
      </c>
      <c r="V66" s="135">
        <f t="shared" si="23"/>
        <v>-19.866105338711805</v>
      </c>
    </row>
    <row r="67" spans="2:22" x14ac:dyDescent="0.3">
      <c r="B67" s="321" t="s">
        <v>11</v>
      </c>
      <c r="C67" s="88">
        <v>1</v>
      </c>
      <c r="D67" s="17">
        <v>5</v>
      </c>
      <c r="E67" s="92">
        <f t="shared" si="27"/>
        <v>4.9999999999999996E-6</v>
      </c>
      <c r="F67" s="11">
        <f>60.83</f>
        <v>60.83</v>
      </c>
      <c r="G67" s="19">
        <v>6.2</v>
      </c>
      <c r="H67" s="19">
        <v>34.1</v>
      </c>
      <c r="I67" s="110">
        <f t="shared" si="28"/>
        <v>0.27900000000000003</v>
      </c>
      <c r="J67" s="279">
        <f t="shared" si="25"/>
        <v>2730.4190759790004</v>
      </c>
      <c r="K67" s="42">
        <f t="shared" si="29"/>
        <v>8.2196284727930296E-8</v>
      </c>
      <c r="L67" s="183">
        <f t="shared" si="26"/>
        <v>4.1098364498141193E-9</v>
      </c>
      <c r="M67" s="21">
        <v>21.5</v>
      </c>
      <c r="P67" s="335"/>
      <c r="Q67" s="103">
        <v>4</v>
      </c>
      <c r="R67" s="210">
        <f t="shared" si="31"/>
        <v>1672.9963476975001</v>
      </c>
      <c r="S67" s="139">
        <f t="shared" si="31"/>
        <v>4.7294740824820273E-8</v>
      </c>
      <c r="T67" s="156">
        <f t="shared" si="31"/>
        <v>5.9118531819452719E-10</v>
      </c>
      <c r="U67" s="210">
        <f t="shared" si="32"/>
        <v>1649.8934353494017</v>
      </c>
      <c r="V67" s="134">
        <f t="shared" si="23"/>
        <v>23.102912348098471</v>
      </c>
    </row>
    <row r="68" spans="2:22" x14ac:dyDescent="0.3">
      <c r="B68" s="322"/>
      <c r="C68" s="89">
        <v>2</v>
      </c>
      <c r="D68" s="27">
        <v>10</v>
      </c>
      <c r="E68" s="107">
        <f t="shared" si="27"/>
        <v>9.9999999999999991E-6</v>
      </c>
      <c r="F68" s="12">
        <f>F67+64.2</f>
        <v>125.03</v>
      </c>
      <c r="G68" s="29">
        <v>6.2</v>
      </c>
      <c r="H68" s="29">
        <v>34.1</v>
      </c>
      <c r="I68" s="87">
        <f t="shared" si="28"/>
        <v>0.27900000000000003</v>
      </c>
      <c r="J68" s="74">
        <f t="shared" si="25"/>
        <v>2730.4190759790004</v>
      </c>
      <c r="K68" s="47">
        <f t="shared" si="29"/>
        <v>7.9980804606894339E-8</v>
      </c>
      <c r="L68" s="184">
        <f t="shared" si="26"/>
        <v>1.9995303477769129E-9</v>
      </c>
      <c r="M68" s="31">
        <v>21.5</v>
      </c>
      <c r="P68" s="335"/>
      <c r="Q68" s="104">
        <v>5</v>
      </c>
      <c r="R68" s="308">
        <f t="shared" si="31"/>
        <v>1937.153665755</v>
      </c>
      <c r="S68" s="140">
        <f t="shared" si="31"/>
        <v>5.6052240688321514E-8</v>
      </c>
      <c r="T68" s="157">
        <f t="shared" si="31"/>
        <v>7.0065476968119591E-10</v>
      </c>
      <c r="U68" s="308">
        <f t="shared" si="32"/>
        <v>1955.4018551625657</v>
      </c>
      <c r="V68" s="135">
        <f t="shared" si="23"/>
        <v>-18.248189407565633</v>
      </c>
    </row>
    <row r="69" spans="2:22" x14ac:dyDescent="0.3">
      <c r="B69" s="322"/>
      <c r="C69" s="90">
        <v>3</v>
      </c>
      <c r="D69" s="3">
        <v>15</v>
      </c>
      <c r="E69" s="108">
        <f t="shared" si="27"/>
        <v>1.4999999999999999E-5</v>
      </c>
      <c r="F69" s="4">
        <f>F68+64.18</f>
        <v>189.21</v>
      </c>
      <c r="G69" s="9">
        <v>6.2</v>
      </c>
      <c r="H69" s="9">
        <v>34.1</v>
      </c>
      <c r="I69" s="111">
        <f t="shared" si="28"/>
        <v>0.27900000000000003</v>
      </c>
      <c r="J69" s="280">
        <f t="shared" si="25"/>
        <v>2730.4190759790004</v>
      </c>
      <c r="K69" s="45">
        <f t="shared" si="29"/>
        <v>7.9276993816394472E-8</v>
      </c>
      <c r="L69" s="185">
        <f t="shared" si="26"/>
        <v>1.3212898735013465E-9</v>
      </c>
      <c r="M69" s="7">
        <v>21.5</v>
      </c>
      <c r="P69" s="335"/>
      <c r="Q69" s="103">
        <v>6</v>
      </c>
      <c r="R69" s="210">
        <f t="shared" si="31"/>
        <v>2034.9897094799996</v>
      </c>
      <c r="S69" s="139">
        <f t="shared" si="31"/>
        <v>5.8730251952780869E-8</v>
      </c>
      <c r="T69" s="156">
        <f t="shared" si="31"/>
        <v>7.341301751557735E-10</v>
      </c>
      <c r="U69" s="210">
        <f t="shared" si="32"/>
        <v>2048.8252068495772</v>
      </c>
      <c r="V69" s="134">
        <f t="shared" si="23"/>
        <v>-13.835497369577524</v>
      </c>
    </row>
    <row r="70" spans="2:22" ht="15" thickBot="1" x14ac:dyDescent="0.35">
      <c r="B70" s="323"/>
      <c r="C70" s="91">
        <v>4</v>
      </c>
      <c r="D70" s="34">
        <v>20</v>
      </c>
      <c r="E70" s="109">
        <f t="shared" si="27"/>
        <v>1.9999999999999998E-5</v>
      </c>
      <c r="F70" s="13">
        <f>F69+65.33</f>
        <v>254.54000000000002</v>
      </c>
      <c r="G70" s="35">
        <v>6.1</v>
      </c>
      <c r="H70" s="35">
        <v>34.1</v>
      </c>
      <c r="I70" s="112">
        <f t="shared" si="28"/>
        <v>0.28000000000000003</v>
      </c>
      <c r="J70" s="281">
        <f t="shared" si="25"/>
        <v>2740.2055242800002</v>
      </c>
      <c r="K70" s="48">
        <f t="shared" si="29"/>
        <v>7.8573112280977433E-8</v>
      </c>
      <c r="L70" s="186">
        <f t="shared" si="26"/>
        <v>9.8216875439516581E-10</v>
      </c>
      <c r="M70" s="36">
        <v>21.4</v>
      </c>
      <c r="P70" s="335"/>
      <c r="Q70" s="104">
        <v>7</v>
      </c>
      <c r="R70" s="308">
        <f t="shared" si="31"/>
        <v>2206.2027859987497</v>
      </c>
      <c r="S70" s="140">
        <f t="shared" si="31"/>
        <v>6.350617597561362E-8</v>
      </c>
      <c r="T70" s="157">
        <f t="shared" si="31"/>
        <v>7.9382976091695349E-10</v>
      </c>
      <c r="U70" s="308">
        <f t="shared" si="32"/>
        <v>2215.4349726623536</v>
      </c>
      <c r="V70" s="135">
        <f t="shared" si="23"/>
        <v>-9.2321866636038976</v>
      </c>
    </row>
    <row r="71" spans="2:22" ht="15" thickBot="1" x14ac:dyDescent="0.35">
      <c r="P71" s="336"/>
      <c r="Q71" s="105">
        <v>8</v>
      </c>
      <c r="R71" s="309">
        <f t="shared" si="31"/>
        <v>2524.1699281049996</v>
      </c>
      <c r="S71" s="141">
        <f t="shared" si="31"/>
        <v>7.2579474524604433E-8</v>
      </c>
      <c r="T71" s="158">
        <f t="shared" si="31"/>
        <v>9.072472548766312E-10</v>
      </c>
      <c r="U71" s="309">
        <f t="shared" si="32"/>
        <v>2531.9601391368669</v>
      </c>
      <c r="V71" s="136">
        <f t="shared" si="23"/>
        <v>-7.7902110318673294</v>
      </c>
    </row>
    <row r="72" spans="2:22" ht="15" thickBot="1" x14ac:dyDescent="0.35"/>
    <row r="73" spans="2:22" x14ac:dyDescent="0.3">
      <c r="C73" s="93" t="s">
        <v>26</v>
      </c>
      <c r="D73" s="249">
        <f>AVERAGE(J55:J70)</f>
        <v>2737.7589122047502</v>
      </c>
    </row>
    <row r="74" spans="2:22" ht="15" thickBot="1" x14ac:dyDescent="0.35">
      <c r="C74" s="94" t="s">
        <v>28</v>
      </c>
      <c r="D74" s="248">
        <f>_xlfn.STDEV.S(J55:J70)/SQRT(16)</f>
        <v>2.2776718875183128</v>
      </c>
    </row>
    <row r="75" spans="2:22" ht="15" thickBot="1" x14ac:dyDescent="0.35"/>
    <row r="76" spans="2:22" ht="16.2" x14ac:dyDescent="0.3">
      <c r="C76" s="93" t="s">
        <v>27</v>
      </c>
      <c r="D76" s="312">
        <f>AVERAGE(K55:K70)</f>
        <v>7.9939197812645685E-8</v>
      </c>
    </row>
    <row r="77" spans="2:22" ht="16.8" thickBot="1" x14ac:dyDescent="0.35">
      <c r="C77" s="94" t="s">
        <v>29</v>
      </c>
      <c r="D77" s="250">
        <f>_xlfn.STDEV.S(K55:K70)/SQRT(16)</f>
        <v>5.7265938230092705E-10</v>
      </c>
    </row>
    <row r="78" spans="2:22" ht="15" thickBot="1" x14ac:dyDescent="0.35"/>
    <row r="79" spans="2:22" x14ac:dyDescent="0.3">
      <c r="C79" s="189" t="s">
        <v>50</v>
      </c>
      <c r="D79" s="254">
        <f>D73/D76*PI()*C2^4/(8*C3)</f>
        <v>1.017636519669525E-3</v>
      </c>
    </row>
    <row r="80" spans="2:22" x14ac:dyDescent="0.3">
      <c r="C80" s="190" t="s">
        <v>51</v>
      </c>
      <c r="D80" s="251">
        <f>PI()/8*SQRT((C2^4/(D76*C3)*D74)^2+(4*D73*C2^3/(C3*D76)*D2)^2+(D73*C2^4/(C3^2*D76)*D3)^2+(D73*C2^4/(C3*D76^2)*D77)^2)</f>
        <v>2.6771141728658274E-5</v>
      </c>
    </row>
    <row r="81" spans="3:4" x14ac:dyDescent="0.3">
      <c r="C81" s="190" t="s">
        <v>47</v>
      </c>
      <c r="D81" s="252">
        <f>D80/D79*100</f>
        <v>2.6307174724185542</v>
      </c>
    </row>
    <row r="82" spans="3:4" ht="15" thickBot="1" x14ac:dyDescent="0.35">
      <c r="C82" s="191" t="s">
        <v>49</v>
      </c>
      <c r="D82" s="253">
        <f>ABS(D79-D52)/D52*100</f>
        <v>5.9927632194068368</v>
      </c>
    </row>
  </sheetData>
  <mergeCells count="23">
    <mergeCell ref="P64:P71"/>
    <mergeCell ref="B63:B66"/>
    <mergeCell ref="B67:B70"/>
    <mergeCell ref="B14:B17"/>
    <mergeCell ref="B38:B41"/>
    <mergeCell ref="B42:B45"/>
    <mergeCell ref="B18:B21"/>
    <mergeCell ref="B22:B25"/>
    <mergeCell ref="B26:B29"/>
    <mergeCell ref="B30:B33"/>
    <mergeCell ref="B34:B37"/>
    <mergeCell ref="AI2:AN2"/>
    <mergeCell ref="P2:S2"/>
    <mergeCell ref="B55:B58"/>
    <mergeCell ref="B59:B62"/>
    <mergeCell ref="C6:E6"/>
    <mergeCell ref="P5:P12"/>
    <mergeCell ref="P13:P20"/>
    <mergeCell ref="P21:P28"/>
    <mergeCell ref="P29:P36"/>
    <mergeCell ref="P40:P47"/>
    <mergeCell ref="P48:P55"/>
    <mergeCell ref="P56:P6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ventura</dc:creator>
  <cp:lastModifiedBy>Salomé Gomes</cp:lastModifiedBy>
  <dcterms:created xsi:type="dcterms:W3CDTF">2023-04-20T13:09:48Z</dcterms:created>
  <dcterms:modified xsi:type="dcterms:W3CDTF">2023-04-26T21:31:16Z</dcterms:modified>
</cp:coreProperties>
</file>