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2.º ano\2.º semestre\Laboratórios de Física II\Lab. 0.16\Excels\"/>
    </mc:Choice>
  </mc:AlternateContent>
  <xr:revisionPtr revIDLastSave="0" documentId="13_ncr:1_{324D817C-3E53-4798-9B31-C5A335C4C9DC}" xr6:coauthVersionLast="47" xr6:coauthVersionMax="47" xr10:uidLastSave="{00000000-0000-0000-0000-000000000000}"/>
  <bookViews>
    <workbookView xWindow="-108" yWindow="-108" windowWidth="23256" windowHeight="12456" firstSheet="1" activeTab="3" xr2:uid="{E2BCDB5C-CE78-4F59-B390-E60277ACD477}"/>
  </bookViews>
  <sheets>
    <sheet name="Medidas dos tubos" sheetId="2" r:id="rId1"/>
    <sheet name="1 extremo fechado - f(n)" sheetId="3" r:id="rId2"/>
    <sheet name="1 extremo fechado - l(f^-1)" sheetId="4" r:id="rId3"/>
    <sheet name="2 extremos fechad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" i="5" l="1"/>
  <c r="C90" i="5"/>
  <c r="C89" i="5"/>
  <c r="AH9" i="5" a="1"/>
  <c r="AH9" i="5" s="1"/>
  <c r="D57" i="5"/>
  <c r="B37" i="5"/>
  <c r="D37" i="5"/>
  <c r="B38" i="5"/>
  <c r="B39" i="5" s="1"/>
  <c r="B40" i="5" s="1"/>
  <c r="B41" i="5" s="1"/>
  <c r="B42" i="5" s="1"/>
  <c r="B43" i="5" s="1"/>
  <c r="B44" i="5" s="1"/>
  <c r="B45" i="5" s="1"/>
  <c r="D38" i="5"/>
  <c r="D39" i="5"/>
  <c r="D40" i="5"/>
  <c r="D41" i="5"/>
  <c r="D42" i="5"/>
  <c r="D43" i="5"/>
  <c r="D44" i="5"/>
  <c r="D45" i="5"/>
  <c r="D8" i="5"/>
  <c r="D9" i="5"/>
  <c r="N94" i="3"/>
  <c r="N113" i="3"/>
  <c r="D5" i="3"/>
  <c r="F76" i="3"/>
  <c r="F77" i="3"/>
  <c r="C77" i="3"/>
  <c r="C76" i="3"/>
  <c r="C79" i="3" s="1"/>
  <c r="C58" i="3"/>
  <c r="C57" i="3"/>
  <c r="C91" i="5" l="1"/>
  <c r="C78" i="3"/>
  <c r="F58" i="3"/>
  <c r="C59" i="3"/>
  <c r="F57" i="3"/>
  <c r="F3" i="3"/>
  <c r="W51" i="5" a="1"/>
  <c r="W51" i="5" s="1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34" i="5"/>
  <c r="R33" i="5"/>
  <c r="R32" i="5"/>
  <c r="R31" i="5"/>
  <c r="R30" i="5"/>
  <c r="R29" i="5"/>
  <c r="R28" i="5"/>
  <c r="R27" i="5"/>
  <c r="R26" i="5"/>
  <c r="P26" i="5"/>
  <c r="P27" i="5" s="1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I51" i="5" a="1"/>
  <c r="J53" i="5" s="1"/>
  <c r="N51" i="5" s="1"/>
  <c r="D52" i="5"/>
  <c r="D53" i="5"/>
  <c r="D54" i="5"/>
  <c r="D55" i="5"/>
  <c r="D56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51" i="5"/>
  <c r="P28" i="5" l="1"/>
  <c r="N52" i="5"/>
  <c r="AE50" i="5"/>
  <c r="X53" i="5"/>
  <c r="AB52" i="5" s="1"/>
  <c r="W52" i="5"/>
  <c r="AE51" i="5" s="1"/>
  <c r="W53" i="5"/>
  <c r="X52" i="5"/>
  <c r="X51" i="5"/>
  <c r="S71" i="5" s="1"/>
  <c r="T71" i="5" s="1"/>
  <c r="J51" i="5"/>
  <c r="I52" i="5"/>
  <c r="J52" i="5"/>
  <c r="I53" i="5"/>
  <c r="I51" i="5"/>
  <c r="E57" i="5" s="1"/>
  <c r="F57" i="5" s="1"/>
  <c r="B28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P29" i="5" l="1"/>
  <c r="S79" i="5"/>
  <c r="T79" i="5" s="1"/>
  <c r="S76" i="5"/>
  <c r="T76" i="5" s="1"/>
  <c r="AE52" i="5"/>
  <c r="S84" i="5"/>
  <c r="T84" i="5" s="1"/>
  <c r="S75" i="5"/>
  <c r="T75" i="5" s="1"/>
  <c r="S65" i="5"/>
  <c r="T65" i="5" s="1"/>
  <c r="S67" i="5"/>
  <c r="T67" i="5" s="1"/>
  <c r="S62" i="5"/>
  <c r="T62" i="5" s="1"/>
  <c r="S61" i="5"/>
  <c r="T61" i="5" s="1"/>
  <c r="S78" i="5"/>
  <c r="T78" i="5" s="1"/>
  <c r="S81" i="5"/>
  <c r="T81" i="5" s="1"/>
  <c r="S72" i="5"/>
  <c r="T72" i="5" s="1"/>
  <c r="S58" i="5"/>
  <c r="T58" i="5" s="1"/>
  <c r="S83" i="5"/>
  <c r="T83" i="5" s="1"/>
  <c r="S74" i="5"/>
  <c r="T74" i="5" s="1"/>
  <c r="S80" i="5"/>
  <c r="T80" i="5" s="1"/>
  <c r="S60" i="5"/>
  <c r="T60" i="5" s="1"/>
  <c r="S82" i="5"/>
  <c r="T82" i="5" s="1"/>
  <c r="S73" i="5"/>
  <c r="T73" i="5" s="1"/>
  <c r="S54" i="5"/>
  <c r="T54" i="5" s="1"/>
  <c r="S64" i="5"/>
  <c r="T64" i="5" s="1"/>
  <c r="S63" i="5"/>
  <c r="T63" i="5" s="1"/>
  <c r="S57" i="5"/>
  <c r="T57" i="5" s="1"/>
  <c r="S56" i="5"/>
  <c r="T56" i="5" s="1"/>
  <c r="S59" i="5"/>
  <c r="T59" i="5" s="1"/>
  <c r="S77" i="5"/>
  <c r="T77" i="5" s="1"/>
  <c r="S53" i="5"/>
  <c r="T53" i="5" s="1"/>
  <c r="S52" i="5"/>
  <c r="T52" i="5" s="1"/>
  <c r="S55" i="5"/>
  <c r="T55" i="5" s="1"/>
  <c r="S66" i="5"/>
  <c r="T66" i="5" s="1"/>
  <c r="S69" i="5"/>
  <c r="T69" i="5" s="1"/>
  <c r="S68" i="5"/>
  <c r="T68" i="5" s="1"/>
  <c r="S51" i="5"/>
  <c r="T51" i="5" s="1"/>
  <c r="AE55" i="5"/>
  <c r="AE56" i="5"/>
  <c r="AB51" i="5"/>
  <c r="S70" i="5"/>
  <c r="T70" i="5" s="1"/>
  <c r="P30" i="5"/>
  <c r="E53" i="5"/>
  <c r="F53" i="5" s="1"/>
  <c r="E61" i="5"/>
  <c r="F61" i="5" s="1"/>
  <c r="E69" i="5"/>
  <c r="F69" i="5" s="1"/>
  <c r="E77" i="5"/>
  <c r="F77" i="5" s="1"/>
  <c r="E85" i="5"/>
  <c r="F85" i="5" s="1"/>
  <c r="E54" i="5"/>
  <c r="F54" i="5" s="1"/>
  <c r="E62" i="5"/>
  <c r="F62" i="5" s="1"/>
  <c r="E70" i="5"/>
  <c r="F70" i="5" s="1"/>
  <c r="E78" i="5"/>
  <c r="F78" i="5" s="1"/>
  <c r="E86" i="5"/>
  <c r="F86" i="5" s="1"/>
  <c r="E55" i="5"/>
  <c r="F55" i="5" s="1"/>
  <c r="E63" i="5"/>
  <c r="F63" i="5" s="1"/>
  <c r="E71" i="5"/>
  <c r="F71" i="5" s="1"/>
  <c r="E79" i="5"/>
  <c r="F79" i="5" s="1"/>
  <c r="E51" i="5"/>
  <c r="F51" i="5" s="1"/>
  <c r="E56" i="5"/>
  <c r="F56" i="5" s="1"/>
  <c r="E64" i="5"/>
  <c r="F64" i="5" s="1"/>
  <c r="E72" i="5"/>
  <c r="F72" i="5" s="1"/>
  <c r="E80" i="5"/>
  <c r="F80" i="5" s="1"/>
  <c r="E65" i="5"/>
  <c r="F65" i="5" s="1"/>
  <c r="E73" i="5"/>
  <c r="F73" i="5" s="1"/>
  <c r="E81" i="5"/>
  <c r="F81" i="5" s="1"/>
  <c r="E58" i="5"/>
  <c r="F58" i="5" s="1"/>
  <c r="E66" i="5"/>
  <c r="F66" i="5" s="1"/>
  <c r="E74" i="5"/>
  <c r="F74" i="5" s="1"/>
  <c r="E82" i="5"/>
  <c r="F82" i="5" s="1"/>
  <c r="E59" i="5"/>
  <c r="F59" i="5" s="1"/>
  <c r="E67" i="5"/>
  <c r="F67" i="5" s="1"/>
  <c r="E75" i="5"/>
  <c r="F75" i="5" s="1"/>
  <c r="E83" i="5"/>
  <c r="F83" i="5" s="1"/>
  <c r="E52" i="5"/>
  <c r="F52" i="5" s="1"/>
  <c r="E60" i="5"/>
  <c r="F60" i="5" s="1"/>
  <c r="E68" i="5"/>
  <c r="F68" i="5" s="1"/>
  <c r="E76" i="5"/>
  <c r="F76" i="5" s="1"/>
  <c r="E84" i="5"/>
  <c r="F84" i="5" s="1"/>
  <c r="B29" i="5"/>
  <c r="B30" i="5" s="1"/>
  <c r="B31" i="5" s="1"/>
  <c r="B32" i="5" s="1"/>
  <c r="B33" i="5" s="1"/>
  <c r="B34" i="5" s="1"/>
  <c r="B35" i="5" s="1"/>
  <c r="B36" i="5" s="1"/>
  <c r="AE57" i="5" l="1"/>
  <c r="P31" i="5"/>
  <c r="I8" i="5" a="1"/>
  <c r="I9" i="5" s="1"/>
  <c r="P32" i="5" l="1"/>
  <c r="J10" i="5"/>
  <c r="J9" i="5"/>
  <c r="I10" i="5"/>
  <c r="I8" i="5"/>
  <c r="J8" i="5"/>
  <c r="E38" i="5" l="1"/>
  <c r="F38" i="5" s="1"/>
  <c r="E37" i="5"/>
  <c r="F37" i="5" s="1"/>
  <c r="E39" i="5"/>
  <c r="F39" i="5" s="1"/>
  <c r="E41" i="5"/>
  <c r="F41" i="5" s="1"/>
  <c r="E43" i="5"/>
  <c r="F43" i="5" s="1"/>
  <c r="E45" i="5"/>
  <c r="F45" i="5" s="1"/>
  <c r="E40" i="5"/>
  <c r="F40" i="5" s="1"/>
  <c r="E44" i="5"/>
  <c r="F44" i="5" s="1"/>
  <c r="E42" i="5"/>
  <c r="F42" i="5" s="1"/>
  <c r="E9" i="5"/>
  <c r="F9" i="5" s="1"/>
  <c r="E8" i="5"/>
  <c r="F8" i="5" s="1"/>
  <c r="N8" i="5"/>
  <c r="N9" i="5"/>
  <c r="P33" i="5"/>
  <c r="E13" i="5"/>
  <c r="F13" i="5" s="1"/>
  <c r="E21" i="5"/>
  <c r="F21" i="5" s="1"/>
  <c r="E29" i="5"/>
  <c r="F29" i="5" s="1"/>
  <c r="E20" i="5"/>
  <c r="F20" i="5" s="1"/>
  <c r="E14" i="5"/>
  <c r="F14" i="5" s="1"/>
  <c r="E22" i="5"/>
  <c r="F22" i="5" s="1"/>
  <c r="E30" i="5"/>
  <c r="F30" i="5" s="1"/>
  <c r="E17" i="5"/>
  <c r="F17" i="5" s="1"/>
  <c r="E25" i="5"/>
  <c r="F25" i="5" s="1"/>
  <c r="E33" i="5"/>
  <c r="F33" i="5" s="1"/>
  <c r="E10" i="5"/>
  <c r="F10" i="5" s="1"/>
  <c r="E18" i="5"/>
  <c r="F18" i="5" s="1"/>
  <c r="E26" i="5"/>
  <c r="F26" i="5" s="1"/>
  <c r="E34" i="5"/>
  <c r="F34" i="5" s="1"/>
  <c r="E11" i="5"/>
  <c r="F11" i="5" s="1"/>
  <c r="E19" i="5"/>
  <c r="F19" i="5" s="1"/>
  <c r="E27" i="5"/>
  <c r="F27" i="5" s="1"/>
  <c r="E35" i="5"/>
  <c r="F35" i="5" s="1"/>
  <c r="E12" i="5"/>
  <c r="F12" i="5" s="1"/>
  <c r="E28" i="5"/>
  <c r="F28" i="5" s="1"/>
  <c r="E36" i="5"/>
  <c r="F36" i="5" s="1"/>
  <c r="E15" i="5"/>
  <c r="F15" i="5" s="1"/>
  <c r="E23" i="5"/>
  <c r="F23" i="5" s="1"/>
  <c r="E31" i="5"/>
  <c r="F31" i="5" s="1"/>
  <c r="E16" i="5"/>
  <c r="F16" i="5" s="1"/>
  <c r="E24" i="5"/>
  <c r="F24" i="5" s="1"/>
  <c r="E32" i="5"/>
  <c r="F32" i="5" s="1"/>
  <c r="N131" i="3"/>
  <c r="N130" i="3"/>
  <c r="N129" i="3"/>
  <c r="N128" i="3"/>
  <c r="N127" i="3"/>
  <c r="N126" i="3"/>
  <c r="N125" i="3"/>
  <c r="N124" i="3"/>
  <c r="S123" i="3" a="1"/>
  <c r="T124" i="3" s="1"/>
  <c r="N110" i="3"/>
  <c r="N111" i="3"/>
  <c r="N112" i="3"/>
  <c r="N114" i="3"/>
  <c r="N115" i="3"/>
  <c r="N116" i="3"/>
  <c r="N117" i="3"/>
  <c r="N109" i="3"/>
  <c r="N95" i="3"/>
  <c r="N96" i="3"/>
  <c r="G41" i="4" s="1"/>
  <c r="N97" i="3"/>
  <c r="G56" i="4" s="1"/>
  <c r="N98" i="3"/>
  <c r="G71" i="4" s="1"/>
  <c r="N99" i="3"/>
  <c r="G86" i="4" s="1"/>
  <c r="N100" i="3"/>
  <c r="N101" i="3"/>
  <c r="N102" i="3"/>
  <c r="N103" i="3"/>
  <c r="N80" i="3"/>
  <c r="G25" i="4" s="1"/>
  <c r="N81" i="3"/>
  <c r="G40" i="4" s="1"/>
  <c r="N82" i="3"/>
  <c r="G55" i="4" s="1"/>
  <c r="N83" i="3"/>
  <c r="G70" i="4" s="1"/>
  <c r="N84" i="3"/>
  <c r="G85" i="4" s="1"/>
  <c r="N85" i="3"/>
  <c r="N86" i="3"/>
  <c r="N87" i="3"/>
  <c r="N88" i="3"/>
  <c r="N89" i="3"/>
  <c r="N79" i="3"/>
  <c r="G10" i="4" s="1"/>
  <c r="N65" i="3"/>
  <c r="G24" i="4" s="1"/>
  <c r="N66" i="3"/>
  <c r="G39" i="4" s="1"/>
  <c r="N67" i="3"/>
  <c r="G54" i="4" s="1"/>
  <c r="N68" i="3"/>
  <c r="G69" i="4" s="1"/>
  <c r="N69" i="3"/>
  <c r="G84" i="4" s="1"/>
  <c r="N70" i="3"/>
  <c r="N71" i="3"/>
  <c r="N64" i="3"/>
  <c r="G9" i="4" s="1"/>
  <c r="N5" i="3"/>
  <c r="N6" i="3"/>
  <c r="N4" i="3"/>
  <c r="N50" i="3"/>
  <c r="G23" i="4" s="1"/>
  <c r="N51" i="3"/>
  <c r="G53" i="4" s="1"/>
  <c r="N52" i="3"/>
  <c r="N53" i="3"/>
  <c r="G68" i="4" s="1"/>
  <c r="N54" i="3"/>
  <c r="G83" i="4" s="1"/>
  <c r="N55" i="3"/>
  <c r="N56" i="3"/>
  <c r="N57" i="3"/>
  <c r="N58" i="3"/>
  <c r="N59" i="3"/>
  <c r="N49" i="3"/>
  <c r="G8" i="4" s="1"/>
  <c r="N20" i="3"/>
  <c r="G21" i="4" s="1"/>
  <c r="N35" i="3"/>
  <c r="G22" i="4" s="1"/>
  <c r="N36" i="3"/>
  <c r="G37" i="4" s="1"/>
  <c r="N37" i="3"/>
  <c r="G52" i="4" s="1"/>
  <c r="N38" i="3"/>
  <c r="G67" i="4" s="1"/>
  <c r="N39" i="3"/>
  <c r="G82" i="4" s="1"/>
  <c r="N34" i="3"/>
  <c r="G7" i="4" s="1"/>
  <c r="N21" i="3"/>
  <c r="G36" i="4" s="1"/>
  <c r="N22" i="3"/>
  <c r="G51" i="4" s="1"/>
  <c r="N23" i="3"/>
  <c r="G66" i="4" s="1"/>
  <c r="N24" i="3"/>
  <c r="G81" i="4" s="1"/>
  <c r="N25" i="3"/>
  <c r="N19" i="3"/>
  <c r="G6" i="4" s="1"/>
  <c r="F86" i="4"/>
  <c r="H86" i="4" s="1"/>
  <c r="F84" i="4"/>
  <c r="H84" i="4" s="1"/>
  <c r="F82" i="4"/>
  <c r="H82" i="4" s="1"/>
  <c r="F85" i="4"/>
  <c r="H85" i="4" s="1"/>
  <c r="F83" i="4"/>
  <c r="H83" i="4" s="1"/>
  <c r="F81" i="4"/>
  <c r="F70" i="4"/>
  <c r="H70" i="4" s="1"/>
  <c r="F71" i="4"/>
  <c r="H71" i="4" s="1"/>
  <c r="F68" i="4"/>
  <c r="H68" i="4" s="1"/>
  <c r="F53" i="4"/>
  <c r="H53" i="4" s="1"/>
  <c r="F69" i="4"/>
  <c r="H69" i="4" s="1"/>
  <c r="F67" i="4"/>
  <c r="H67" i="4" s="1"/>
  <c r="F66" i="4"/>
  <c r="H66" i="4" s="1"/>
  <c r="F56" i="4"/>
  <c r="H56" i="4" s="1"/>
  <c r="F55" i="4"/>
  <c r="H55" i="4" s="1"/>
  <c r="F54" i="4"/>
  <c r="H54" i="4" s="1"/>
  <c r="F52" i="4"/>
  <c r="H52" i="4" s="1"/>
  <c r="F51" i="4"/>
  <c r="F41" i="4"/>
  <c r="H41" i="4" s="1"/>
  <c r="F40" i="4"/>
  <c r="F39" i="4"/>
  <c r="H39" i="4" s="1"/>
  <c r="F38" i="4"/>
  <c r="H38" i="4" s="1"/>
  <c r="F37" i="4"/>
  <c r="H37" i="4" s="1"/>
  <c r="G26" i="4"/>
  <c r="F22" i="4"/>
  <c r="H22" i="4" s="1"/>
  <c r="F26" i="4"/>
  <c r="H26" i="4" s="1"/>
  <c r="F25" i="4"/>
  <c r="H25" i="4" s="1"/>
  <c r="F24" i="4"/>
  <c r="H24" i="4" s="1"/>
  <c r="F23" i="4"/>
  <c r="H23" i="4" s="1"/>
  <c r="F36" i="4"/>
  <c r="H36" i="4" s="1"/>
  <c r="F21" i="4"/>
  <c r="H21" i="4" s="1"/>
  <c r="F10" i="4"/>
  <c r="H10" i="4" s="1"/>
  <c r="F9" i="4"/>
  <c r="H9" i="4" s="1"/>
  <c r="F8" i="4"/>
  <c r="H8" i="4" s="1"/>
  <c r="F7" i="4"/>
  <c r="H7" i="4" s="1"/>
  <c r="F6" i="4"/>
  <c r="H6" i="4" s="1"/>
  <c r="C11" i="3"/>
  <c r="D8" i="4" s="1"/>
  <c r="C12" i="3"/>
  <c r="D9" i="4" s="1"/>
  <c r="C13" i="3"/>
  <c r="C14" i="3"/>
  <c r="C10" i="3"/>
  <c r="D7" i="4" s="1"/>
  <c r="P34" i="5" l="1"/>
  <c r="D41" i="4"/>
  <c r="D37" i="4"/>
  <c r="D54" i="4"/>
  <c r="D52" i="4"/>
  <c r="D68" i="4"/>
  <c r="D53" i="4"/>
  <c r="D22" i="4"/>
  <c r="D67" i="4"/>
  <c r="D10" i="4"/>
  <c r="D70" i="4"/>
  <c r="D25" i="4"/>
  <c r="D85" i="4"/>
  <c r="D40" i="4"/>
  <c r="D55" i="4"/>
  <c r="D56" i="4"/>
  <c r="D26" i="4"/>
  <c r="D71" i="4"/>
  <c r="D86" i="4"/>
  <c r="D24" i="4"/>
  <c r="D23" i="4"/>
  <c r="D39" i="4"/>
  <c r="D38" i="4"/>
  <c r="D84" i="4"/>
  <c r="D83" i="4"/>
  <c r="D69" i="4"/>
  <c r="D82" i="4"/>
  <c r="T123" i="3"/>
  <c r="S125" i="3"/>
  <c r="S123" i="3"/>
  <c r="S124" i="3"/>
  <c r="T125" i="3"/>
  <c r="G38" i="4"/>
  <c r="I38" i="4" s="1"/>
  <c r="I40" i="4"/>
  <c r="I70" i="4"/>
  <c r="I67" i="4"/>
  <c r="I51" i="4"/>
  <c r="I68" i="4"/>
  <c r="I41" i="4"/>
  <c r="I85" i="4"/>
  <c r="I81" i="4"/>
  <c r="I86" i="4"/>
  <c r="I84" i="4"/>
  <c r="I82" i="4"/>
  <c r="I83" i="4"/>
  <c r="H81" i="4"/>
  <c r="I71" i="4"/>
  <c r="I69" i="4"/>
  <c r="I66" i="4"/>
  <c r="I56" i="4"/>
  <c r="I55" i="4"/>
  <c r="I53" i="4"/>
  <c r="I54" i="4"/>
  <c r="I52" i="4"/>
  <c r="I36" i="4"/>
  <c r="H51" i="4"/>
  <c r="I24" i="4"/>
  <c r="H40" i="4"/>
  <c r="I39" i="4"/>
  <c r="I37" i="4"/>
  <c r="I25" i="4"/>
  <c r="I22" i="4"/>
  <c r="I23" i="4"/>
  <c r="I26" i="4"/>
  <c r="I21" i="4"/>
  <c r="I10" i="4"/>
  <c r="I6" i="4"/>
  <c r="I9" i="4"/>
  <c r="I7" i="4"/>
  <c r="I8" i="4"/>
  <c r="F2" i="3"/>
  <c r="S108" i="3" a="1"/>
  <c r="T108" i="3" s="1"/>
  <c r="S93" i="3" a="1"/>
  <c r="S93" i="3" s="1"/>
  <c r="S63" i="3" a="1"/>
  <c r="S63" i="3" s="1"/>
  <c r="S78" i="3" a="1"/>
  <c r="T79" i="3" s="1"/>
  <c r="S48" i="3" a="1"/>
  <c r="T49" i="3" s="1"/>
  <c r="S33" i="3" a="1"/>
  <c r="S33" i="3" s="1"/>
  <c r="S18" i="3" a="1"/>
  <c r="S18" i="3" s="1"/>
  <c r="S3" i="3" a="1"/>
  <c r="S3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8" i="3"/>
  <c r="G8" i="3" s="1"/>
  <c r="D8" i="3"/>
  <c r="D9" i="3"/>
  <c r="D10" i="3"/>
  <c r="D11" i="3"/>
  <c r="D12" i="3"/>
  <c r="D13" i="3"/>
  <c r="D14" i="3"/>
  <c r="C9" i="3"/>
  <c r="C8" i="3"/>
  <c r="G15" i="2"/>
  <c r="F15" i="2"/>
  <c r="G14" i="2"/>
  <c r="F14" i="2"/>
  <c r="K14" i="2"/>
  <c r="L14" i="2"/>
  <c r="L15" i="2"/>
  <c r="L16" i="2"/>
  <c r="L17" i="2"/>
  <c r="L18" i="2"/>
  <c r="L19" i="2"/>
  <c r="L20" i="2"/>
  <c r="K15" i="2"/>
  <c r="K16" i="2"/>
  <c r="K17" i="2"/>
  <c r="K18" i="2"/>
  <c r="K19" i="2"/>
  <c r="K20" i="2"/>
  <c r="G8" i="2"/>
  <c r="G6" i="2"/>
  <c r="G5" i="2"/>
  <c r="G9" i="2"/>
  <c r="G7" i="2"/>
  <c r="F5" i="2"/>
  <c r="F9" i="2"/>
  <c r="F7" i="2"/>
  <c r="F6" i="2"/>
  <c r="F8" i="2"/>
  <c r="W8" i="5" l="1" a="1"/>
  <c r="C60" i="3"/>
  <c r="I2" i="3"/>
  <c r="I3" i="3"/>
  <c r="AE53" i="5"/>
  <c r="AE58" i="5"/>
  <c r="S133" i="3"/>
  <c r="H55" i="3" s="1"/>
  <c r="D51" i="4"/>
  <c r="D66" i="4"/>
  <c r="D81" i="4"/>
  <c r="D21" i="4"/>
  <c r="D36" i="4"/>
  <c r="E10" i="4"/>
  <c r="E55" i="4"/>
  <c r="E85" i="4"/>
  <c r="E70" i="4"/>
  <c r="E25" i="4"/>
  <c r="E40" i="4"/>
  <c r="O131" i="3"/>
  <c r="P131" i="3" s="1"/>
  <c r="O124" i="3"/>
  <c r="P124" i="3" s="1"/>
  <c r="O125" i="3"/>
  <c r="P125" i="3" s="1"/>
  <c r="O126" i="3"/>
  <c r="P126" i="3" s="1"/>
  <c r="O127" i="3"/>
  <c r="P127" i="3" s="1"/>
  <c r="O128" i="3"/>
  <c r="P128" i="3" s="1"/>
  <c r="S127" i="3"/>
  <c r="O129" i="3"/>
  <c r="P129" i="3" s="1"/>
  <c r="O130" i="3"/>
  <c r="P130" i="3" s="1"/>
  <c r="S128" i="3"/>
  <c r="D55" i="3" s="1"/>
  <c r="U131" i="3"/>
  <c r="U128" i="3"/>
  <c r="E41" i="4"/>
  <c r="E56" i="4"/>
  <c r="E86" i="4"/>
  <c r="E26" i="4"/>
  <c r="E71" i="4"/>
  <c r="E9" i="4"/>
  <c r="E54" i="4"/>
  <c r="E84" i="4"/>
  <c r="E69" i="4"/>
  <c r="E24" i="4"/>
  <c r="E39" i="4"/>
  <c r="E8" i="4"/>
  <c r="E83" i="4"/>
  <c r="E68" i="4"/>
  <c r="E23" i="4"/>
  <c r="E38" i="4"/>
  <c r="E53" i="4"/>
  <c r="S132" i="3"/>
  <c r="G55" i="3" s="1"/>
  <c r="J55" i="3" s="1"/>
  <c r="E7" i="4"/>
  <c r="E82" i="4"/>
  <c r="E67" i="4"/>
  <c r="E22" i="4"/>
  <c r="E37" i="4"/>
  <c r="E52" i="4"/>
  <c r="E6" i="4"/>
  <c r="E66" i="4"/>
  <c r="E21" i="4"/>
  <c r="E36" i="4"/>
  <c r="E51" i="4"/>
  <c r="E81" i="4"/>
  <c r="S22" i="3"/>
  <c r="C50" i="3" s="1"/>
  <c r="F50" i="3" s="1"/>
  <c r="D6" i="4"/>
  <c r="S67" i="3"/>
  <c r="S37" i="3"/>
  <c r="S7" i="3"/>
  <c r="C49" i="3" s="1"/>
  <c r="F49" i="3" s="1"/>
  <c r="S108" i="3"/>
  <c r="O113" i="3" s="1"/>
  <c r="P113" i="3" s="1"/>
  <c r="T110" i="3"/>
  <c r="S110" i="3"/>
  <c r="T109" i="3"/>
  <c r="S109" i="3"/>
  <c r="T95" i="3"/>
  <c r="S95" i="3"/>
  <c r="T94" i="3"/>
  <c r="S94" i="3"/>
  <c r="T93" i="3"/>
  <c r="O94" i="3" s="1"/>
  <c r="P94" i="3" s="1"/>
  <c r="T65" i="3"/>
  <c r="S65" i="3"/>
  <c r="T64" i="3"/>
  <c r="S64" i="3"/>
  <c r="S68" i="3" s="1"/>
  <c r="D53" i="3" s="1"/>
  <c r="T63" i="3"/>
  <c r="S72" i="3" s="1"/>
  <c r="G53" i="3" s="1"/>
  <c r="J53" i="3" s="1"/>
  <c r="S80" i="3"/>
  <c r="T80" i="3"/>
  <c r="S78" i="3"/>
  <c r="S82" i="3" s="1"/>
  <c r="C54" i="3" s="1"/>
  <c r="F54" i="3" s="1"/>
  <c r="T78" i="3"/>
  <c r="S79" i="3"/>
  <c r="T48" i="3"/>
  <c r="S57" i="3" s="1"/>
  <c r="G52" i="3" s="1"/>
  <c r="J52" i="3" s="1"/>
  <c r="S50" i="3"/>
  <c r="S48" i="3"/>
  <c r="S52" i="3" s="1"/>
  <c r="C52" i="3" s="1"/>
  <c r="F52" i="3" s="1"/>
  <c r="S49" i="3"/>
  <c r="T50" i="3"/>
  <c r="T35" i="3"/>
  <c r="S35" i="3"/>
  <c r="T34" i="3"/>
  <c r="S34" i="3"/>
  <c r="S38" i="3" s="1"/>
  <c r="D51" i="3" s="1"/>
  <c r="T33" i="3"/>
  <c r="S42" i="3" s="1"/>
  <c r="T20" i="3"/>
  <c r="S20" i="3"/>
  <c r="T19" i="3"/>
  <c r="S19" i="3"/>
  <c r="S23" i="3" s="1"/>
  <c r="D50" i="3" s="1"/>
  <c r="T18" i="3"/>
  <c r="O24" i="3" s="1"/>
  <c r="P24" i="3" s="1"/>
  <c r="T5" i="3"/>
  <c r="S5" i="3"/>
  <c r="T4" i="3"/>
  <c r="S4" i="3"/>
  <c r="S8" i="3" s="1"/>
  <c r="D49" i="3" s="1"/>
  <c r="T3" i="3"/>
  <c r="S12" i="3" s="1"/>
  <c r="N36" i="4" l="1" a="1"/>
  <c r="O38" i="4" s="1"/>
  <c r="N81" i="4" a="1"/>
  <c r="N81" i="4" s="1"/>
  <c r="N66" i="4" a="1"/>
  <c r="N66" i="4" s="1"/>
  <c r="N51" i="4" a="1"/>
  <c r="O53" i="4" s="1"/>
  <c r="W8" i="5"/>
  <c r="X9" i="5"/>
  <c r="W9" i="5"/>
  <c r="X10" i="5"/>
  <c r="W10" i="5"/>
  <c r="X8" i="5"/>
  <c r="I55" i="3"/>
  <c r="E50" i="3"/>
  <c r="S130" i="3"/>
  <c r="C55" i="3"/>
  <c r="F55" i="3" s="1"/>
  <c r="S15" i="3"/>
  <c r="G49" i="3"/>
  <c r="J49" i="3" s="1"/>
  <c r="E49" i="3"/>
  <c r="S40" i="3"/>
  <c r="C51" i="3"/>
  <c r="F51" i="3" s="1"/>
  <c r="S45" i="3"/>
  <c r="G51" i="3"/>
  <c r="J51" i="3" s="1"/>
  <c r="S70" i="3"/>
  <c r="C53" i="3"/>
  <c r="F53" i="3" s="1"/>
  <c r="N21" i="4" a="1"/>
  <c r="O23" i="3"/>
  <c r="P23" i="3" s="1"/>
  <c r="S134" i="3"/>
  <c r="U11" i="3"/>
  <c r="U8" i="3"/>
  <c r="U71" i="3"/>
  <c r="U68" i="3"/>
  <c r="U116" i="3"/>
  <c r="U113" i="3"/>
  <c r="U86" i="3"/>
  <c r="U83" i="3"/>
  <c r="U101" i="3"/>
  <c r="U98" i="3"/>
  <c r="S135" i="3"/>
  <c r="U26" i="3"/>
  <c r="U23" i="3"/>
  <c r="U41" i="3"/>
  <c r="U38" i="3"/>
  <c r="O25" i="3"/>
  <c r="P25" i="3" s="1"/>
  <c r="U56" i="3"/>
  <c r="U53" i="3"/>
  <c r="S53" i="3"/>
  <c r="S129" i="3"/>
  <c r="N6" i="4" a="1"/>
  <c r="S13" i="3"/>
  <c r="S83" i="3"/>
  <c r="D54" i="3" s="1"/>
  <c r="E54" i="3" s="1"/>
  <c r="S39" i="3"/>
  <c r="S73" i="3"/>
  <c r="H53" i="3" s="1"/>
  <c r="I53" i="3" s="1"/>
  <c r="S28" i="3"/>
  <c r="H50" i="3" s="1"/>
  <c r="I50" i="3" s="1"/>
  <c r="S43" i="3"/>
  <c r="S87" i="3"/>
  <c r="G54" i="3" s="1"/>
  <c r="J54" i="3" s="1"/>
  <c r="S88" i="3"/>
  <c r="H54" i="3" s="1"/>
  <c r="O102" i="3"/>
  <c r="P102" i="3" s="1"/>
  <c r="S69" i="3"/>
  <c r="S58" i="3"/>
  <c r="S9" i="3"/>
  <c r="S10" i="3"/>
  <c r="S55" i="3"/>
  <c r="S25" i="3"/>
  <c r="S24" i="3"/>
  <c r="O71" i="3"/>
  <c r="P71" i="3" s="1"/>
  <c r="O20" i="3"/>
  <c r="P20" i="3" s="1"/>
  <c r="S27" i="3"/>
  <c r="G50" i="3" s="1"/>
  <c r="J50" i="3" s="1"/>
  <c r="S60" i="3"/>
  <c r="O109" i="3"/>
  <c r="P109" i="3" s="1"/>
  <c r="O117" i="3"/>
  <c r="P117" i="3" s="1"/>
  <c r="O110" i="3"/>
  <c r="P110" i="3" s="1"/>
  <c r="O114" i="3"/>
  <c r="P114" i="3" s="1"/>
  <c r="O111" i="3"/>
  <c r="P111" i="3" s="1"/>
  <c r="O115" i="3"/>
  <c r="P115" i="3" s="1"/>
  <c r="O112" i="3"/>
  <c r="P112" i="3" s="1"/>
  <c r="O116" i="3"/>
  <c r="P116" i="3" s="1"/>
  <c r="O95" i="3"/>
  <c r="P95" i="3" s="1"/>
  <c r="O99" i="3"/>
  <c r="P99" i="3" s="1"/>
  <c r="O98" i="3"/>
  <c r="P98" i="3" s="1"/>
  <c r="O101" i="3"/>
  <c r="P101" i="3" s="1"/>
  <c r="O66" i="3"/>
  <c r="P66" i="3" s="1"/>
  <c r="O67" i="3"/>
  <c r="P67" i="3" s="1"/>
  <c r="O68" i="3"/>
  <c r="P68" i="3" s="1"/>
  <c r="O69" i="3"/>
  <c r="P69" i="3" s="1"/>
  <c r="O64" i="3"/>
  <c r="P64" i="3" s="1"/>
  <c r="O103" i="3"/>
  <c r="P103" i="3" s="1"/>
  <c r="O100" i="3"/>
  <c r="P100" i="3" s="1"/>
  <c r="O96" i="3"/>
  <c r="P96" i="3" s="1"/>
  <c r="O65" i="3"/>
  <c r="P65" i="3" s="1"/>
  <c r="O97" i="3"/>
  <c r="P97" i="3" s="1"/>
  <c r="O89" i="3"/>
  <c r="P89" i="3" s="1"/>
  <c r="O86" i="3"/>
  <c r="P86" i="3" s="1"/>
  <c r="O79" i="3"/>
  <c r="P79" i="3" s="1"/>
  <c r="O87" i="3"/>
  <c r="P87" i="3" s="1"/>
  <c r="O80" i="3"/>
  <c r="P80" i="3" s="1"/>
  <c r="O88" i="3"/>
  <c r="P88" i="3" s="1"/>
  <c r="O81" i="3"/>
  <c r="P81" i="3" s="1"/>
  <c r="O82" i="3"/>
  <c r="P82" i="3" s="1"/>
  <c r="O83" i="3"/>
  <c r="P83" i="3" s="1"/>
  <c r="O84" i="3"/>
  <c r="P84" i="3" s="1"/>
  <c r="O85" i="3"/>
  <c r="P85" i="3" s="1"/>
  <c r="O70" i="3"/>
  <c r="P70" i="3" s="1"/>
  <c r="O54" i="3"/>
  <c r="P54" i="3" s="1"/>
  <c r="O56" i="3"/>
  <c r="P56" i="3" s="1"/>
  <c r="O53" i="3"/>
  <c r="P53" i="3" s="1"/>
  <c r="O57" i="3"/>
  <c r="P57" i="3" s="1"/>
  <c r="O58" i="3"/>
  <c r="P58" i="3" s="1"/>
  <c r="O59" i="3"/>
  <c r="P59" i="3" s="1"/>
  <c r="O52" i="3"/>
  <c r="P52" i="3" s="1"/>
  <c r="O50" i="3"/>
  <c r="P50" i="3" s="1"/>
  <c r="O55" i="3"/>
  <c r="P55" i="3" s="1"/>
  <c r="O51" i="3"/>
  <c r="P51" i="3" s="1"/>
  <c r="O49" i="3"/>
  <c r="P49" i="3" s="1"/>
  <c r="O19" i="3"/>
  <c r="P19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22" i="3"/>
  <c r="P22" i="3" s="1"/>
  <c r="O21" i="3"/>
  <c r="P21" i="3" s="1"/>
  <c r="O5" i="3"/>
  <c r="P5" i="3" s="1"/>
  <c r="O6" i="3"/>
  <c r="P6" i="3" s="1"/>
  <c r="O4" i="3"/>
  <c r="P4" i="3" s="1"/>
  <c r="N70" i="4" l="1"/>
  <c r="J69" i="4"/>
  <c r="K69" i="4" s="1"/>
  <c r="N85" i="4"/>
  <c r="J85" i="4"/>
  <c r="K85" i="4" s="1"/>
  <c r="J84" i="4"/>
  <c r="K84" i="4" s="1"/>
  <c r="J82" i="4"/>
  <c r="K82" i="4" s="1"/>
  <c r="O67" i="4"/>
  <c r="O81" i="4"/>
  <c r="J86" i="4" s="1"/>
  <c r="K86" i="4" s="1"/>
  <c r="N37" i="4"/>
  <c r="N41" i="4" s="1"/>
  <c r="E98" i="4" s="1"/>
  <c r="N68" i="4"/>
  <c r="N83" i="4"/>
  <c r="N38" i="4"/>
  <c r="N67" i="4"/>
  <c r="N71" i="4" s="1"/>
  <c r="E100" i="4" s="1"/>
  <c r="O52" i="4"/>
  <c r="O37" i="4"/>
  <c r="O68" i="4"/>
  <c r="O51" i="4"/>
  <c r="O36" i="4"/>
  <c r="O83" i="4"/>
  <c r="N51" i="4"/>
  <c r="N36" i="4"/>
  <c r="O82" i="4"/>
  <c r="N53" i="4"/>
  <c r="O66" i="4"/>
  <c r="J66" i="4" s="1"/>
  <c r="K66" i="4" s="1"/>
  <c r="N82" i="4"/>
  <c r="N86" i="4" s="1"/>
  <c r="N52" i="4"/>
  <c r="N56" i="4" s="1"/>
  <c r="E99" i="4" s="1"/>
  <c r="AB9" i="5"/>
  <c r="AB8" i="5"/>
  <c r="S11" i="5"/>
  <c r="T11" i="5" s="1"/>
  <c r="AE12" i="5"/>
  <c r="AE15" i="5" s="1"/>
  <c r="AE13" i="5"/>
  <c r="AE7" i="5"/>
  <c r="AE10" i="5" s="1"/>
  <c r="AE8" i="5"/>
  <c r="AE9" i="5" s="1"/>
  <c r="S15" i="5"/>
  <c r="T15" i="5" s="1"/>
  <c r="S26" i="5"/>
  <c r="T26" i="5" s="1"/>
  <c r="S18" i="5"/>
  <c r="T18" i="5" s="1"/>
  <c r="S24" i="5"/>
  <c r="T24" i="5" s="1"/>
  <c r="S19" i="5"/>
  <c r="T19" i="5" s="1"/>
  <c r="S16" i="5"/>
  <c r="T16" i="5" s="1"/>
  <c r="S8" i="5"/>
  <c r="T8" i="5" s="1"/>
  <c r="S22" i="5"/>
  <c r="T22" i="5" s="1"/>
  <c r="S9" i="5"/>
  <c r="T9" i="5" s="1"/>
  <c r="S23" i="5"/>
  <c r="T23" i="5" s="1"/>
  <c r="S12" i="5"/>
  <c r="T12" i="5" s="1"/>
  <c r="S17" i="5"/>
  <c r="T17" i="5" s="1"/>
  <c r="S13" i="5"/>
  <c r="T13" i="5" s="1"/>
  <c r="S28" i="5"/>
  <c r="T28" i="5" s="1"/>
  <c r="S14" i="5"/>
  <c r="T14" i="5" s="1"/>
  <c r="S27" i="5"/>
  <c r="T27" i="5" s="1"/>
  <c r="S29" i="5"/>
  <c r="T29" i="5" s="1"/>
  <c r="S21" i="5"/>
  <c r="T21" i="5" s="1"/>
  <c r="S10" i="5"/>
  <c r="T10" i="5" s="1"/>
  <c r="S25" i="5"/>
  <c r="T25" i="5" s="1"/>
  <c r="S20" i="5"/>
  <c r="T20" i="5" s="1"/>
  <c r="S30" i="5"/>
  <c r="T30" i="5" s="1"/>
  <c r="S31" i="5"/>
  <c r="T31" i="5" s="1"/>
  <c r="S32" i="5"/>
  <c r="T32" i="5" s="1"/>
  <c r="S33" i="5"/>
  <c r="T33" i="5" s="1"/>
  <c r="S34" i="5"/>
  <c r="T34" i="5" s="1"/>
  <c r="I54" i="3"/>
  <c r="S44" i="3"/>
  <c r="H51" i="3"/>
  <c r="I51" i="3" s="1"/>
  <c r="S54" i="3"/>
  <c r="D52" i="3"/>
  <c r="E52" i="3" s="1"/>
  <c r="S59" i="3"/>
  <c r="H52" i="3"/>
  <c r="I52" i="3" s="1"/>
  <c r="E53" i="3"/>
  <c r="S14" i="3"/>
  <c r="H49" i="3"/>
  <c r="I49" i="3" s="1"/>
  <c r="E55" i="3"/>
  <c r="E51" i="3"/>
  <c r="N23" i="4"/>
  <c r="O21" i="4"/>
  <c r="N21" i="4"/>
  <c r="N25" i="4" s="1"/>
  <c r="O23" i="4"/>
  <c r="O22" i="4"/>
  <c r="N22" i="4"/>
  <c r="N26" i="4" s="1"/>
  <c r="E97" i="4" s="1"/>
  <c r="O6" i="4"/>
  <c r="N8" i="4"/>
  <c r="O7" i="4"/>
  <c r="N7" i="4"/>
  <c r="N11" i="4" s="1"/>
  <c r="E96" i="4" s="1"/>
  <c r="O8" i="4"/>
  <c r="N6" i="4"/>
  <c r="N10" i="4" s="1"/>
  <c r="S89" i="3"/>
  <c r="S90" i="3"/>
  <c r="S75" i="3"/>
  <c r="S74" i="3"/>
  <c r="S29" i="3"/>
  <c r="S30" i="3"/>
  <c r="S85" i="3"/>
  <c r="S84" i="3"/>
  <c r="N87" i="4" l="1"/>
  <c r="F101" i="4" s="1"/>
  <c r="E101" i="4"/>
  <c r="N42" i="4"/>
  <c r="F98" i="4" s="1"/>
  <c r="N88" i="4"/>
  <c r="G101" i="4" s="1"/>
  <c r="D101" i="4"/>
  <c r="N73" i="4"/>
  <c r="G100" i="4" s="1"/>
  <c r="D100" i="4"/>
  <c r="AE14" i="5"/>
  <c r="J71" i="4"/>
  <c r="K71" i="4" s="1"/>
  <c r="N13" i="4"/>
  <c r="G96" i="4" s="1"/>
  <c r="D96" i="4"/>
  <c r="J70" i="4"/>
  <c r="K70" i="4" s="1"/>
  <c r="N28" i="4"/>
  <c r="G97" i="4" s="1"/>
  <c r="D97" i="4"/>
  <c r="N72" i="4"/>
  <c r="F100" i="4" s="1"/>
  <c r="N40" i="4"/>
  <c r="J41" i="4"/>
  <c r="K41" i="4" s="1"/>
  <c r="J37" i="4"/>
  <c r="K37" i="4" s="1"/>
  <c r="J38" i="4"/>
  <c r="K38" i="4" s="1"/>
  <c r="J39" i="4"/>
  <c r="K39" i="4" s="1"/>
  <c r="J40" i="4"/>
  <c r="K40" i="4" s="1"/>
  <c r="J36" i="4"/>
  <c r="K36" i="4" s="1"/>
  <c r="N55" i="4"/>
  <c r="J52" i="4"/>
  <c r="K52" i="4" s="1"/>
  <c r="J54" i="4"/>
  <c r="K54" i="4" s="1"/>
  <c r="J56" i="4"/>
  <c r="K56" i="4" s="1"/>
  <c r="J51" i="4"/>
  <c r="K51" i="4" s="1"/>
  <c r="J55" i="4"/>
  <c r="K55" i="4" s="1"/>
  <c r="J53" i="4"/>
  <c r="K53" i="4" s="1"/>
  <c r="J83" i="4"/>
  <c r="K83" i="4" s="1"/>
  <c r="J68" i="4"/>
  <c r="K68" i="4" s="1"/>
  <c r="J81" i="4"/>
  <c r="K81" i="4" s="1"/>
  <c r="J67" i="4"/>
  <c r="K67" i="4" s="1"/>
  <c r="N27" i="4"/>
  <c r="F97" i="4" s="1"/>
  <c r="N12" i="4"/>
  <c r="F96" i="4" s="1"/>
  <c r="J22" i="4"/>
  <c r="K22" i="4" s="1"/>
  <c r="J23" i="4"/>
  <c r="K23" i="4" s="1"/>
  <c r="J24" i="4"/>
  <c r="K24" i="4" s="1"/>
  <c r="J25" i="4"/>
  <c r="K25" i="4" s="1"/>
  <c r="J26" i="4"/>
  <c r="K26" i="4" s="1"/>
  <c r="J21" i="4"/>
  <c r="K21" i="4" s="1"/>
  <c r="J7" i="4"/>
  <c r="K7" i="4" s="1"/>
  <c r="J8" i="4"/>
  <c r="K8" i="4" s="1"/>
  <c r="J9" i="4"/>
  <c r="K9" i="4" s="1"/>
  <c r="J10" i="4"/>
  <c r="K10" i="4" s="1"/>
  <c r="J6" i="4"/>
  <c r="K6" i="4" s="1"/>
  <c r="N43" i="4" l="1"/>
  <c r="G98" i="4" s="1"/>
  <c r="D98" i="4"/>
  <c r="N58" i="4"/>
  <c r="G99" i="4" s="1"/>
  <c r="D99" i="4"/>
  <c r="N57" i="4"/>
  <c r="F9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<sst xmlns="http://schemas.openxmlformats.org/spreadsheetml/2006/main" count="488" uniqueCount="108">
  <si>
    <t>Tubo</t>
  </si>
  <si>
    <t>----</t>
  </si>
  <si>
    <t>Medidas com régua:</t>
  </si>
  <si>
    <t>Medidas com craveira:</t>
  </si>
  <si>
    <t>l /m</t>
  </si>
  <si>
    <t>u(l) /m</t>
  </si>
  <si>
    <t>Tubo 1</t>
  </si>
  <si>
    <t>n</t>
  </si>
  <si>
    <t>f /Hz</t>
  </si>
  <si>
    <r>
      <t>f</t>
    </r>
    <r>
      <rPr>
        <vertAlign val="subscript"/>
        <sz val="11"/>
        <color theme="1"/>
        <rFont val="Calibri"/>
        <family val="2"/>
        <scheme val="minor"/>
      </rPr>
      <t>ajuste</t>
    </r>
    <r>
      <rPr>
        <sz val="11"/>
        <color theme="1"/>
        <rFont val="Calibri"/>
        <family val="2"/>
        <scheme val="minor"/>
      </rPr>
      <t xml:space="preserve"> /Hz</t>
    </r>
  </si>
  <si>
    <t>Resíduos de f /Hz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</si>
  <si>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</si>
  <si>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</si>
  <si>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</si>
  <si>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</si>
  <si>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</si>
  <si>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</si>
  <si>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t>Tubo 2</t>
  </si>
  <si>
    <t>Tubo 3</t>
  </si>
  <si>
    <t>Tubo 4</t>
  </si>
  <si>
    <t>Tubo 5</t>
  </si>
  <si>
    <t>Tubo 6</t>
  </si>
  <si>
    <t>Tubo 7</t>
  </si>
  <si>
    <t>Tubo 1 - Matriz de ajuste</t>
  </si>
  <si>
    <t>Tubo 2 - Matriz de ajuste</t>
  </si>
  <si>
    <t>Tubo 3 - Matriz de ajuste</t>
  </si>
  <si>
    <t>Tubo 4 - Matriz de ajuste</t>
  </si>
  <si>
    <t>Tubo 5 - Matriz de ajuste</t>
  </si>
  <si>
    <t>Tubo 6 - Matriz de ajuste</t>
  </si>
  <si>
    <t>Tubo 7 - Matriz de ajuste 1</t>
  </si>
  <si>
    <t>Tubo 7 - Matriz de ajuste 2</t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</si>
  <si>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</si>
  <si>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</si>
  <si>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</si>
  <si>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</si>
  <si>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/ms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</si>
  <si>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/ms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</si>
  <si>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/ms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</si>
  <si>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u(v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/ms</t>
    </r>
    <r>
      <rPr>
        <vertAlign val="superscript"/>
        <sz val="11"/>
        <color theme="1"/>
        <rFont val="Calibri"/>
        <family val="2"/>
        <scheme val="minor"/>
      </rPr>
      <t>-1</t>
    </r>
  </si>
  <si>
    <t>u(f) /Hz</t>
  </si>
  <si>
    <t>Matriz de ajuste para n = 1</t>
  </si>
  <si>
    <t>Tubo 7 - Matriz de ajuste 3</t>
  </si>
  <si>
    <t>Dados Tomás e Henrique:</t>
  </si>
  <si>
    <t>Dados Salomé e Morais:</t>
  </si>
  <si>
    <t>u(y)</t>
  </si>
  <si>
    <t>-u(y)</t>
  </si>
  <si>
    <r>
      <t>f</t>
    </r>
    <r>
      <rPr>
        <vertAlign val="subscript"/>
        <sz val="11"/>
        <color theme="1"/>
        <rFont val="Calibri"/>
        <family val="2"/>
        <scheme val="minor"/>
      </rPr>
      <t>ajuste-1</t>
    </r>
    <r>
      <rPr>
        <sz val="11"/>
        <color theme="1"/>
        <rFont val="Calibri"/>
        <family val="2"/>
        <scheme val="minor"/>
      </rPr>
      <t xml:space="preserve"> /Hz</t>
    </r>
  </si>
  <si>
    <r>
      <t>f</t>
    </r>
    <r>
      <rPr>
        <vertAlign val="subscript"/>
        <sz val="11"/>
        <color theme="1"/>
        <rFont val="Calibri"/>
        <family val="2"/>
        <scheme val="minor"/>
      </rPr>
      <t>ajuste-2</t>
    </r>
    <r>
      <rPr>
        <sz val="11"/>
        <color theme="1"/>
        <rFont val="Calibri"/>
        <family val="2"/>
        <scheme val="minor"/>
      </rPr>
      <t xml:space="preserve"> /Hz</t>
    </r>
  </si>
  <si>
    <t>Matriz de ajuste para n = 2</t>
  </si>
  <si>
    <t>Matriz de ajuste para n = 3</t>
  </si>
  <si>
    <r>
      <t>Er</t>
    </r>
    <r>
      <rPr>
        <vertAlign val="subscript"/>
        <sz val="11"/>
        <color theme="1"/>
        <rFont val="Calibri"/>
        <family val="2"/>
      </rPr>
      <t>%</t>
    </r>
    <r>
      <rPr>
        <sz val="11"/>
        <color theme="1"/>
        <rFont val="Calibri"/>
        <family val="2"/>
      </rPr>
      <t>(v</t>
    </r>
    <r>
      <rPr>
        <vertAlign val="subscript"/>
        <sz val="11"/>
        <color theme="1"/>
        <rFont val="Calibri"/>
        <family val="2"/>
      </rPr>
      <t>m</t>
    </r>
    <r>
      <rPr>
        <sz val="11"/>
        <color theme="1"/>
        <rFont val="Calibri"/>
        <family val="2"/>
      </rPr>
      <t>)</t>
    </r>
  </si>
  <si>
    <r>
      <t>Er</t>
    </r>
    <r>
      <rPr>
        <vertAlign val="subscript"/>
        <sz val="11"/>
        <color theme="1"/>
        <rFont val="Calibri"/>
        <family val="2"/>
      </rPr>
      <t>%</t>
    </r>
    <r>
      <rPr>
        <sz val="11"/>
        <color theme="1"/>
        <rFont val="Calibri"/>
        <family val="2"/>
      </rPr>
      <t>(v</t>
    </r>
    <r>
      <rPr>
        <vertAlign val="subscript"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</si>
  <si>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 xml:space="preserve"> /ms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</si>
  <si>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u(v</t>
    </r>
    <r>
      <rPr>
        <vertAlign val="subscript"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>) /ms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</si>
  <si>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u</t>
    </r>
    <r>
      <rPr>
        <vertAlign val="subscript"/>
        <sz val="11"/>
        <color theme="1"/>
        <rFont val="Calibri"/>
        <family val="2"/>
      </rPr>
      <t>%</t>
    </r>
    <r>
      <rPr>
        <sz val="11"/>
        <color theme="1"/>
        <rFont val="Calibri"/>
        <family val="2"/>
      </rPr>
      <t>(v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</si>
  <si>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</rPr>
      <t>%</t>
    </r>
    <r>
      <rPr>
        <sz val="11"/>
        <color theme="1"/>
        <rFont val="Calibri"/>
        <family val="2"/>
      </rPr>
      <t>(v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</si>
  <si>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n'</t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</si>
  <si>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>)</t>
    </r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</si>
  <si>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>)</t>
    </r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</si>
  <si>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(cm)</t>
    </r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</si>
  <si>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(cm)</t>
    </r>
  </si>
  <si>
    <r>
      <t>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(cm)</t>
    </r>
  </si>
  <si>
    <t>l (cm)</t>
  </si>
  <si>
    <t>u(l) (cm)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</si>
  <si>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(cm)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</si>
  <si>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(cm)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</si>
  <si>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(cm)</t>
    </r>
  </si>
  <si>
    <t>D (cm)</t>
  </si>
  <si>
    <t>u(D) (cm)</t>
  </si>
  <si>
    <t>l (m)</t>
  </si>
  <si>
    <t>u(l) (m)</t>
  </si>
  <si>
    <t>D (m)</t>
  </si>
  <si>
    <t>u(D) (m)</t>
  </si>
  <si>
    <r>
      <t>Δy</t>
    </r>
    <r>
      <rPr>
        <vertAlign val="subscript"/>
        <sz val="11"/>
        <color theme="1"/>
        <rFont val="Calibri"/>
        <family val="2"/>
      </rPr>
      <t>ref</t>
    </r>
    <r>
      <rPr>
        <sz val="11"/>
        <color theme="1"/>
        <rFont val="Calibri"/>
        <family val="2"/>
      </rPr>
      <t xml:space="preserve"> (m)</t>
    </r>
  </si>
  <si>
    <r>
      <t>u(Δy</t>
    </r>
    <r>
      <rPr>
        <vertAlign val="subscript"/>
        <sz val="11"/>
        <color theme="1"/>
        <rFont val="Calibri"/>
        <family val="2"/>
      </rPr>
      <t>ref</t>
    </r>
    <r>
      <rPr>
        <sz val="11"/>
        <color theme="1"/>
        <rFont val="Calibri"/>
        <family val="2"/>
      </rPr>
      <t>) (m)</t>
    </r>
  </si>
  <si>
    <r>
      <t>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</si>
  <si>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</si>
  <si>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</si>
  <si>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</si>
  <si>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 xml:space="preserve">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</si>
  <si>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m2</t>
    </r>
    <r>
      <rPr>
        <sz val="11"/>
        <color theme="1"/>
        <rFont val="Calibri"/>
        <family val="2"/>
        <scheme val="minor"/>
      </rPr>
      <t>)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</si>
  <si>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 (ºC)</t>
  </si>
  <si>
    <t>u(T) (ºC)</t>
  </si>
  <si>
    <r>
      <t>v</t>
    </r>
    <r>
      <rPr>
        <vertAlign val="subscript"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</si>
  <si>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>)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</si>
  <si>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p</t>
    </r>
    <r>
      <rPr>
        <vertAlign val="subscript"/>
        <sz val="11"/>
        <color theme="1"/>
        <rFont val="Calibri"/>
        <family val="2"/>
        <scheme val="minor"/>
      </rPr>
      <t>v H</t>
    </r>
    <r>
      <rPr>
        <vertAlign val="subscript"/>
        <sz val="8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(mm Hg)</t>
    </r>
  </si>
  <si>
    <t>f (Hz)</t>
  </si>
  <si>
    <t>u(f) (Hz)</t>
  </si>
  <si>
    <r>
      <t>f</t>
    </r>
    <r>
      <rPr>
        <vertAlign val="subscript"/>
        <sz val="11"/>
        <color theme="1"/>
        <rFont val="Calibri"/>
        <family val="2"/>
        <scheme val="minor"/>
      </rPr>
      <t>ajuste</t>
    </r>
    <r>
      <rPr>
        <sz val="11"/>
        <color theme="1"/>
        <rFont val="Calibri"/>
        <family val="2"/>
        <scheme val="minor"/>
      </rPr>
      <t xml:space="preserve"> (Hz)</t>
    </r>
  </si>
  <si>
    <t>Resíduos de f (Hz)</t>
  </si>
  <si>
    <r>
      <t>v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</si>
  <si>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u(v) (ms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</si>
  <si>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(v)</t>
    </r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</si>
  <si>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(v)</t>
    </r>
  </si>
  <si>
    <t>v + u(v)</t>
  </si>
  <si>
    <t>v - u(v)</t>
  </si>
  <si>
    <t>Matriz de ajuste para n = 4</t>
  </si>
  <si>
    <t>Matriz de ajuste para n = 5</t>
  </si>
  <si>
    <t>Matriz de ajuste para n = 6</t>
  </si>
  <si>
    <t>Tubo fechado (1) - Matriz de ajuste</t>
  </si>
  <si>
    <t>Tubo fechado (2) - Matriz de ajuste</t>
  </si>
  <si>
    <t>Tubo fechado (2) - Matriz de ajuste 2</t>
  </si>
  <si>
    <t>Tubo fechado (1) - Matriz de ajuste 2</t>
  </si>
  <si>
    <t>1/f (s)</t>
  </si>
  <si>
    <t>u(1/f) (s)</t>
  </si>
  <si>
    <r>
      <t>l</t>
    </r>
    <r>
      <rPr>
        <vertAlign val="subscript"/>
        <sz val="11"/>
        <color theme="1"/>
        <rFont val="Calibri"/>
        <family val="2"/>
        <scheme val="minor"/>
      </rPr>
      <t>ajuste</t>
    </r>
    <r>
      <rPr>
        <sz val="11"/>
        <color theme="1"/>
        <rFont val="Calibri"/>
        <family val="2"/>
        <scheme val="minor"/>
      </rPr>
      <t xml:space="preserve"> (m)</t>
    </r>
  </si>
  <si>
    <t>Resíduos de l (m)</t>
  </si>
  <si>
    <r>
      <t>v /ms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</si>
</sst>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"/>
    <numFmt numFmtId="165" formatCode="0.0000"/>
    <numFmt numFmtId="166" formatCode="0.000"/>
    <numFmt numFmtId="167" formatCode="0.0E+00"/>
    <numFmt numFmtId="168" formatCode="0E+00"/>
    <numFmt numFmtId="169" formatCode="0.000E+00"/>
    <numFmt numFmtId="170" formatCode="0.0000E+00"/>
    <numFmt numFmtId="171" formatCode="0.00000E+00"/>
    <numFmt numFmtId="172" formatCode="0.0"/>
    <numFmt numFmtId="173" formatCode="0.000000"/>
  </numFmts>
  <fonts count="8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F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9953"/>
        <bgColor indexed="64"/>
      </patternFill>
    </fill>
    <fill>
      <patternFill patternType="solid">
        <fgColor rgb="FFEFDCF4"/>
        <bgColor indexed="64"/>
      </patternFill>
    </fill>
    <fill>
      <patternFill patternType="solid">
        <fgColor rgb="FFFF7111"/>
        <bgColor indexed="64"/>
      </patternFill>
    </fill>
    <fill>
      <patternFill patternType="solid">
        <fgColor rgb="FFEA5F00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E0DDF3"/>
        <bgColor indexed="64"/>
      </patternFill>
    </fill>
    <fill>
      <patternFill patternType="solid">
        <fgColor rgb="FFAAA2E2"/>
        <bgColor indexed="64"/>
      </patternFill>
    </fill>
    <fill>
      <patternFill patternType="solid">
        <fgColor rgb="FFC9C4EA"/>
        <bgColor indexed="64"/>
      </patternFill>
    </fill>
    <fill>
      <patternFill patternType="solid">
        <fgColor rgb="FF594BC1"/>
        <bgColor indexed="64"/>
      </patternFill>
    </fill>
    <fill>
      <patternFill patternType="solid">
        <fgColor rgb="FF8378D2"/>
        <bgColor indexed="64"/>
      </patternFill>
    </fill>
    <fill>
      <patternFill patternType="solid">
        <fgColor rgb="FF9D3AB8"/>
        <bgColor indexed="64"/>
      </patternFill>
    </fill>
    <fill>
      <patternFill patternType="solid">
        <fgColor rgb="FFCD93DD"/>
        <bgColor indexed="64"/>
      </patternFill>
    </fill>
    <fill>
      <patternFill patternType="solid">
        <fgColor rgb="FFDFB9E9"/>
        <bgColor indexed="64"/>
      </patternFill>
    </fill>
    <fill>
      <patternFill patternType="solid">
        <fgColor rgb="FFBA6AD0"/>
        <bgColor indexed="64"/>
      </patternFill>
    </fill>
    <fill>
      <patternFill patternType="solid">
        <fgColor rgb="FFA0DEE0"/>
        <bgColor indexed="64"/>
      </patternFill>
    </fill>
    <fill>
      <patternFill patternType="solid">
        <fgColor rgb="FF65CBCD"/>
        <bgColor indexed="64"/>
      </patternFill>
    </fill>
    <fill>
      <patternFill patternType="solid">
        <fgColor rgb="FF3DBABD"/>
        <bgColor indexed="64"/>
      </patternFill>
    </fill>
    <fill>
      <patternFill patternType="solid">
        <fgColor rgb="FF319597"/>
        <bgColor indexed="64"/>
      </patternFill>
    </fill>
    <fill>
      <patternFill patternType="solid">
        <fgColor rgb="FFFFF2CC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34">
    <xf numFmtId="0" fontId="0" fillId="0" borderId="0" xfId="0"/>
    <xf numFmtId="0" fontId="0" fillId="2" borderId="18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24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1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169" fontId="0" fillId="4" borderId="47" xfId="0" applyNumberFormat="1" applyFill="1" applyBorder="1" applyAlignment="1">
      <alignment horizontal="center"/>
    </xf>
    <xf numFmtId="168" fontId="0" fillId="4" borderId="15" xfId="0" applyNumberFormat="1" applyFill="1" applyBorder="1" applyAlignment="1">
      <alignment horizontal="center"/>
    </xf>
    <xf numFmtId="11" fontId="0" fillId="4" borderId="47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68" fontId="0" fillId="6" borderId="16" xfId="0" applyNumberFormat="1" applyFill="1" applyBorder="1" applyAlignment="1">
      <alignment horizontal="center"/>
    </xf>
    <xf numFmtId="11" fontId="0" fillId="6" borderId="48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168" fontId="0" fillId="8" borderId="16" xfId="0" applyNumberFormat="1" applyFill="1" applyBorder="1" applyAlignment="1">
      <alignment horizontal="center"/>
    </xf>
    <xf numFmtId="11" fontId="0" fillId="8" borderId="48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168" fontId="0" fillId="10" borderId="16" xfId="0" applyNumberFormat="1" applyFill="1" applyBorder="1" applyAlignment="1">
      <alignment horizontal="center"/>
    </xf>
    <xf numFmtId="167" fontId="0" fillId="10" borderId="48" xfId="0" applyNumberFormat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9" fontId="0" fillId="6" borderId="16" xfId="0" applyNumberFormat="1" applyFill="1" applyBorder="1" applyAlignment="1">
      <alignment horizontal="center"/>
    </xf>
    <xf numFmtId="169" fontId="0" fillId="8" borderId="16" xfId="0" applyNumberFormat="1" applyFill="1" applyBorder="1" applyAlignment="1">
      <alignment horizontal="center"/>
    </xf>
    <xf numFmtId="169" fontId="0" fillId="10" borderId="16" xfId="0" applyNumberFormat="1" applyFill="1" applyBorder="1" applyAlignment="1">
      <alignment horizontal="center"/>
    </xf>
    <xf numFmtId="170" fontId="0" fillId="6" borderId="48" xfId="0" applyNumberFormat="1" applyFill="1" applyBorder="1" applyAlignment="1">
      <alignment horizontal="center"/>
    </xf>
    <xf numFmtId="170" fontId="0" fillId="8" borderId="48" xfId="0" applyNumberFormat="1" applyFill="1" applyBorder="1" applyAlignment="1">
      <alignment horizontal="center"/>
    </xf>
    <xf numFmtId="170" fontId="0" fillId="10" borderId="4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17" borderId="57" xfId="0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12" borderId="52" xfId="0" applyFill="1" applyBorder="1" applyAlignment="1">
      <alignment horizontal="center"/>
    </xf>
    <xf numFmtId="0" fontId="0" fillId="12" borderId="56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1" fontId="0" fillId="0" borderId="4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4" borderId="16" xfId="0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48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4" borderId="17" xfId="0" applyFill="1" applyBorder="1" applyAlignment="1">
      <alignment horizontal="center"/>
    </xf>
    <xf numFmtId="164" fontId="0" fillId="0" borderId="49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51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0" fontId="0" fillId="4" borderId="52" xfId="0" applyFill="1" applyBorder="1" applyAlignment="1">
      <alignment horizontal="center"/>
    </xf>
    <xf numFmtId="2" fontId="0" fillId="0" borderId="54" xfId="0" applyNumberFormat="1" applyBorder="1" applyAlignment="1">
      <alignment horizontal="center"/>
    </xf>
    <xf numFmtId="172" fontId="0" fillId="0" borderId="16" xfId="0" applyNumberFormat="1" applyBorder="1" applyAlignment="1">
      <alignment horizontal="center"/>
    </xf>
    <xf numFmtId="0" fontId="0" fillId="13" borderId="52" xfId="0" applyFill="1" applyBorder="1" applyAlignment="1">
      <alignment horizontal="center"/>
    </xf>
    <xf numFmtId="0" fontId="0" fillId="13" borderId="56" xfId="0" applyFill="1" applyBorder="1" applyAlignment="1">
      <alignment horizontal="center"/>
    </xf>
    <xf numFmtId="0" fontId="0" fillId="13" borderId="54" xfId="0" applyFill="1" applyBorder="1" applyAlignment="1">
      <alignment horizontal="center"/>
    </xf>
    <xf numFmtId="0" fontId="0" fillId="6" borderId="5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52" xfId="0" applyFill="1" applyBorder="1" applyAlignment="1">
      <alignment horizontal="center"/>
    </xf>
    <xf numFmtId="0" fontId="0" fillId="14" borderId="52" xfId="0" applyFill="1" applyBorder="1" applyAlignment="1">
      <alignment horizontal="center"/>
    </xf>
    <xf numFmtId="0" fontId="0" fillId="14" borderId="56" xfId="0" applyFill="1" applyBorder="1" applyAlignment="1">
      <alignment horizontal="center"/>
    </xf>
    <xf numFmtId="0" fontId="0" fillId="14" borderId="54" xfId="0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172" fontId="0" fillId="0" borderId="51" xfId="0" applyNumberFormat="1" applyBorder="1" applyAlignment="1">
      <alignment horizontal="center"/>
    </xf>
    <xf numFmtId="172" fontId="0" fillId="0" borderId="53" xfId="0" applyNumberFormat="1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15" borderId="52" xfId="0" applyFill="1" applyBorder="1" applyAlignment="1">
      <alignment horizontal="center"/>
    </xf>
    <xf numFmtId="0" fontId="0" fillId="15" borderId="56" xfId="0" applyFill="1" applyBorder="1" applyAlignment="1">
      <alignment horizontal="center"/>
    </xf>
    <xf numFmtId="0" fontId="0" fillId="15" borderId="54" xfId="0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165" fontId="0" fillId="0" borderId="49" xfId="0" applyNumberFormat="1" applyBorder="1" applyAlignment="1">
      <alignment horizontal="center"/>
    </xf>
    <xf numFmtId="0" fontId="0" fillId="10" borderId="52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" fontId="0" fillId="16" borderId="16" xfId="0" applyNumberFormat="1" applyFill="1" applyBorder="1" applyAlignment="1">
      <alignment horizontal="center"/>
    </xf>
    <xf numFmtId="1" fontId="0" fillId="16" borderId="13" xfId="0" applyNumberFormat="1" applyFill="1" applyBorder="1" applyAlignment="1">
      <alignment horizontal="center"/>
    </xf>
    <xf numFmtId="166" fontId="0" fillId="0" borderId="49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17" borderId="50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172" fontId="0" fillId="0" borderId="8" xfId="0" applyNumberFormat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172" fontId="0" fillId="0" borderId="47" xfId="0" applyNumberFormat="1" applyBorder="1" applyAlignment="1">
      <alignment horizontal="center"/>
    </xf>
    <xf numFmtId="172" fontId="0" fillId="0" borderId="48" xfId="0" applyNumberFormat="1" applyBorder="1" applyAlignment="1">
      <alignment horizontal="center"/>
    </xf>
    <xf numFmtId="173" fontId="0" fillId="0" borderId="49" xfId="0" applyNumberFormat="1" applyBorder="1" applyAlignment="1">
      <alignment horizontal="center"/>
    </xf>
    <xf numFmtId="0" fontId="0" fillId="18" borderId="50" xfId="0" applyFill="1" applyBorder="1" applyAlignment="1">
      <alignment horizontal="center"/>
    </xf>
    <xf numFmtId="169" fontId="0" fillId="19" borderId="51" xfId="0" applyNumberFormat="1" applyFill="1" applyBorder="1"/>
    <xf numFmtId="168" fontId="0" fillId="19" borderId="14" xfId="0" applyNumberFormat="1" applyFill="1" applyBorder="1"/>
    <xf numFmtId="1" fontId="0" fillId="0" borderId="3" xfId="0" applyNumberFormat="1" applyBorder="1"/>
    <xf numFmtId="0" fontId="0" fillId="18" borderId="2" xfId="0" applyFill="1" applyBorder="1"/>
    <xf numFmtId="0" fontId="0" fillId="20" borderId="62" xfId="0" applyFill="1" applyBorder="1"/>
    <xf numFmtId="0" fontId="0" fillId="11" borderId="62" xfId="0" applyFill="1" applyBorder="1"/>
    <xf numFmtId="0" fontId="0" fillId="26" borderId="54" xfId="0" applyFill="1" applyBorder="1"/>
    <xf numFmtId="0" fontId="0" fillId="25" borderId="16" xfId="0" applyFill="1" applyBorder="1" applyAlignment="1">
      <alignment horizontal="center"/>
    </xf>
    <xf numFmtId="0" fontId="0" fillId="24" borderId="52" xfId="0" applyFill="1" applyBorder="1" applyAlignment="1">
      <alignment horizontal="center"/>
    </xf>
    <xf numFmtId="0" fontId="0" fillId="24" borderId="56" xfId="0" applyFill="1" applyBorder="1" applyAlignment="1">
      <alignment horizontal="center"/>
    </xf>
    <xf numFmtId="0" fontId="0" fillId="24" borderId="54" xfId="0" applyFill="1" applyBorder="1" applyAlignment="1">
      <alignment horizontal="center"/>
    </xf>
    <xf numFmtId="0" fontId="0" fillId="32" borderId="16" xfId="0" applyFill="1" applyBorder="1" applyAlignment="1">
      <alignment horizontal="center"/>
    </xf>
    <xf numFmtId="0" fontId="0" fillId="32" borderId="17" xfId="0" applyFill="1" applyBorder="1" applyAlignment="1">
      <alignment horizontal="center"/>
    </xf>
    <xf numFmtId="0" fontId="0" fillId="32" borderId="50" xfId="0" applyFill="1" applyBorder="1" applyAlignment="1">
      <alignment horizontal="center"/>
    </xf>
    <xf numFmtId="0" fontId="0" fillId="32" borderId="52" xfId="0" applyFill="1" applyBorder="1" applyAlignment="1">
      <alignment horizontal="center"/>
    </xf>
    <xf numFmtId="171" fontId="0" fillId="32" borderId="48" xfId="0" applyNumberFormat="1" applyFill="1" applyBorder="1" applyAlignment="1">
      <alignment horizontal="center"/>
    </xf>
    <xf numFmtId="168" fontId="0" fillId="32" borderId="16" xfId="0" applyNumberFormat="1" applyFill="1" applyBorder="1" applyAlignment="1">
      <alignment horizontal="center"/>
    </xf>
    <xf numFmtId="11" fontId="0" fillId="32" borderId="48" xfId="0" applyNumberFormat="1" applyFill="1" applyBorder="1" applyAlignment="1">
      <alignment horizontal="center"/>
    </xf>
    <xf numFmtId="170" fontId="0" fillId="33" borderId="48" xfId="0" applyNumberFormat="1" applyFill="1" applyBorder="1" applyAlignment="1">
      <alignment horizontal="center"/>
    </xf>
    <xf numFmtId="168" fontId="0" fillId="33" borderId="16" xfId="0" applyNumberFormat="1" applyFill="1" applyBorder="1" applyAlignment="1">
      <alignment horizontal="center"/>
    </xf>
    <xf numFmtId="169" fontId="0" fillId="33" borderId="16" xfId="0" applyNumberForma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50" xfId="0" applyFill="1" applyBorder="1" applyAlignment="1">
      <alignment horizontal="center"/>
    </xf>
    <xf numFmtId="0" fontId="0" fillId="33" borderId="52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5" borderId="54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26" borderId="50" xfId="0" applyFill="1" applyBorder="1" applyAlignment="1">
      <alignment horizontal="center"/>
    </xf>
    <xf numFmtId="0" fontId="0" fillId="26" borderId="16" xfId="0" applyFill="1" applyBorder="1" applyAlignment="1">
      <alignment horizontal="center"/>
    </xf>
    <xf numFmtId="0" fontId="0" fillId="26" borderId="52" xfId="0" applyFill="1" applyBorder="1" applyAlignment="1">
      <alignment horizontal="center"/>
    </xf>
    <xf numFmtId="0" fontId="0" fillId="26" borderId="17" xfId="0" applyFill="1" applyBorder="1" applyAlignment="1">
      <alignment horizontal="center"/>
    </xf>
    <xf numFmtId="0" fontId="0" fillId="40" borderId="52" xfId="0" applyFill="1" applyBorder="1" applyAlignment="1">
      <alignment horizontal="center"/>
    </xf>
    <xf numFmtId="0" fontId="0" fillId="40" borderId="56" xfId="0" applyFill="1" applyBorder="1" applyAlignment="1">
      <alignment horizontal="center"/>
    </xf>
    <xf numFmtId="0" fontId="0" fillId="40" borderId="54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170" fontId="0" fillId="26" borderId="49" xfId="0" applyNumberFormat="1" applyFill="1" applyBorder="1" applyAlignment="1">
      <alignment horizontal="center"/>
    </xf>
    <xf numFmtId="168" fontId="0" fillId="26" borderId="17" xfId="0" applyNumberFormat="1" applyFill="1" applyBorder="1" applyAlignment="1">
      <alignment horizontal="center"/>
    </xf>
    <xf numFmtId="169" fontId="0" fillId="26" borderId="17" xfId="0" applyNumberFormat="1" applyFill="1" applyBorder="1" applyAlignment="1">
      <alignment horizontal="center"/>
    </xf>
    <xf numFmtId="0" fontId="0" fillId="41" borderId="54" xfId="0" applyFill="1" applyBorder="1"/>
    <xf numFmtId="0" fontId="0" fillId="43" borderId="68" xfId="0" applyFill="1" applyBorder="1" applyAlignment="1">
      <alignment horizontal="center"/>
    </xf>
    <xf numFmtId="0" fontId="0" fillId="42" borderId="69" xfId="0" applyFill="1" applyBorder="1" applyAlignment="1">
      <alignment horizontal="center"/>
    </xf>
    <xf numFmtId="0" fontId="0" fillId="18" borderId="52" xfId="0" applyFill="1" applyBorder="1" applyAlignment="1">
      <alignment horizontal="center"/>
    </xf>
    <xf numFmtId="0" fontId="0" fillId="44" borderId="52" xfId="0" applyFill="1" applyBorder="1" applyAlignment="1">
      <alignment horizontal="center"/>
    </xf>
    <xf numFmtId="0" fontId="0" fillId="45" borderId="68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2" borderId="50" xfId="0" applyFill="1" applyBorder="1"/>
    <xf numFmtId="0" fontId="0" fillId="42" borderId="17" xfId="0" applyFill="1" applyBorder="1"/>
    <xf numFmtId="1" fontId="0" fillId="0" borderId="9" xfId="0" applyNumberFormat="1" applyBorder="1" applyAlignment="1">
      <alignment horizontal="center"/>
    </xf>
    <xf numFmtId="1" fontId="0" fillId="16" borderId="9" xfId="0" applyNumberForma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1" fontId="0" fillId="16" borderId="17" xfId="0" applyNumberFormat="1" applyFill="1" applyBorder="1" applyAlignment="1">
      <alignment horizontal="center"/>
    </xf>
    <xf numFmtId="1" fontId="0" fillId="16" borderId="10" xfId="0" applyNumberFormat="1" applyFill="1" applyBorder="1" applyAlignment="1">
      <alignment horizontal="center"/>
    </xf>
    <xf numFmtId="0" fontId="0" fillId="4" borderId="50" xfId="0" quotePrefix="1" applyFill="1" applyBorder="1" applyAlignment="1">
      <alignment horizontal="center"/>
    </xf>
    <xf numFmtId="0" fontId="0" fillId="32" borderId="50" xfId="0" quotePrefix="1" applyFill="1" applyBorder="1" applyAlignment="1">
      <alignment horizontal="center"/>
    </xf>
    <xf numFmtId="0" fontId="0" fillId="46" borderId="50" xfId="0" applyFill="1" applyBorder="1" applyAlignment="1">
      <alignment horizontal="center"/>
    </xf>
    <xf numFmtId="0" fontId="0" fillId="46" borderId="50" xfId="0" quotePrefix="1" applyFill="1" applyBorder="1" applyAlignment="1">
      <alignment horizontal="center"/>
    </xf>
    <xf numFmtId="0" fontId="0" fillId="8" borderId="50" xfId="0" quotePrefix="1" applyFill="1" applyBorder="1" applyAlignment="1">
      <alignment horizontal="center"/>
    </xf>
    <xf numFmtId="0" fontId="0" fillId="10" borderId="50" xfId="0" quotePrefix="1" applyFill="1" applyBorder="1" applyAlignment="1">
      <alignment horizontal="center"/>
    </xf>
    <xf numFmtId="0" fontId="0" fillId="33" borderId="50" xfId="0" quotePrefix="1" applyFill="1" applyBorder="1" applyAlignment="1">
      <alignment horizontal="center"/>
    </xf>
    <xf numFmtId="0" fontId="0" fillId="26" borderId="50" xfId="0" quotePrefix="1" applyFill="1" applyBorder="1" applyAlignment="1">
      <alignment horizontal="center"/>
    </xf>
    <xf numFmtId="0" fontId="0" fillId="24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5" borderId="0" xfId="0" applyFill="1"/>
    <xf numFmtId="0" fontId="0" fillId="16" borderId="64" xfId="0" applyFill="1" applyBorder="1"/>
    <xf numFmtId="0" fontId="0" fillId="28" borderId="66" xfId="0" applyFill="1" applyBorder="1"/>
    <xf numFmtId="0" fontId="0" fillId="27" borderId="67" xfId="0" applyFill="1" applyBorder="1"/>
    <xf numFmtId="0" fontId="0" fillId="29" borderId="66" xfId="0" applyFill="1" applyBorder="1"/>
    <xf numFmtId="0" fontId="0" fillId="22" borderId="67" xfId="0" applyFill="1" applyBorder="1"/>
    <xf numFmtId="0" fontId="0" fillId="30" borderId="66" xfId="0" applyFill="1" applyBorder="1"/>
    <xf numFmtId="0" fontId="0" fillId="21" borderId="67" xfId="0" applyFill="1" applyBorder="1"/>
    <xf numFmtId="0" fontId="0" fillId="31" borderId="66" xfId="0" applyFill="1" applyBorder="1"/>
    <xf numFmtId="0" fontId="0" fillId="23" borderId="67" xfId="0" applyFill="1" applyBorder="1"/>
    <xf numFmtId="0" fontId="0" fillId="36" borderId="66" xfId="0" applyFill="1" applyBorder="1"/>
    <xf numFmtId="0" fontId="0" fillId="37" borderId="67" xfId="0" applyFill="1" applyBorder="1"/>
    <xf numFmtId="0" fontId="0" fillId="38" borderId="65" xfId="0" applyFill="1" applyBorder="1"/>
    <xf numFmtId="0" fontId="0" fillId="12" borderId="63" xfId="0" applyFill="1" applyBorder="1"/>
    <xf numFmtId="0" fontId="0" fillId="4" borderId="64" xfId="0" applyFill="1" applyBorder="1"/>
    <xf numFmtId="0" fontId="0" fillId="25" borderId="66" xfId="0" applyFill="1" applyBorder="1"/>
    <xf numFmtId="0" fontId="0" fillId="32" borderId="67" xfId="0" applyFill="1" applyBorder="1"/>
    <xf numFmtId="0" fontId="0" fillId="5" borderId="66" xfId="0" applyFill="1" applyBorder="1"/>
    <xf numFmtId="0" fontId="0" fillId="6" borderId="67" xfId="0" applyFill="1" applyBorder="1"/>
    <xf numFmtId="0" fontId="0" fillId="7" borderId="66" xfId="0" applyFill="1" applyBorder="1"/>
    <xf numFmtId="0" fontId="0" fillId="8" borderId="67" xfId="0" applyFill="1" applyBorder="1"/>
    <xf numFmtId="0" fontId="0" fillId="9" borderId="66" xfId="0" applyFill="1" applyBorder="1"/>
    <xf numFmtId="0" fontId="0" fillId="10" borderId="67" xfId="0" applyFill="1" applyBorder="1"/>
    <xf numFmtId="0" fontId="0" fillId="34" borderId="66" xfId="0" applyFill="1" applyBorder="1"/>
    <xf numFmtId="0" fontId="0" fillId="33" borderId="67" xfId="0" applyFill="1" applyBorder="1"/>
    <xf numFmtId="0" fontId="0" fillId="39" borderId="65" xfId="0" applyFill="1" applyBorder="1"/>
    <xf numFmtId="0" fontId="0" fillId="40" borderId="56" xfId="0" applyFill="1" applyBorder="1"/>
    <xf numFmtId="0" fontId="0" fillId="18" borderId="2" xfId="0" quotePrefix="1" applyFill="1" applyBorder="1"/>
    <xf numFmtId="1" fontId="0" fillId="0" borderId="50" xfId="0" applyNumberFormat="1" applyBorder="1" applyAlignment="1">
      <alignment horizontal="center"/>
    </xf>
    <xf numFmtId="1" fontId="0" fillId="16" borderId="50" xfId="0" applyNumberFormat="1" applyFill="1" applyBorder="1" applyAlignment="1">
      <alignment horizontal="center"/>
    </xf>
    <xf numFmtId="0" fontId="0" fillId="43" borderId="55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18" borderId="61" xfId="0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0" fontId="0" fillId="18" borderId="59" xfId="0" applyFill="1" applyBorder="1" applyAlignment="1">
      <alignment horizontal="center"/>
    </xf>
    <xf numFmtId="172" fontId="0" fillId="0" borderId="9" xfId="0" applyNumberFormat="1" applyBorder="1" applyAlignment="1">
      <alignment horizontal="center"/>
    </xf>
    <xf numFmtId="0" fontId="0" fillId="18" borderId="6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16" borderId="59" xfId="0" applyFill="1" applyBorder="1" applyAlignment="1">
      <alignment horizontal="center"/>
    </xf>
    <xf numFmtId="0" fontId="0" fillId="16" borderId="60" xfId="0" applyFill="1" applyBorder="1" applyAlignment="1">
      <alignment horizontal="center"/>
    </xf>
    <xf numFmtId="1" fontId="0" fillId="16" borderId="14" xfId="0" applyNumberFormat="1" applyFill="1" applyBorder="1" applyAlignment="1">
      <alignment horizontal="center"/>
    </xf>
    <xf numFmtId="0" fontId="0" fillId="18" borderId="70" xfId="0" applyFill="1" applyBorder="1" applyAlignment="1">
      <alignment horizontal="center"/>
    </xf>
    <xf numFmtId="172" fontId="0" fillId="0" borderId="50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2" borderId="70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172" fontId="0" fillId="19" borderId="50" xfId="0" applyNumberFormat="1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72" fontId="0" fillId="19" borderId="14" xfId="0" applyNumberFormat="1" applyFill="1" applyBorder="1" applyAlignment="1">
      <alignment horizontal="center"/>
    </xf>
    <xf numFmtId="172" fontId="0" fillId="19" borderId="51" xfId="0" applyNumberFormat="1" applyFill="1" applyBorder="1" applyAlignment="1">
      <alignment horizontal="center"/>
    </xf>
    <xf numFmtId="0" fontId="0" fillId="11" borderId="19" xfId="0" applyFill="1" applyBorder="1"/>
    <xf numFmtId="166" fontId="0" fillId="4" borderId="26" xfId="0" applyNumberFormat="1" applyFill="1" applyBorder="1"/>
    <xf numFmtId="166" fontId="0" fillId="4" borderId="16" xfId="0" applyNumberFormat="1" applyFill="1" applyBorder="1"/>
    <xf numFmtId="166" fontId="0" fillId="4" borderId="5" xfId="0" applyNumberFormat="1" applyFill="1" applyBorder="1"/>
    <xf numFmtId="0" fontId="0" fillId="4" borderId="16" xfId="0" applyFill="1" applyBorder="1"/>
    <xf numFmtId="166" fontId="0" fillId="4" borderId="27" xfId="0" applyNumberFormat="1" applyFill="1" applyBorder="1"/>
    <xf numFmtId="166" fontId="0" fillId="4" borderId="34" xfId="0" applyNumberFormat="1" applyFill="1" applyBorder="1"/>
    <xf numFmtId="166" fontId="0" fillId="4" borderId="4" xfId="0" applyNumberFormat="1" applyFill="1" applyBorder="1"/>
    <xf numFmtId="166" fontId="0" fillId="4" borderId="15" xfId="0" applyNumberFormat="1" applyFill="1" applyBorder="1"/>
    <xf numFmtId="166" fontId="0" fillId="4" borderId="35" xfId="0" applyNumberFormat="1" applyFill="1" applyBorder="1"/>
    <xf numFmtId="0" fontId="0" fillId="25" borderId="20" xfId="0" applyFill="1" applyBorder="1"/>
    <xf numFmtId="166" fontId="0" fillId="32" borderId="26" xfId="0" applyNumberFormat="1" applyFill="1" applyBorder="1"/>
    <xf numFmtId="166" fontId="0" fillId="32" borderId="16" xfId="0" applyNumberFormat="1" applyFill="1" applyBorder="1"/>
    <xf numFmtId="166" fontId="0" fillId="32" borderId="5" xfId="0" applyNumberFormat="1" applyFill="1" applyBorder="1"/>
    <xf numFmtId="165" fontId="0" fillId="32" borderId="16" xfId="0" applyNumberFormat="1" applyFill="1" applyBorder="1"/>
    <xf numFmtId="165" fontId="0" fillId="32" borderId="27" xfId="0" applyNumberFormat="1" applyFill="1" applyBorder="1"/>
    <xf numFmtId="166" fontId="0" fillId="32" borderId="36" xfId="0" applyNumberFormat="1" applyFill="1" applyBorder="1"/>
    <xf numFmtId="2" fontId="0" fillId="32" borderId="5" xfId="0" applyNumberFormat="1" applyFill="1" applyBorder="1"/>
    <xf numFmtId="2" fontId="0" fillId="32" borderId="37" xfId="0" applyNumberFormat="1" applyFill="1" applyBorder="1"/>
    <xf numFmtId="0" fontId="0" fillId="5" borderId="19" xfId="0" applyFill="1" applyBorder="1"/>
    <xf numFmtId="0" fontId="0" fillId="5" borderId="20" xfId="0" applyFill="1" applyBorder="1"/>
    <xf numFmtId="0" fontId="0" fillId="6" borderId="26" xfId="0" quotePrefix="1" applyFill="1" applyBorder="1"/>
    <xf numFmtId="0" fontId="0" fillId="6" borderId="16" xfId="0" quotePrefix="1" applyFill="1" applyBorder="1"/>
    <xf numFmtId="0" fontId="0" fillId="6" borderId="5" xfId="0" quotePrefix="1" applyFill="1" applyBorder="1"/>
    <xf numFmtId="0" fontId="0" fillId="6" borderId="27" xfId="0" quotePrefix="1" applyFill="1" applyBorder="1"/>
    <xf numFmtId="166" fontId="0" fillId="6" borderId="36" xfId="0" applyNumberFormat="1" applyFill="1" applyBorder="1"/>
    <xf numFmtId="166" fontId="0" fillId="6" borderId="5" xfId="0" applyNumberFormat="1" applyFill="1" applyBorder="1"/>
    <xf numFmtId="166" fontId="0" fillId="6" borderId="16" xfId="0" applyNumberFormat="1" applyFill="1" applyBorder="1"/>
    <xf numFmtId="166" fontId="0" fillId="6" borderId="37" xfId="0" applyNumberFormat="1" applyFill="1" applyBorder="1"/>
    <xf numFmtId="2" fontId="0" fillId="6" borderId="25" xfId="0" applyNumberFormat="1" applyFill="1" applyBorder="1"/>
    <xf numFmtId="2" fontId="0" fillId="6" borderId="15" xfId="0" applyNumberFormat="1" applyFill="1" applyBorder="1"/>
    <xf numFmtId="2" fontId="0" fillId="6" borderId="8" xfId="0" applyNumberFormat="1" applyFill="1" applyBorder="1"/>
    <xf numFmtId="2" fontId="0" fillId="6" borderId="42" xfId="0" applyNumberFormat="1" applyFill="1" applyBorder="1"/>
    <xf numFmtId="0" fontId="0" fillId="7" borderId="20" xfId="0" applyFill="1" applyBorder="1"/>
    <xf numFmtId="2" fontId="0" fillId="8" borderId="26" xfId="0" applyNumberFormat="1" applyFill="1" applyBorder="1"/>
    <xf numFmtId="2" fontId="0" fillId="8" borderId="16" xfId="0" applyNumberFormat="1" applyFill="1" applyBorder="1"/>
    <xf numFmtId="2" fontId="0" fillId="8" borderId="9" xfId="0" applyNumberFormat="1" applyFill="1" applyBorder="1"/>
    <xf numFmtId="2" fontId="0" fillId="8" borderId="43" xfId="0" applyNumberFormat="1" applyFill="1" applyBorder="1"/>
    <xf numFmtId="166" fontId="0" fillId="8" borderId="26" xfId="0" applyNumberFormat="1" applyFill="1" applyBorder="1"/>
    <xf numFmtId="166" fontId="0" fillId="8" borderId="16" xfId="0" applyNumberFormat="1" applyFill="1" applyBorder="1"/>
    <xf numFmtId="166" fontId="0" fillId="8" borderId="5" xfId="0" applyNumberFormat="1" applyFill="1" applyBorder="1"/>
    <xf numFmtId="0" fontId="0" fillId="8" borderId="16" xfId="0" applyFill="1" applyBorder="1"/>
    <xf numFmtId="166" fontId="0" fillId="8" borderId="27" xfId="0" applyNumberFormat="1" applyFill="1" applyBorder="1"/>
    <xf numFmtId="166" fontId="0" fillId="8" borderId="36" xfId="0" applyNumberFormat="1" applyFill="1" applyBorder="1"/>
    <xf numFmtId="2" fontId="0" fillId="8" borderId="5" xfId="0" applyNumberFormat="1" applyFill="1" applyBorder="1"/>
    <xf numFmtId="2" fontId="0" fillId="8" borderId="37" xfId="0" applyNumberFormat="1" applyFill="1" applyBorder="1"/>
    <xf numFmtId="0" fontId="0" fillId="9" borderId="20" xfId="0" applyFill="1" applyBorder="1"/>
    <xf numFmtId="2" fontId="0" fillId="10" borderId="26" xfId="0" applyNumberFormat="1" applyFill="1" applyBorder="1"/>
    <xf numFmtId="2" fontId="0" fillId="10" borderId="16" xfId="0" applyNumberFormat="1" applyFill="1" applyBorder="1"/>
    <xf numFmtId="2" fontId="0" fillId="10" borderId="9" xfId="0" applyNumberFormat="1" applyFill="1" applyBorder="1"/>
    <xf numFmtId="2" fontId="0" fillId="10" borderId="43" xfId="0" applyNumberFormat="1" applyFill="1" applyBorder="1"/>
    <xf numFmtId="0" fontId="0" fillId="10" borderId="26" xfId="0" quotePrefix="1" applyFill="1" applyBorder="1"/>
    <xf numFmtId="0" fontId="0" fillId="10" borderId="16" xfId="0" quotePrefix="1" applyFill="1" applyBorder="1"/>
    <xf numFmtId="0" fontId="0" fillId="10" borderId="5" xfId="0" quotePrefix="1" applyFill="1" applyBorder="1"/>
    <xf numFmtId="0" fontId="0" fillId="10" borderId="27" xfId="0" quotePrefix="1" applyFill="1" applyBorder="1"/>
    <xf numFmtId="166" fontId="0" fillId="10" borderId="36" xfId="0" applyNumberFormat="1" applyFill="1" applyBorder="1"/>
    <xf numFmtId="166" fontId="0" fillId="10" borderId="5" xfId="0" applyNumberFormat="1" applyFill="1" applyBorder="1"/>
    <xf numFmtId="166" fontId="0" fillId="10" borderId="16" xfId="0" applyNumberFormat="1" applyFill="1" applyBorder="1"/>
    <xf numFmtId="2" fontId="0" fillId="10" borderId="5" xfId="0" applyNumberFormat="1" applyFill="1" applyBorder="1"/>
    <xf numFmtId="2" fontId="0" fillId="10" borderId="37" xfId="0" applyNumberFormat="1" applyFill="1" applyBorder="1"/>
    <xf numFmtId="0" fontId="0" fillId="34" borderId="20" xfId="0" applyFill="1" applyBorder="1"/>
    <xf numFmtId="2" fontId="0" fillId="33" borderId="26" xfId="0" applyNumberFormat="1" applyFill="1" applyBorder="1"/>
    <xf numFmtId="2" fontId="0" fillId="33" borderId="16" xfId="0" applyNumberFormat="1" applyFill="1" applyBorder="1"/>
    <xf numFmtId="2" fontId="0" fillId="33" borderId="9" xfId="0" applyNumberFormat="1" applyFill="1" applyBorder="1"/>
    <xf numFmtId="2" fontId="0" fillId="33" borderId="43" xfId="0" applyNumberFormat="1" applyFill="1" applyBorder="1"/>
    <xf numFmtId="166" fontId="0" fillId="33" borderId="26" xfId="0" applyNumberFormat="1" applyFill="1" applyBorder="1"/>
    <xf numFmtId="166" fontId="0" fillId="33" borderId="16" xfId="0" applyNumberFormat="1" applyFill="1" applyBorder="1"/>
    <xf numFmtId="166" fontId="0" fillId="33" borderId="5" xfId="0" applyNumberFormat="1" applyFill="1" applyBorder="1"/>
    <xf numFmtId="0" fontId="0" fillId="33" borderId="16" xfId="0" applyFill="1" applyBorder="1"/>
    <xf numFmtId="166" fontId="0" fillId="33" borderId="27" xfId="0" applyNumberFormat="1" applyFill="1" applyBorder="1"/>
    <xf numFmtId="166" fontId="0" fillId="33" borderId="36" xfId="0" applyNumberFormat="1" applyFill="1" applyBorder="1"/>
    <xf numFmtId="165" fontId="0" fillId="33" borderId="5" xfId="0" applyNumberFormat="1" applyFill="1" applyBorder="1"/>
    <xf numFmtId="165" fontId="0" fillId="33" borderId="37" xfId="0" applyNumberFormat="1" applyFill="1" applyBorder="1"/>
    <xf numFmtId="0" fontId="0" fillId="39" borderId="21" xfId="0" applyFill="1" applyBorder="1"/>
    <xf numFmtId="2" fontId="0" fillId="26" borderId="28" xfId="0" applyNumberFormat="1" applyFill="1" applyBorder="1"/>
    <xf numFmtId="2" fontId="0" fillId="26" borderId="29" xfId="0" applyNumberFormat="1" applyFill="1" applyBorder="1"/>
    <xf numFmtId="2" fontId="0" fillId="26" borderId="44" xfId="0" applyNumberFormat="1" applyFill="1" applyBorder="1"/>
    <xf numFmtId="2" fontId="0" fillId="26" borderId="45" xfId="0" applyNumberFormat="1" applyFill="1" applyBorder="1"/>
    <xf numFmtId="0" fontId="0" fillId="26" borderId="28" xfId="0" quotePrefix="1" applyFill="1" applyBorder="1"/>
    <xf numFmtId="0" fontId="0" fillId="26" borderId="29" xfId="0" quotePrefix="1" applyFill="1" applyBorder="1"/>
    <xf numFmtId="0" fontId="0" fillId="26" borderId="30" xfId="0" quotePrefix="1" applyFill="1" applyBorder="1"/>
    <xf numFmtId="0" fontId="0" fillId="26" borderId="31" xfId="0" quotePrefix="1" applyFill="1" applyBorder="1"/>
    <xf numFmtId="166" fontId="0" fillId="26" borderId="38" xfId="0" applyNumberFormat="1" applyFill="1" applyBorder="1"/>
    <xf numFmtId="166" fontId="0" fillId="26" borderId="30" xfId="0" applyNumberFormat="1" applyFill="1" applyBorder="1"/>
    <xf numFmtId="166" fontId="0" fillId="26" borderId="29" xfId="0" applyNumberFormat="1" applyFill="1" applyBorder="1"/>
    <xf numFmtId="165" fontId="0" fillId="26" borderId="30" xfId="0" applyNumberFormat="1" applyFill="1" applyBorder="1"/>
    <xf numFmtId="165" fontId="0" fillId="26" borderId="39" xfId="0" applyNumberFormat="1" applyFill="1" applyBorder="1"/>
    <xf numFmtId="0" fontId="3" fillId="2" borderId="72" xfId="0" applyFont="1" applyFill="1" applyBorder="1" applyAlignment="1">
      <alignment horizontal="center"/>
    </xf>
    <xf numFmtId="0" fontId="0" fillId="11" borderId="73" xfId="0" applyFill="1" applyBorder="1" applyAlignment="1">
      <alignment horizontal="center"/>
    </xf>
    <xf numFmtId="0" fontId="0" fillId="25" borderId="26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39" borderId="28" xfId="0" applyFill="1" applyBorder="1" applyAlignment="1">
      <alignment horizontal="center"/>
    </xf>
    <xf numFmtId="0" fontId="0" fillId="26" borderId="29" xfId="0" applyFill="1" applyBorder="1" applyAlignment="1">
      <alignment horizontal="center"/>
    </xf>
    <xf numFmtId="11" fontId="0" fillId="4" borderId="15" xfId="0" applyNumberFormat="1" applyFill="1" applyBorder="1" applyAlignment="1">
      <alignment horizontal="center"/>
    </xf>
    <xf numFmtId="11" fontId="0" fillId="32" borderId="16" xfId="0" applyNumberFormat="1" applyFill="1" applyBorder="1" applyAlignment="1">
      <alignment horizontal="center"/>
    </xf>
    <xf numFmtId="11" fontId="0" fillId="6" borderId="16" xfId="0" applyNumberFormat="1" applyFill="1" applyBorder="1" applyAlignment="1">
      <alignment horizontal="center"/>
    </xf>
    <xf numFmtId="11" fontId="0" fillId="8" borderId="16" xfId="0" applyNumberFormat="1" applyFill="1" applyBorder="1" applyAlignment="1">
      <alignment horizontal="center"/>
    </xf>
    <xf numFmtId="11" fontId="0" fillId="10" borderId="16" xfId="0" applyNumberFormat="1" applyFill="1" applyBorder="1" applyAlignment="1">
      <alignment horizontal="center"/>
    </xf>
    <xf numFmtId="11" fontId="0" fillId="33" borderId="16" xfId="0" applyNumberFormat="1" applyFill="1" applyBorder="1" applyAlignment="1">
      <alignment horizontal="center"/>
    </xf>
    <xf numFmtId="0" fontId="0" fillId="25" borderId="34" xfId="0" applyFill="1" applyBorder="1" applyAlignment="1">
      <alignment horizontal="center"/>
    </xf>
    <xf numFmtId="171" fontId="0" fillId="32" borderId="15" xfId="0" applyNumberFormat="1" applyFill="1" applyBorder="1" applyAlignment="1">
      <alignment horizontal="center"/>
    </xf>
    <xf numFmtId="168" fontId="0" fillId="32" borderId="15" xfId="0" applyNumberFormat="1" applyFill="1" applyBorder="1" applyAlignment="1">
      <alignment horizontal="center"/>
    </xf>
    <xf numFmtId="0" fontId="0" fillId="32" borderId="15" xfId="0" applyFill="1" applyBorder="1" applyAlignment="1">
      <alignment horizontal="center"/>
    </xf>
    <xf numFmtId="1" fontId="0" fillId="32" borderId="15" xfId="0" applyNumberFormat="1" applyFill="1" applyBorder="1" applyAlignment="1">
      <alignment horizontal="center"/>
    </xf>
    <xf numFmtId="169" fontId="0" fillId="32" borderId="15" xfId="0" applyNumberFormat="1" applyFill="1" applyBorder="1" applyAlignment="1">
      <alignment horizontal="center"/>
    </xf>
    <xf numFmtId="11" fontId="0" fillId="32" borderId="15" xfId="0" applyNumberFormat="1" applyFill="1" applyBorder="1" applyAlignment="1">
      <alignment horizontal="center"/>
    </xf>
    <xf numFmtId="168" fontId="0" fillId="32" borderId="35" xfId="0" applyNumberFormat="1" applyFill="1" applyBorder="1" applyAlignment="1">
      <alignment horizontal="center"/>
    </xf>
    <xf numFmtId="170" fontId="0" fillId="32" borderId="15" xfId="0" applyNumberFormat="1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170" fontId="0" fillId="6" borderId="16" xfId="0" applyNumberForma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172" fontId="0" fillId="6" borderId="16" xfId="0" applyNumberFormat="1" applyFill="1" applyBorder="1" applyAlignment="1">
      <alignment horizontal="center"/>
    </xf>
    <xf numFmtId="168" fontId="0" fillId="6" borderId="37" xfId="0" applyNumberFormat="1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170" fontId="0" fillId="8" borderId="16" xfId="0" applyNumberFormat="1" applyFill="1" applyBorder="1" applyAlignment="1">
      <alignment horizontal="center"/>
    </xf>
    <xf numFmtId="172" fontId="0" fillId="8" borderId="16" xfId="0" applyNumberFormat="1" applyFill="1" applyBorder="1" applyAlignment="1">
      <alignment horizontal="center"/>
    </xf>
    <xf numFmtId="168" fontId="0" fillId="8" borderId="37" xfId="0" applyNumberFormat="1" applyFill="1" applyBorder="1" applyAlignment="1">
      <alignment horizontal="center"/>
    </xf>
    <xf numFmtId="1" fontId="0" fillId="8" borderId="16" xfId="0" applyNumberFormat="1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170" fontId="0" fillId="10" borderId="16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68" fontId="0" fillId="10" borderId="37" xfId="0" applyNumberFormat="1" applyFill="1" applyBorder="1" applyAlignment="1">
      <alignment horizontal="center"/>
    </xf>
    <xf numFmtId="0" fontId="0" fillId="34" borderId="36" xfId="0" applyFill="1" applyBorder="1" applyAlignment="1">
      <alignment horizontal="center"/>
    </xf>
    <xf numFmtId="0" fontId="0" fillId="34" borderId="38" xfId="0" applyFill="1" applyBorder="1" applyAlignment="1">
      <alignment horizontal="center"/>
    </xf>
    <xf numFmtId="170" fontId="0" fillId="33" borderId="29" xfId="0" applyNumberFormat="1" applyFill="1" applyBorder="1" applyAlignment="1">
      <alignment horizontal="center"/>
    </xf>
    <xf numFmtId="168" fontId="0" fillId="33" borderId="29" xfId="0" applyNumberFormat="1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1" fontId="0" fillId="33" borderId="29" xfId="0" applyNumberFormat="1" applyFill="1" applyBorder="1" applyAlignment="1">
      <alignment horizontal="center"/>
    </xf>
    <xf numFmtId="11" fontId="0" fillId="33" borderId="29" xfId="0" applyNumberFormat="1" applyFill="1" applyBorder="1" applyAlignment="1">
      <alignment horizontal="center"/>
    </xf>
    <xf numFmtId="168" fontId="0" fillId="33" borderId="39" xfId="0" applyNumberFormat="1" applyFill="1" applyBorder="1" applyAlignment="1">
      <alignment horizontal="center"/>
    </xf>
    <xf numFmtId="170" fontId="0" fillId="33" borderId="16" xfId="0" applyNumberFormat="1" applyFill="1" applyBorder="1" applyAlignment="1">
      <alignment horizontal="center"/>
    </xf>
    <xf numFmtId="1" fontId="0" fillId="33" borderId="16" xfId="0" applyNumberFormat="1" applyFill="1" applyBorder="1" applyAlignment="1">
      <alignment horizontal="center"/>
    </xf>
    <xf numFmtId="0" fontId="0" fillId="39" borderId="38" xfId="0" applyFill="1" applyBorder="1" applyAlignment="1">
      <alignment horizontal="center"/>
    </xf>
    <xf numFmtId="170" fontId="0" fillId="26" borderId="29" xfId="0" applyNumberFormat="1" applyFill="1" applyBorder="1" applyAlignment="1">
      <alignment horizontal="center"/>
    </xf>
    <xf numFmtId="168" fontId="0" fillId="26" borderId="29" xfId="0" applyNumberFormat="1" applyFill="1" applyBorder="1" applyAlignment="1">
      <alignment horizontal="center"/>
    </xf>
    <xf numFmtId="1" fontId="0" fillId="26" borderId="29" xfId="0" applyNumberFormat="1" applyFill="1" applyBorder="1" applyAlignment="1">
      <alignment horizontal="center"/>
    </xf>
    <xf numFmtId="11" fontId="0" fillId="26" borderId="29" xfId="0" applyNumberFormat="1" applyFill="1" applyBorder="1" applyAlignment="1">
      <alignment horizontal="center"/>
    </xf>
    <xf numFmtId="169" fontId="0" fillId="26" borderId="29" xfId="0" applyNumberFormat="1" applyFill="1" applyBorder="1" applyAlignment="1">
      <alignment horizontal="center"/>
    </xf>
    <xf numFmtId="0" fontId="3" fillId="2" borderId="76" xfId="0" applyFont="1" applyFill="1" applyBorder="1" applyAlignment="1">
      <alignment horizontal="center"/>
    </xf>
    <xf numFmtId="0" fontId="3" fillId="2" borderId="77" xfId="0" applyFont="1" applyFill="1" applyBorder="1" applyAlignment="1">
      <alignment horizontal="center"/>
    </xf>
    <xf numFmtId="0" fontId="3" fillId="2" borderId="78" xfId="0" applyFont="1" applyFill="1" applyBorder="1" applyAlignment="1">
      <alignment horizontal="center"/>
    </xf>
    <xf numFmtId="1" fontId="0" fillId="4" borderId="74" xfId="0" applyNumberFormat="1" applyFill="1" applyBorder="1" applyAlignment="1">
      <alignment horizontal="center"/>
    </xf>
    <xf numFmtId="1" fontId="0" fillId="32" borderId="36" xfId="0" applyNumberFormat="1" applyFill="1" applyBorder="1" applyAlignment="1">
      <alignment horizontal="center"/>
    </xf>
    <xf numFmtId="1" fontId="0" fillId="6" borderId="36" xfId="0" applyNumberFormat="1" applyFill="1" applyBorder="1" applyAlignment="1">
      <alignment horizontal="center"/>
    </xf>
    <xf numFmtId="172" fontId="0" fillId="8" borderId="36" xfId="0" applyNumberFormat="1" applyFill="1" applyBorder="1" applyAlignment="1">
      <alignment horizontal="center"/>
    </xf>
    <xf numFmtId="1" fontId="0" fillId="10" borderId="36" xfId="0" applyNumberFormat="1" applyFill="1" applyBorder="1" applyAlignment="1">
      <alignment horizontal="center"/>
    </xf>
    <xf numFmtId="172" fontId="0" fillId="33" borderId="36" xfId="0" applyNumberFormat="1" applyFill="1" applyBorder="1" applyAlignment="1">
      <alignment horizontal="center"/>
    </xf>
    <xf numFmtId="172" fontId="0" fillId="26" borderId="38" xfId="0" applyNumberFormat="1" applyFill="1" applyBorder="1" applyAlignment="1">
      <alignment horizontal="center"/>
    </xf>
    <xf numFmtId="1" fontId="0" fillId="4" borderId="50" xfId="0" applyNumberFormat="1" applyFill="1" applyBorder="1" applyAlignment="1">
      <alignment horizontal="center"/>
    </xf>
    <xf numFmtId="1" fontId="0" fillId="32" borderId="16" xfId="0" applyNumberFormat="1" applyFill="1" applyBorder="1" applyAlignment="1">
      <alignment horizontal="center"/>
    </xf>
    <xf numFmtId="172" fontId="0" fillId="33" borderId="16" xfId="0" applyNumberFormat="1" applyFill="1" applyBorder="1" applyAlignment="1">
      <alignment horizontal="center"/>
    </xf>
    <xf numFmtId="172" fontId="0" fillId="26" borderId="29" xfId="0" applyNumberFormat="1" applyFill="1" applyBorder="1" applyAlignment="1">
      <alignment horizontal="center"/>
    </xf>
    <xf numFmtId="172" fontId="0" fillId="4" borderId="50" xfId="0" applyNumberFormat="1" applyFill="1" applyBorder="1" applyAlignment="1">
      <alignment horizontal="center"/>
    </xf>
    <xf numFmtId="172" fontId="0" fillId="32" borderId="16" xfId="0" applyNumberFormat="1" applyFill="1" applyBorder="1" applyAlignment="1">
      <alignment horizontal="center"/>
    </xf>
    <xf numFmtId="172" fontId="0" fillId="10" borderId="16" xfId="0" applyNumberFormat="1" applyFill="1" applyBorder="1" applyAlignment="1">
      <alignment horizontal="center"/>
    </xf>
    <xf numFmtId="2" fontId="0" fillId="4" borderId="75" xfId="0" applyNumberFormat="1" applyFill="1" applyBorder="1" applyAlignment="1">
      <alignment horizontal="center"/>
    </xf>
    <xf numFmtId="2" fontId="0" fillId="32" borderId="37" xfId="0" applyNumberFormat="1" applyFill="1" applyBorder="1" applyAlignment="1">
      <alignment horizontal="center"/>
    </xf>
    <xf numFmtId="2" fontId="0" fillId="6" borderId="37" xfId="0" applyNumberFormat="1" applyFill="1" applyBorder="1" applyAlignment="1">
      <alignment horizontal="center"/>
    </xf>
    <xf numFmtId="2" fontId="0" fillId="8" borderId="37" xfId="0" applyNumberFormat="1" applyFill="1" applyBorder="1" applyAlignment="1">
      <alignment horizontal="center"/>
    </xf>
    <xf numFmtId="2" fontId="0" fillId="10" borderId="37" xfId="0" applyNumberFormat="1" applyFill="1" applyBorder="1" applyAlignment="1">
      <alignment horizontal="center"/>
    </xf>
    <xf numFmtId="2" fontId="0" fillId="33" borderId="37" xfId="0" applyNumberFormat="1" applyFill="1" applyBorder="1" applyAlignment="1">
      <alignment horizontal="center"/>
    </xf>
    <xf numFmtId="2" fontId="0" fillId="26" borderId="39" xfId="0" applyNumberFormat="1" applyFill="1" applyBorder="1" applyAlignment="1">
      <alignment horizontal="center"/>
    </xf>
    <xf numFmtId="1" fontId="0" fillId="33" borderId="36" xfId="0" applyNumberFormat="1" applyFill="1" applyBorder="1" applyAlignment="1">
      <alignment horizontal="center"/>
    </xf>
    <xf numFmtId="1" fontId="0" fillId="8" borderId="36" xfId="0" applyNumberFormat="1" applyFill="1" applyBorder="1" applyAlignment="1">
      <alignment horizontal="center"/>
    </xf>
    <xf numFmtId="1" fontId="0" fillId="26" borderId="38" xfId="0" applyNumberFormat="1" applyFill="1" applyBorder="1" applyAlignment="1">
      <alignment horizontal="center"/>
    </xf>
    <xf numFmtId="0" fontId="0" fillId="17" borderId="5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8" fontId="0" fillId="33" borderId="37" xfId="0" applyNumberFormat="1" applyFill="1" applyBorder="1" applyAlignment="1">
      <alignment horizontal="center"/>
    </xf>
    <xf numFmtId="168" fontId="0" fillId="26" borderId="39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6" fillId="0" borderId="0" xfId="0" applyFont="1" applyAlignment="1">
      <alignment horizontal="left"/>
    </xf>
    <xf numFmtId="0" fontId="0" fillId="11" borderId="5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25" borderId="55" xfId="0" applyFill="1" applyBorder="1" applyAlignment="1">
      <alignment horizontal="center"/>
    </xf>
    <xf numFmtId="0" fontId="0" fillId="25" borderId="7" xfId="0" applyFill="1" applyBorder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7" borderId="5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9" borderId="55" xfId="0" applyFill="1" applyBorder="1" applyAlignment="1">
      <alignment horizontal="center"/>
    </xf>
    <xf numFmtId="0" fontId="0" fillId="39" borderId="7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4" borderId="55" xfId="0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58" xfId="0" applyFill="1" applyBorder="1" applyAlignment="1">
      <alignment horizontal="center"/>
    </xf>
    <xf numFmtId="0" fontId="0" fillId="4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2F3"/>
      <color rgb="FFFF5757"/>
      <color rgb="FFBA6AD0"/>
      <color rgb="FFE6ABE7"/>
      <color rgb="FFCC00CC"/>
      <color rgb="FFA1E9D1"/>
      <color rgb="FF31CF9A"/>
      <color rgb="FFD067D3"/>
      <color rgb="FFFFC5FF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Tubo 1 -</a:t>
            </a:r>
            <a:r>
              <a:rPr lang="en-US" baseline="0"/>
              <a:t> Ajuste de f(n)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757"/>
              </a:solidFill>
              <a:ln w="9525">
                <a:solidFill>
                  <a:srgbClr val="FF5757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EE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f(n)'!$L$4:$L$6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'1 extremo fechado - f(n)'!$M$4:$M$6</c:f>
              <c:numCache>
                <c:formatCode>General</c:formatCode>
                <c:ptCount val="3"/>
                <c:pt idx="0">
                  <c:v>1337</c:v>
                </c:pt>
                <c:pt idx="1">
                  <c:v>3978</c:v>
                </c:pt>
                <c:pt idx="2">
                  <c:v>6660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6-41A9-8A80-5C04071AD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</c:valAx>
      <c:valAx>
        <c:axId val="7926366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2 - Ajuste de f(n)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7111"/>
              </a:solidFill>
              <a:ln w="9525">
                <a:solidFill>
                  <a:srgbClr val="FF711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EA5F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f(n)'!$L$19:$L$25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extremo fechado - f(n)'!$M$19:$M$25</c:f>
              <c:numCache>
                <c:formatCode>General</c:formatCode>
                <c:ptCount val="7"/>
                <c:pt idx="0" formatCode="0.0">
                  <c:v>1700</c:v>
                </c:pt>
                <c:pt idx="1">
                  <c:v>2801</c:v>
                </c:pt>
                <c:pt idx="2">
                  <c:v>3947</c:v>
                </c:pt>
                <c:pt idx="3">
                  <c:v>5074</c:v>
                </c:pt>
                <c:pt idx="4">
                  <c:v>6205</c:v>
                </c:pt>
                <c:pt idx="5">
                  <c:v>7384</c:v>
                </c:pt>
                <c:pt idx="6">
                  <c:v>8442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5-475E-B8F6-9BA8EE629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</c:valAx>
      <c:valAx>
        <c:axId val="7926366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3 - Ajuste</a:t>
            </a:r>
            <a:r>
              <a:rPr lang="en-US" sz="1200" baseline="0"/>
              <a:t>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DEA9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 extremo fechado - f(n)'!$M$34:$M$39</c:f>
              <c:numCache>
                <c:formatCode>General</c:formatCode>
                <c:ptCount val="6"/>
                <c:pt idx="0">
                  <c:v>1449</c:v>
                </c:pt>
                <c:pt idx="1">
                  <c:v>2467</c:v>
                </c:pt>
                <c:pt idx="2">
                  <c:v>3441</c:v>
                </c:pt>
                <c:pt idx="3">
                  <c:v>4412</c:v>
                </c:pt>
                <c:pt idx="4">
                  <c:v>5415</c:v>
                </c:pt>
                <c:pt idx="5">
                  <c:v>6442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72-4FC3-B13C-E14C6E8E0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</c:valAx>
      <c:valAx>
        <c:axId val="7926366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4 - Ajuste de f(n)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f(n)'!$L$49:$L$59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f(n)'!$M$49:$M$59</c:f>
              <c:numCache>
                <c:formatCode>General</c:formatCode>
                <c:ptCount val="11"/>
                <c:pt idx="0" formatCode="0.0">
                  <c:v>1412</c:v>
                </c:pt>
                <c:pt idx="1">
                  <c:v>2383</c:v>
                </c:pt>
                <c:pt idx="2">
                  <c:v>3315</c:v>
                </c:pt>
                <c:pt idx="3">
                  <c:v>4250</c:v>
                </c:pt>
                <c:pt idx="4">
                  <c:v>5222</c:v>
                </c:pt>
                <c:pt idx="5">
                  <c:v>6146</c:v>
                </c:pt>
                <c:pt idx="6">
                  <c:v>7116</c:v>
                </c:pt>
                <c:pt idx="7">
                  <c:v>8052</c:v>
                </c:pt>
                <c:pt idx="8">
                  <c:v>9007</c:v>
                </c:pt>
                <c:pt idx="9">
                  <c:v>9985</c:v>
                </c:pt>
                <c:pt idx="10">
                  <c:v>10867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82-4574-A23C-3C72F5731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</c:valAx>
      <c:valAx>
        <c:axId val="792636687"/>
        <c:scaling>
          <c:orientation val="minMax"/>
          <c:max val="12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5 - Ajuste de f(n)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f(n)'!$L$64:$L$71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 extremo fechado - f(n)'!$M$64:$M$71</c:f>
              <c:numCache>
                <c:formatCode>General</c:formatCode>
                <c:ptCount val="8"/>
                <c:pt idx="0">
                  <c:v>1108</c:v>
                </c:pt>
                <c:pt idx="1">
                  <c:v>1937</c:v>
                </c:pt>
                <c:pt idx="2">
                  <c:v>2709</c:v>
                </c:pt>
                <c:pt idx="3">
                  <c:v>3497</c:v>
                </c:pt>
                <c:pt idx="4">
                  <c:v>4217</c:v>
                </c:pt>
                <c:pt idx="5">
                  <c:v>4993</c:v>
                </c:pt>
                <c:pt idx="6">
                  <c:v>5833</c:v>
                </c:pt>
                <c:pt idx="7">
                  <c:v>6587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39-405D-9700-762A987BA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  <c:majorUnit val="1"/>
      </c:valAx>
      <c:valAx>
        <c:axId val="792636687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6 - Ajuste de f(n)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8378D2"/>
              </a:solidFill>
              <a:ln w="9525">
                <a:solidFill>
                  <a:srgbClr val="8378D2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594BC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f(n)'!$L$79:$L$89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f(n)'!$M$79:$M$89</c:f>
              <c:numCache>
                <c:formatCode>General</c:formatCode>
                <c:ptCount val="11"/>
                <c:pt idx="0">
                  <c:v>1025</c:v>
                </c:pt>
                <c:pt idx="1">
                  <c:v>1765</c:v>
                </c:pt>
                <c:pt idx="2">
                  <c:v>2464</c:v>
                </c:pt>
                <c:pt idx="3">
                  <c:v>3153</c:v>
                </c:pt>
                <c:pt idx="4">
                  <c:v>3878</c:v>
                </c:pt>
                <c:pt idx="5">
                  <c:v>4575</c:v>
                </c:pt>
                <c:pt idx="6">
                  <c:v>5291</c:v>
                </c:pt>
                <c:pt idx="7">
                  <c:v>5990</c:v>
                </c:pt>
                <c:pt idx="8">
                  <c:v>6710</c:v>
                </c:pt>
                <c:pt idx="9">
                  <c:v>7442</c:v>
                </c:pt>
                <c:pt idx="10">
                  <c:v>8140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68-45CF-9319-96C0BD740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  <c:majorUnit val="2"/>
      </c:valAx>
      <c:valAx>
        <c:axId val="792636687"/>
        <c:scaling>
          <c:orientation val="minMax"/>
          <c:max val="8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7 - Ajuste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A6AD0"/>
              </a:solidFill>
              <a:ln w="9525">
                <a:solidFill>
                  <a:srgbClr val="BA6AD0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5757"/>
                </a:solidFill>
                <a:ln w="9525">
                  <a:solidFill>
                    <a:srgbClr val="FF575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2A6-4EA7-B45D-5CD49D418983}"/>
              </c:ext>
            </c:extLst>
          </c:dPt>
          <c:trendline>
            <c:spPr>
              <a:ln w="12700" cap="rnd" cmpd="sng">
                <a:solidFill>
                  <a:srgbClr val="9D3AB8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f(n)'!$L$94:$L$103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 extremo fechado - f(n)'!$M$94:$M$103</c:f>
              <c:numCache>
                <c:formatCode>General</c:formatCode>
                <c:ptCount val="10"/>
                <c:pt idx="0">
                  <c:v>1259</c:v>
                </c:pt>
                <c:pt idx="1">
                  <c:v>1638</c:v>
                </c:pt>
                <c:pt idx="2">
                  <c:v>2296</c:v>
                </c:pt>
                <c:pt idx="3">
                  <c:v>2997</c:v>
                </c:pt>
                <c:pt idx="4">
                  <c:v>3616</c:v>
                </c:pt>
                <c:pt idx="5">
                  <c:v>4283</c:v>
                </c:pt>
                <c:pt idx="6">
                  <c:v>4961</c:v>
                </c:pt>
                <c:pt idx="7">
                  <c:v>5593</c:v>
                </c:pt>
                <c:pt idx="8">
                  <c:v>6277</c:v>
                </c:pt>
                <c:pt idx="9">
                  <c:v>6931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6-4EA7-B45D-5CD49D418983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757"/>
              </a:solidFill>
              <a:ln w="9525">
                <a:solidFill>
                  <a:srgbClr val="FF5757"/>
                </a:solidFill>
              </a:ln>
              <a:effectLst/>
            </c:spPr>
          </c:marker>
          <c:xVal>
            <c:numRef>
              <c:f>'1 extremo fechado - f(n)'!$L$94:$L$94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'1 extremo fechado - f(n)'!$M$94:$M$94</c:f>
              <c:numCache>
                <c:formatCode>General</c:formatCode>
                <c:ptCount val="1"/>
                <c:pt idx="0">
                  <c:v>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6-4EA7-B45D-5CD49D418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  <c:majorUnit val="1"/>
      </c:valAx>
      <c:valAx>
        <c:axId val="792636687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7 - Resíduos de f(n)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31006306173861"/>
          <c:y val="0.19301712853862865"/>
          <c:w val="0.76320127265098126"/>
          <c:h val="0.59614403181863551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BA6AD0"/>
                </a:solidFill>
              </a:ln>
              <a:effectLst/>
            </c:spPr>
          </c:marker>
          <c:dPt>
            <c:idx val="0"/>
            <c:marker>
              <c:symbol val="x"/>
              <c:size val="5"/>
              <c:spPr>
                <a:noFill/>
                <a:ln w="15875">
                  <a:solidFill>
                    <a:srgbClr val="FF575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D6C-49F5-AA9D-6A59F28140D1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 extremo fechado - f(n)'!$N$94:$N$103</c:f>
                <c:numCache>
                  <c:formatCode>General</c:formatCode>
                  <c:ptCount val="10"/>
                  <c:pt idx="0">
                    <c:v>2.458984375</c:v>
                  </c:pt>
                  <c:pt idx="1">
                    <c:v>3.19921875</c:v>
                  </c:pt>
                  <c:pt idx="2">
                    <c:v>4.484375</c:v>
                  </c:pt>
                  <c:pt idx="3">
                    <c:v>5.853515625</c:v>
                  </c:pt>
                  <c:pt idx="4">
                    <c:v>7.0625</c:v>
                  </c:pt>
                  <c:pt idx="5">
                    <c:v>8.365234375</c:v>
                  </c:pt>
                  <c:pt idx="6">
                    <c:v>9.689453125</c:v>
                  </c:pt>
                  <c:pt idx="7">
                    <c:v>10.923828125</c:v>
                  </c:pt>
                  <c:pt idx="8">
                    <c:v>12.259765625</c:v>
                  </c:pt>
                  <c:pt idx="9">
                    <c:v>13.537109375</c:v>
                  </c:pt>
                </c:numCache>
              </c:numRef>
            </c:plus>
            <c:minus>
              <c:numRef>
                <c:f>'1 extremo fechado - f(n)'!$N$94:$N$103</c:f>
                <c:numCache>
                  <c:formatCode>General</c:formatCode>
                  <c:ptCount val="10"/>
                  <c:pt idx="0">
                    <c:v>2.458984375</c:v>
                  </c:pt>
                  <c:pt idx="1">
                    <c:v>3.19921875</c:v>
                  </c:pt>
                  <c:pt idx="2">
                    <c:v>4.484375</c:v>
                  </c:pt>
                  <c:pt idx="3">
                    <c:v>5.853515625</c:v>
                  </c:pt>
                  <c:pt idx="4">
                    <c:v>7.0625</c:v>
                  </c:pt>
                  <c:pt idx="5">
                    <c:v>8.365234375</c:v>
                  </c:pt>
                  <c:pt idx="6">
                    <c:v>9.689453125</c:v>
                  </c:pt>
                  <c:pt idx="7">
                    <c:v>10.923828125</c:v>
                  </c:pt>
                  <c:pt idx="8">
                    <c:v>12.259765625</c:v>
                  </c:pt>
                  <c:pt idx="9">
                    <c:v>13.537109375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f(n)'!$L$94:$L$103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 extremo fechado - f(n)'!$P$94:$P$103</c:f>
              <c:numCache>
                <c:formatCode>0</c:formatCode>
                <c:ptCount val="10"/>
                <c:pt idx="0">
                  <c:v>180.21818181818298</c:v>
                </c:pt>
                <c:pt idx="1">
                  <c:v>-86.63030303030223</c:v>
                </c:pt>
                <c:pt idx="2">
                  <c:v>-74.478787878787443</c:v>
                </c:pt>
                <c:pt idx="3">
                  <c:v>-19.32727272727243</c:v>
                </c:pt>
                <c:pt idx="4">
                  <c:v>-46.175757575757416</c:v>
                </c:pt>
                <c:pt idx="5">
                  <c:v>-25.024242424242402</c:v>
                </c:pt>
                <c:pt idx="6">
                  <c:v>7.127272727271702</c:v>
                </c:pt>
                <c:pt idx="7">
                  <c:v>-6.7212121212123748</c:v>
                </c:pt>
                <c:pt idx="8">
                  <c:v>31.430303030301729</c:v>
                </c:pt>
                <c:pt idx="9">
                  <c:v>39.581818181817653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0F-40A3-93C9-18806DE2892D}"/>
            </c:ext>
          </c:extLst>
        </c:ser>
        <c:ser>
          <c:idx val="1"/>
          <c:order val="1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FF5757"/>
                </a:solidFill>
              </a:ln>
              <a:effectLst/>
            </c:spPr>
          </c:marker>
          <c:xVal>
            <c:numRef>
              <c:f>'1 extremo fechado - f(n)'!$L$94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'1 extremo fechado - f(n)'!$P$94</c:f>
              <c:numCache>
                <c:formatCode>0</c:formatCode>
                <c:ptCount val="1"/>
                <c:pt idx="0">
                  <c:v>180.21818181818298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6C-49F5-AA9D-6A59F28140D1}"/>
            </c:ext>
          </c:extLst>
        </c:ser>
        <c:ser>
          <c:idx val="2"/>
          <c:order val="2"/>
          <c:tx>
            <c:v>+u(y)</c:v>
          </c:tx>
          <c:spPr>
            <a:ln w="15875" cap="rnd">
              <a:solidFill>
                <a:srgbClr val="9D3AB8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10.199999999999999</c:v>
              </c:pt>
            </c:numLit>
          </c:xVal>
          <c:yVal>
            <c:numRef>
              <c:f>('1 extremo fechado - f(n)'!$U$98,'1 extremo fechado - f(n)'!$U$98)</c:f>
              <c:numCache>
                <c:formatCode>0</c:formatCode>
                <c:ptCount val="2"/>
                <c:pt idx="0">
                  <c:v>160.17647464688139</c:v>
                </c:pt>
                <c:pt idx="1">
                  <c:v>160.17647464688139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6C-49F5-AA9D-6A59F28140D1}"/>
            </c:ext>
          </c:extLst>
        </c:ser>
        <c:ser>
          <c:idx val="3"/>
          <c:order val="3"/>
          <c:tx>
            <c:v>-u(y)</c:v>
          </c:tx>
          <c:spPr>
            <a:ln w="15875" cap="rnd">
              <a:solidFill>
                <a:srgbClr val="9D3AB8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10.199999999999999</c:v>
              </c:pt>
            </c:numLit>
          </c:xVal>
          <c:yVal>
            <c:numRef>
              <c:f>('1 extremo fechado - f(n)'!$U$101,'1 extremo fechado - f(n)'!$U$101)</c:f>
              <c:numCache>
                <c:formatCode>0</c:formatCode>
                <c:ptCount val="2"/>
                <c:pt idx="0">
                  <c:v>-160.17647464688139</c:v>
                </c:pt>
                <c:pt idx="1">
                  <c:v>-160.17647464688139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C-49F5-AA9D-6A59F2814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200"/>
        <c:crossBetween val="midCat"/>
        <c:majorUnit val="1"/>
      </c:valAx>
      <c:valAx>
        <c:axId val="792636687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534890612917605"/>
          <c:y val="9.6752146722255059E-2"/>
          <c:w val="0.82251430113115986"/>
          <c:h val="6.8852141525330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7 - Resíduos de f(n) sem</a:t>
            </a:r>
            <a:r>
              <a:rPr lang="en-US" sz="1200" baseline="0"/>
              <a:t> um ponto duvidoso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81750235255441"/>
          <c:y val="0.2025136662281061"/>
          <c:w val="0.79660696300193157"/>
          <c:h val="0.5866474941291581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BA6AD0"/>
                </a:solidFill>
              </a:ln>
              <a:effectLst/>
            </c:spPr>
          </c:marker>
          <c:dPt>
            <c:idx val="2"/>
            <c:marker>
              <c:symbol val="x"/>
              <c:size val="5"/>
              <c:spPr>
                <a:noFill/>
                <a:ln w="15875">
                  <a:solidFill>
                    <a:srgbClr val="FF575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000-47FB-8ABC-22887C0DFBCF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 extremo fechado - f(n)'!$N$109:$N$117</c:f>
                <c:numCache>
                  <c:formatCode>General</c:formatCode>
                  <c:ptCount val="9"/>
                  <c:pt idx="0">
                    <c:v>3.19921875</c:v>
                  </c:pt>
                  <c:pt idx="1">
                    <c:v>4.484375</c:v>
                  </c:pt>
                  <c:pt idx="2">
                    <c:v>5.853515625</c:v>
                  </c:pt>
                  <c:pt idx="3">
                    <c:v>7.0625</c:v>
                  </c:pt>
                  <c:pt idx="4">
                    <c:v>8.365234375</c:v>
                  </c:pt>
                  <c:pt idx="5">
                    <c:v>9.689453125</c:v>
                  </c:pt>
                  <c:pt idx="6">
                    <c:v>10.923828125</c:v>
                  </c:pt>
                  <c:pt idx="7">
                    <c:v>12.259765625</c:v>
                  </c:pt>
                  <c:pt idx="8">
                    <c:v>13.537109375</c:v>
                  </c:pt>
                </c:numCache>
              </c:numRef>
            </c:plus>
            <c:minus>
              <c:numRef>
                <c:f>'1 extremo fechado - f(n)'!$N$109:$N$117</c:f>
                <c:numCache>
                  <c:formatCode>General</c:formatCode>
                  <c:ptCount val="9"/>
                  <c:pt idx="0">
                    <c:v>3.19921875</c:v>
                  </c:pt>
                  <c:pt idx="1">
                    <c:v>4.484375</c:v>
                  </c:pt>
                  <c:pt idx="2">
                    <c:v>5.853515625</c:v>
                  </c:pt>
                  <c:pt idx="3">
                    <c:v>7.0625</c:v>
                  </c:pt>
                  <c:pt idx="4">
                    <c:v>8.365234375</c:v>
                  </c:pt>
                  <c:pt idx="5">
                    <c:v>9.689453125</c:v>
                  </c:pt>
                  <c:pt idx="6">
                    <c:v>10.923828125</c:v>
                  </c:pt>
                  <c:pt idx="7">
                    <c:v>12.259765625</c:v>
                  </c:pt>
                  <c:pt idx="8">
                    <c:v>13.537109375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f(n)'!$L$109:$L$117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'1 extremo fechado - f(n)'!$P$109:$P$117</c:f>
              <c:numCache>
                <c:formatCode>0</c:formatCode>
                <c:ptCount val="9"/>
                <c:pt idx="0">
                  <c:v>-6.5333333333337578</c:v>
                </c:pt>
                <c:pt idx="1">
                  <c:v>-9.4000000000005457</c:v>
                </c:pt>
                <c:pt idx="2">
                  <c:v>30.733333333333121</c:v>
                </c:pt>
                <c:pt idx="3">
                  <c:v>-11.133333333333667</c:v>
                </c:pt>
                <c:pt idx="4">
                  <c:v>-5</c:v>
                </c:pt>
                <c:pt idx="5">
                  <c:v>12.133333333333212</c:v>
                </c:pt>
                <c:pt idx="6">
                  <c:v>-16.733333333333576</c:v>
                </c:pt>
                <c:pt idx="7">
                  <c:v>6.3999999999996362</c:v>
                </c:pt>
                <c:pt idx="8">
                  <c:v>-0.46666666666715173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5-49A9-A775-47C2D08A8DFF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9D3AB8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1.8</c:v>
              </c:pt>
              <c:pt idx="1">
                <c:v>10.199999999999999</c:v>
              </c:pt>
            </c:numLit>
          </c:xVal>
          <c:yVal>
            <c:numRef>
              <c:f>('1 extremo fechado - f(n)'!$U$113,'1 extremo fechado - f(n)'!$U$113)</c:f>
              <c:numCache>
                <c:formatCode>0</c:formatCode>
                <c:ptCount val="2"/>
                <c:pt idx="0">
                  <c:v>31.102901411129938</c:v>
                </c:pt>
                <c:pt idx="1">
                  <c:v>31.102901411129938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6-4576-9807-8BC855352934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9D3AB8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1.8</c:v>
              </c:pt>
              <c:pt idx="1">
                <c:v>10.199999999999999</c:v>
              </c:pt>
            </c:numLit>
          </c:xVal>
          <c:yVal>
            <c:numRef>
              <c:f>('1 extremo fechado - f(n)'!$U$116,'1 extremo fechado - f(n)'!$U$116)</c:f>
              <c:numCache>
                <c:formatCode>0</c:formatCode>
                <c:ptCount val="2"/>
                <c:pt idx="0">
                  <c:v>-31.102901411129938</c:v>
                </c:pt>
                <c:pt idx="1">
                  <c:v>-31.102901411129938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56-4576-9807-8BC855352934}"/>
            </c:ext>
          </c:extLst>
        </c:ser>
        <c:ser>
          <c:idx val="3"/>
          <c:order val="3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BA6AD0"/>
                </a:solidFill>
              </a:ln>
              <a:effectLst/>
            </c:spPr>
          </c:marker>
          <c:xVal>
            <c:numRef>
              <c:f>'1 extremo fechado - f(n)'!$L$113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'1 extremo fechado - f(n)'!$P$113</c:f>
              <c:numCache>
                <c:formatCode>0</c:formatCode>
                <c:ptCount val="1"/>
                <c:pt idx="0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0-47FB-8ABC-22887C0D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40"/>
        <c:crossBetween val="midCat"/>
        <c:majorUnit val="1"/>
      </c:valAx>
      <c:valAx>
        <c:axId val="792636687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7207453246548407E-2"/>
          <c:y val="9.6752146722255059E-2"/>
          <c:w val="0.84106680509013798"/>
          <c:h val="9.7341754593763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7 - Ajuste de f(n) sem um ponto duvidoso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A6AD0"/>
              </a:solidFill>
              <a:ln w="9525">
                <a:solidFill>
                  <a:srgbClr val="BA6AD0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FF5757"/>
                </a:solidFill>
                <a:ln w="9525">
                  <a:solidFill>
                    <a:srgbClr val="FF575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BF3-408E-9681-0CF8FA84C10D}"/>
              </c:ext>
            </c:extLst>
          </c:dPt>
          <c:trendline>
            <c:spPr>
              <a:ln w="12700" cap="rnd">
                <a:solidFill>
                  <a:srgbClr val="9D3AB8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f(n)'!$L$109:$L$117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'1 extremo fechado - f(n)'!$M$109:$M$117</c:f>
              <c:numCache>
                <c:formatCode>General</c:formatCode>
                <c:ptCount val="9"/>
                <c:pt idx="0">
                  <c:v>1638</c:v>
                </c:pt>
                <c:pt idx="1">
                  <c:v>2296</c:v>
                </c:pt>
                <c:pt idx="2">
                  <c:v>2997</c:v>
                </c:pt>
                <c:pt idx="3">
                  <c:v>3616</c:v>
                </c:pt>
                <c:pt idx="4">
                  <c:v>4283</c:v>
                </c:pt>
                <c:pt idx="5">
                  <c:v>4961</c:v>
                </c:pt>
                <c:pt idx="6">
                  <c:v>5593</c:v>
                </c:pt>
                <c:pt idx="7">
                  <c:v>6277</c:v>
                </c:pt>
                <c:pt idx="8">
                  <c:v>6931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E4-4CDA-A318-508672FC0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  <c:majorUnit val="1"/>
      </c:valAx>
      <c:valAx>
        <c:axId val="7926366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6 - Resíduos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8128668855819"/>
          <c:y val="0.21114939127789076"/>
          <c:w val="0.80285263951154195"/>
          <c:h val="0.5920881478183561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8378D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f(n)'!$L$79:$L$89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f(n)'!$P$79:$P$89</c:f>
              <c:numCache>
                <c:formatCode>0</c:formatCode>
                <c:ptCount val="11"/>
                <c:pt idx="0">
                  <c:v>-9.4545454545450411</c:v>
                </c:pt>
                <c:pt idx="1">
                  <c:v>20.472727272727525</c:v>
                </c:pt>
                <c:pt idx="2">
                  <c:v>9.4000000000000909</c:v>
                </c:pt>
                <c:pt idx="3">
                  <c:v>-11.672727272727116</c:v>
                </c:pt>
                <c:pt idx="4">
                  <c:v>3.2545454545456778</c:v>
                </c:pt>
                <c:pt idx="5">
                  <c:v>-9.8181818181819835</c:v>
                </c:pt>
                <c:pt idx="6">
                  <c:v>-3.8909090909091901</c:v>
                </c:pt>
                <c:pt idx="7">
                  <c:v>-14.963636363636397</c:v>
                </c:pt>
                <c:pt idx="8">
                  <c:v>-5.0363636363636033</c:v>
                </c:pt>
                <c:pt idx="9">
                  <c:v>16.89090909090919</c:v>
                </c:pt>
                <c:pt idx="10">
                  <c:v>4.8181818181819835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C9-4CC3-A17A-E429C76743B1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594BC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11.2</c:v>
              </c:pt>
            </c:numLit>
          </c:xVal>
          <c:yVal>
            <c:numRef>
              <c:f>('1 extremo fechado - f(n)'!$U$83,'1 extremo fechado - f(n)'!$U$83)</c:f>
              <c:numCache>
                <c:formatCode>0</c:formatCode>
                <c:ptCount val="2"/>
                <c:pt idx="0">
                  <c:v>25.060411856636708</c:v>
                </c:pt>
                <c:pt idx="1">
                  <c:v>25.060411856636708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9B-41C9-884F-B21FFC67E96B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594BC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11.2</c:v>
              </c:pt>
            </c:numLit>
          </c:xVal>
          <c:yVal>
            <c:numRef>
              <c:f>('1 extremo fechado - f(n)'!$U$86,'1 extremo fechado - f(n)'!$U$86)</c:f>
              <c:numCache>
                <c:formatCode>0</c:formatCode>
                <c:ptCount val="2"/>
                <c:pt idx="0">
                  <c:v>-25.060411856636708</c:v>
                </c:pt>
                <c:pt idx="1">
                  <c:v>-25.060411856636708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9B-41C9-884F-B21FFC67E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30"/>
        <c:crossBetween val="midCat"/>
      </c:valAx>
      <c:valAx>
        <c:axId val="792636687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560158677574267"/>
          <c:y val="0.112319452450171"/>
          <c:w val="0.64561867642932291"/>
          <c:h val="7.36712160904171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5 - Resíduos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8128668855819"/>
          <c:y val="0.19479834942084603"/>
          <c:w val="0.79772762039008704"/>
          <c:h val="0.60704149183231793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f(n)'!$N$64:$N$71</c:f>
                <c:numCache>
                  <c:formatCode>General</c:formatCode>
                  <c:ptCount val="8"/>
                  <c:pt idx="0">
                    <c:v>2.1640625</c:v>
                  </c:pt>
                  <c:pt idx="1">
                    <c:v>3.783203125</c:v>
                  </c:pt>
                  <c:pt idx="2">
                    <c:v>5.291015625</c:v>
                  </c:pt>
                  <c:pt idx="3">
                    <c:v>6.830078125</c:v>
                  </c:pt>
                  <c:pt idx="4">
                    <c:v>8.236328125</c:v>
                  </c:pt>
                  <c:pt idx="5">
                    <c:v>9.751953125</c:v>
                  </c:pt>
                  <c:pt idx="6">
                    <c:v>11.392578125</c:v>
                  </c:pt>
                  <c:pt idx="7">
                    <c:v>12.865234375</c:v>
                  </c:pt>
                </c:numCache>
              </c:numRef>
            </c:plus>
            <c:minus>
              <c:numRef>
                <c:f>'1 extremo fechado - f(n)'!$N$64:$N$71</c:f>
                <c:numCache>
                  <c:formatCode>General</c:formatCode>
                  <c:ptCount val="8"/>
                  <c:pt idx="0">
                    <c:v>2.1640625</c:v>
                  </c:pt>
                  <c:pt idx="1">
                    <c:v>3.783203125</c:v>
                  </c:pt>
                  <c:pt idx="2">
                    <c:v>5.291015625</c:v>
                  </c:pt>
                  <c:pt idx="3">
                    <c:v>6.830078125</c:v>
                  </c:pt>
                  <c:pt idx="4">
                    <c:v>8.236328125</c:v>
                  </c:pt>
                  <c:pt idx="5">
                    <c:v>9.751953125</c:v>
                  </c:pt>
                  <c:pt idx="6">
                    <c:v>11.392578125</c:v>
                  </c:pt>
                  <c:pt idx="7">
                    <c:v>12.865234375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f(n)'!$L$64:$L$71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 extremo fechado - f(n)'!$P$64:$P$71</c:f>
              <c:numCache>
                <c:formatCode>0</c:formatCode>
                <c:ptCount val="8"/>
                <c:pt idx="0">
                  <c:v>-26.916666666666515</c:v>
                </c:pt>
                <c:pt idx="1">
                  <c:v>23.452380952380963</c:v>
                </c:pt>
                <c:pt idx="2">
                  <c:v>16.821428571428442</c:v>
                </c:pt>
                <c:pt idx="3">
                  <c:v>26.190476190476147</c:v>
                </c:pt>
                <c:pt idx="4">
                  <c:v>-32.440476190476147</c:v>
                </c:pt>
                <c:pt idx="5">
                  <c:v>-35.071428571429351</c:v>
                </c:pt>
                <c:pt idx="6">
                  <c:v>26.297619047618355</c:v>
                </c:pt>
                <c:pt idx="7">
                  <c:v>1.6666666666660603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51-4F55-BFF9-72374D09AE49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8.1999999999999993</c:v>
              </c:pt>
            </c:numLit>
          </c:xVal>
          <c:yVal>
            <c:numRef>
              <c:f>('1 extremo fechado - f(n)'!$U$68,'1 extremo fechado - f(n)'!$U$68)</c:f>
              <c:numCache>
                <c:formatCode>0</c:formatCode>
                <c:ptCount val="2"/>
                <c:pt idx="0">
                  <c:v>58.992399295190062</c:v>
                </c:pt>
                <c:pt idx="1">
                  <c:v>58.992399295190062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7-4AE7-B9E4-4A6CDDFD495A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8.1999999999999993</c:v>
              </c:pt>
            </c:numLit>
          </c:xVal>
          <c:yVal>
            <c:numRef>
              <c:f>('1 extremo fechado - f(n)'!$U$71,'1 extremo fechado - f(n)'!$U$71)</c:f>
              <c:numCache>
                <c:formatCode>0</c:formatCode>
                <c:ptCount val="2"/>
                <c:pt idx="0">
                  <c:v>-58.992399295190062</c:v>
                </c:pt>
                <c:pt idx="1">
                  <c:v>-58.992399295190062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7-4AE7-B9E4-4A6CDDFD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80"/>
        <c:crossBetween val="midCat"/>
        <c:majorUnit val="1"/>
      </c:valAx>
      <c:valAx>
        <c:axId val="792636687"/>
        <c:scaling>
          <c:orientation val="minMax"/>
          <c:max val="8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262192449582706"/>
          <c:y val="0.10510301361063663"/>
          <c:w val="0.66051698782890078"/>
          <c:h val="6.9731803728245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4 - Resíduos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8128668855819"/>
          <c:y val="0.20173952077055307"/>
          <c:w val="0.81179162635128865"/>
          <c:h val="0.602030426824600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f(n)'!$N$49:$N$59</c:f>
                <c:numCache>
                  <c:formatCode>General</c:formatCode>
                  <c:ptCount val="11"/>
                  <c:pt idx="0">
                    <c:v>0.689453125</c:v>
                  </c:pt>
                  <c:pt idx="1">
                    <c:v>1.16357421875</c:v>
                  </c:pt>
                  <c:pt idx="2">
                    <c:v>1.61865234375</c:v>
                  </c:pt>
                  <c:pt idx="3">
                    <c:v>2.0751953125</c:v>
                  </c:pt>
                  <c:pt idx="4">
                    <c:v>2.5498046875</c:v>
                  </c:pt>
                  <c:pt idx="5">
                    <c:v>3.0009765625</c:v>
                  </c:pt>
                  <c:pt idx="6">
                    <c:v>3.474609375</c:v>
                  </c:pt>
                  <c:pt idx="7">
                    <c:v>3.931640625</c:v>
                  </c:pt>
                  <c:pt idx="8">
                    <c:v>4.39794921875</c:v>
                  </c:pt>
                  <c:pt idx="9">
                    <c:v>4.87548828125</c:v>
                  </c:pt>
                  <c:pt idx="10">
                    <c:v>5.30615234375</c:v>
                  </c:pt>
                </c:numCache>
              </c:numRef>
            </c:plus>
            <c:minus>
              <c:numRef>
                <c:f>'1 extremo fechado - f(n)'!$N$49:$N$59</c:f>
                <c:numCache>
                  <c:formatCode>General</c:formatCode>
                  <c:ptCount val="11"/>
                  <c:pt idx="0">
                    <c:v>0.689453125</c:v>
                  </c:pt>
                  <c:pt idx="1">
                    <c:v>1.16357421875</c:v>
                  </c:pt>
                  <c:pt idx="2">
                    <c:v>1.61865234375</c:v>
                  </c:pt>
                  <c:pt idx="3">
                    <c:v>2.0751953125</c:v>
                  </c:pt>
                  <c:pt idx="4">
                    <c:v>2.5498046875</c:v>
                  </c:pt>
                  <c:pt idx="5">
                    <c:v>3.0009765625</c:v>
                  </c:pt>
                  <c:pt idx="6">
                    <c:v>3.474609375</c:v>
                  </c:pt>
                  <c:pt idx="7">
                    <c:v>3.931640625</c:v>
                  </c:pt>
                  <c:pt idx="8">
                    <c:v>4.39794921875</c:v>
                  </c:pt>
                  <c:pt idx="9">
                    <c:v>4.87548828125</c:v>
                  </c:pt>
                  <c:pt idx="10">
                    <c:v>5.30615234375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f(n)'!$L$49:$L$59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f(n)'!$P$49:$P$59</c:f>
              <c:numCache>
                <c:formatCode>0</c:formatCode>
                <c:ptCount val="11"/>
                <c:pt idx="0">
                  <c:v>-8.590909090907644</c:v>
                </c:pt>
                <c:pt idx="1">
                  <c:v>14.618181818183075</c:v>
                </c:pt>
                <c:pt idx="2">
                  <c:v>-1.1727272727266609</c:v>
                </c:pt>
                <c:pt idx="3">
                  <c:v>-13.963636363636397</c:v>
                </c:pt>
                <c:pt idx="4">
                  <c:v>10.245454545454777</c:v>
                </c:pt>
                <c:pt idx="5">
                  <c:v>-13.545454545454959</c:v>
                </c:pt>
                <c:pt idx="6">
                  <c:v>8.6636363636362148</c:v>
                </c:pt>
                <c:pt idx="7">
                  <c:v>-3.127272727273521</c:v>
                </c:pt>
                <c:pt idx="8">
                  <c:v>4.0818181818176527</c:v>
                </c:pt>
                <c:pt idx="9">
                  <c:v>34.290909090908826</c:v>
                </c:pt>
                <c:pt idx="10">
                  <c:v>-31.5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2-4585-B4D0-C63605ED845C}"/>
            </c:ext>
          </c:extLst>
        </c:ser>
        <c:ser>
          <c:idx val="1"/>
          <c:order val="1"/>
          <c:tx>
            <c:v>+u(y)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11.2</c:v>
              </c:pt>
            </c:numLit>
          </c:xVal>
          <c:yVal>
            <c:numRef>
              <c:f>('1 extremo fechado - f(n)'!$U$53,'1 extremo fechado - f(n)'!$U$53,'1 extremo fechado - f(n)'!$U$53,'1 extremo fechado - f(n)'!$U$53)</c:f>
              <c:numCache>
                <c:formatCode>0</c:formatCode>
                <c:ptCount val="4"/>
                <c:pt idx="0">
                  <c:v>36.76905813810928</c:v>
                </c:pt>
                <c:pt idx="1">
                  <c:v>36.76905813810928</c:v>
                </c:pt>
                <c:pt idx="2">
                  <c:v>36.76905813810928</c:v>
                </c:pt>
                <c:pt idx="3">
                  <c:v>36.76905813810928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4-497B-9790-5A2D345C93B6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11.2</c:v>
              </c:pt>
            </c:numLit>
          </c:xVal>
          <c:yVal>
            <c:numRef>
              <c:f>('1 extremo fechado - f(n)'!$U$56,'1 extremo fechado - f(n)'!$U$56)</c:f>
              <c:numCache>
                <c:formatCode>0</c:formatCode>
                <c:ptCount val="2"/>
                <c:pt idx="0">
                  <c:v>-36.76905813810928</c:v>
                </c:pt>
                <c:pt idx="1">
                  <c:v>-36.76905813810928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4-497B-9790-5A2D345C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40"/>
        <c:crossBetween val="midCat"/>
      </c:valAx>
      <c:valAx>
        <c:axId val="792636687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176428853641805"/>
          <c:y val="0.1045299222626645"/>
          <c:w val="0.71117124658746556"/>
          <c:h val="7.3471873281879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3 - Resíduos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8128668855819"/>
          <c:y val="0.18658669682408774"/>
          <c:w val="0.81262593178966491"/>
          <c:h val="0.6144921411745449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f(n)'!$N$34:$N$39</c:f>
                <c:numCache>
                  <c:formatCode>General</c:formatCode>
                  <c:ptCount val="6"/>
                  <c:pt idx="0">
                    <c:v>2.830078125</c:v>
                  </c:pt>
                  <c:pt idx="1">
                    <c:v>4.818359375</c:v>
                  </c:pt>
                  <c:pt idx="2">
                    <c:v>6.720703125</c:v>
                  </c:pt>
                  <c:pt idx="3">
                    <c:v>8.6171875</c:v>
                  </c:pt>
                  <c:pt idx="4">
                    <c:v>10.576171875</c:v>
                  </c:pt>
                  <c:pt idx="5">
                    <c:v>12.58203125</c:v>
                  </c:pt>
                </c:numCache>
              </c:numRef>
            </c:plus>
            <c:minus>
              <c:numRef>
                <c:f>'1 extremo fechado - f(n)'!$N$34:$N$39</c:f>
                <c:numCache>
                  <c:formatCode>General</c:formatCode>
                  <c:ptCount val="6"/>
                  <c:pt idx="0">
                    <c:v>2.830078125</c:v>
                  </c:pt>
                  <c:pt idx="1">
                    <c:v>4.818359375</c:v>
                  </c:pt>
                  <c:pt idx="2">
                    <c:v>6.720703125</c:v>
                  </c:pt>
                  <c:pt idx="3">
                    <c:v>8.6171875</c:v>
                  </c:pt>
                  <c:pt idx="4">
                    <c:v>10.576171875</c:v>
                  </c:pt>
                  <c:pt idx="5">
                    <c:v>12.58203125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 extremo fechado - f(n)'!$P$34:$P$39</c:f>
              <c:numCache>
                <c:formatCode>0</c:formatCode>
                <c:ptCount val="6"/>
                <c:pt idx="0">
                  <c:v>-4.3809523809522943</c:v>
                </c:pt>
                <c:pt idx="1">
                  <c:v>19.904761904762381</c:v>
                </c:pt>
                <c:pt idx="2">
                  <c:v>0.19047619047660191</c:v>
                </c:pt>
                <c:pt idx="3">
                  <c:v>-22.523809523809177</c:v>
                </c:pt>
                <c:pt idx="4">
                  <c:v>-13.238095238095411</c:v>
                </c:pt>
                <c:pt idx="5">
                  <c:v>20.047619047620174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5-4FD4-A288-B49F7BB100AB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DEA9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6.2</c:v>
              </c:pt>
            </c:numLit>
          </c:xVal>
          <c:yVal>
            <c:numRef>
              <c:f>('1 extremo fechado - f(n)'!$U$38,'1 extremo fechado - f(n)'!$U$38)</c:f>
              <c:numCache>
                <c:formatCode>0</c:formatCode>
                <c:ptCount val="2"/>
                <c:pt idx="0">
                  <c:v>38.728603924034317</c:v>
                </c:pt>
                <c:pt idx="1">
                  <c:v>38.728603924034317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3-4D59-94EA-B9866BED2B43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DEA9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6.2</c:v>
              </c:pt>
            </c:numLit>
          </c:xVal>
          <c:yVal>
            <c:numRef>
              <c:f>('1 extremo fechado - f(n)'!$U$41,'1 extremo fechado - f(n)'!$U$41)</c:f>
              <c:numCache>
                <c:formatCode>0</c:formatCode>
                <c:ptCount val="2"/>
                <c:pt idx="0">
                  <c:v>-38.728603924034317</c:v>
                </c:pt>
                <c:pt idx="1">
                  <c:v>-38.728603924034317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33-4D59-94EA-B9866BED2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60"/>
        <c:crossBetween val="midCat"/>
      </c:valAx>
      <c:valAx>
        <c:axId val="792636687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262192449582706"/>
          <c:y val="0.1035862968102601"/>
          <c:w val="0.67243563694856301"/>
          <c:h val="8.3439215888238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Tubo</a:t>
            </a:r>
            <a:r>
              <a:rPr lang="en-US" baseline="0"/>
              <a:t> 2 - Resíduos de f(n)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8128668855819"/>
          <c:y val="0.21461296484488654"/>
          <c:w val="0.83251552943671714"/>
          <c:h val="0.5872268067754871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FF711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f(n)'!$N$19:$N$25</c:f>
                <c:numCache>
                  <c:formatCode>General</c:formatCode>
                  <c:ptCount val="7"/>
                  <c:pt idx="0">
                    <c:v>0.830078125</c:v>
                  </c:pt>
                  <c:pt idx="1">
                    <c:v>1.36767578125</c:v>
                  </c:pt>
                  <c:pt idx="2">
                    <c:v>1.92724609375</c:v>
                  </c:pt>
                  <c:pt idx="3">
                    <c:v>2.4775390625</c:v>
                  </c:pt>
                  <c:pt idx="4">
                    <c:v>3.02978515625</c:v>
                  </c:pt>
                  <c:pt idx="5">
                    <c:v>3.60546875</c:v>
                  </c:pt>
                  <c:pt idx="6">
                    <c:v>4.1220703125</c:v>
                  </c:pt>
                </c:numCache>
              </c:numRef>
            </c:plus>
            <c:minus>
              <c:numRef>
                <c:f>'1 extremo fechado - f(n)'!$N$19:$N$25</c:f>
                <c:numCache>
                  <c:formatCode>General</c:formatCode>
                  <c:ptCount val="7"/>
                  <c:pt idx="0">
                    <c:v>0.830078125</c:v>
                  </c:pt>
                  <c:pt idx="1">
                    <c:v>1.36767578125</c:v>
                  </c:pt>
                  <c:pt idx="2">
                    <c:v>1.92724609375</c:v>
                  </c:pt>
                  <c:pt idx="3">
                    <c:v>2.4775390625</c:v>
                  </c:pt>
                  <c:pt idx="4">
                    <c:v>3.02978515625</c:v>
                  </c:pt>
                  <c:pt idx="5">
                    <c:v>3.60546875</c:v>
                  </c:pt>
                  <c:pt idx="6">
                    <c:v>4.1220703125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f(n)'!$L$19:$L$25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extremo fechado - f(n)'!$P$19:$P$25</c:f>
              <c:numCache>
                <c:formatCode>0</c:formatCode>
                <c:ptCount val="7"/>
                <c:pt idx="0">
                  <c:v>12.071428571427987</c:v>
                </c:pt>
                <c:pt idx="1">
                  <c:v>-17.285714285714675</c:v>
                </c:pt>
                <c:pt idx="2">
                  <c:v>-1.6428571428573377</c:v>
                </c:pt>
                <c:pt idx="3">
                  <c:v>-5</c:v>
                </c:pt>
                <c:pt idx="4">
                  <c:v>-4.357142857143117</c:v>
                </c:pt>
                <c:pt idx="5">
                  <c:v>44.285714285714675</c:v>
                </c:pt>
                <c:pt idx="6">
                  <c:v>-28.071428571427532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0-4A0F-BCE0-3D3EF283E888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EA5F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f(n)'!$U$23,'1 extremo fechado - f(n)'!$U$23)</c:f>
              <c:numCache>
                <c:formatCode>0</c:formatCode>
                <c:ptCount val="2"/>
                <c:pt idx="0">
                  <c:v>50.915055309238454</c:v>
                </c:pt>
                <c:pt idx="1">
                  <c:v>50.915055309238454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0-4EE2-8214-FD16F7C70651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EA5F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f(n)'!$U$26,'1 extremo fechado - f(n)'!$U$26)</c:f>
              <c:numCache>
                <c:formatCode>0</c:formatCode>
                <c:ptCount val="2"/>
                <c:pt idx="0">
                  <c:v>-50.915055309238454</c:v>
                </c:pt>
                <c:pt idx="1">
                  <c:v>-50.915055309238454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0-4EE2-8214-FD16F7C70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60"/>
        <c:crossBetween val="midCat"/>
      </c:valAx>
      <c:valAx>
        <c:axId val="792636687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792699029709345"/>
          <c:y val="0.10162176521933471"/>
          <c:w val="0.78268314130543937"/>
          <c:h val="0.1009709788642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Tubo</a:t>
            </a:r>
            <a:r>
              <a:rPr lang="en-US" baseline="0"/>
              <a:t> 1 - Resíduos de f(n)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83726387422269"/>
          <c:y val="0.22208215262341902"/>
          <c:w val="0.80539692596503587"/>
          <c:h val="0.58104857164501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FF5757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f(n)'!$N$4:$N$6</c:f>
                <c:numCache>
                  <c:formatCode>General</c:formatCode>
                  <c:ptCount val="3"/>
                  <c:pt idx="0">
                    <c:v>2.611328125</c:v>
                  </c:pt>
                  <c:pt idx="1">
                    <c:v>7.76953125</c:v>
                  </c:pt>
                  <c:pt idx="2">
                    <c:v>13.0078125</c:v>
                  </c:pt>
                </c:numCache>
              </c:numRef>
            </c:plus>
            <c:minus>
              <c:numRef>
                <c:f>'1 extremo fechado - f(n)'!$N$4:$N$6</c:f>
                <c:numCache>
                  <c:formatCode>General</c:formatCode>
                  <c:ptCount val="3"/>
                  <c:pt idx="0">
                    <c:v>2.611328125</c:v>
                  </c:pt>
                  <c:pt idx="1">
                    <c:v>7.76953125</c:v>
                  </c:pt>
                  <c:pt idx="2">
                    <c:v>13.0078125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f(n)'!$L$4:$L$6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'1 extremo fechado - f(n)'!$P$4:$P$6</c:f>
              <c:numCache>
                <c:formatCode>0</c:formatCode>
                <c:ptCount val="3"/>
                <c:pt idx="0">
                  <c:v>6.8333333333330302</c:v>
                </c:pt>
                <c:pt idx="1">
                  <c:v>-13.666666666666515</c:v>
                </c:pt>
                <c:pt idx="2">
                  <c:v>6.8333333333339397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C-413B-A081-42385691A46A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3.2</c:v>
              </c:pt>
            </c:numLit>
          </c:xVal>
          <c:yVal>
            <c:numRef>
              <c:f>('1 extremo fechado - f(n)'!$U$8,'1 extremo fechado - f(n)'!$U$8)</c:f>
              <c:numCache>
                <c:formatCode>0</c:formatCode>
                <c:ptCount val="2"/>
                <c:pt idx="0">
                  <c:v>33.476359818037054</c:v>
                </c:pt>
                <c:pt idx="1">
                  <c:v>33.476359818037054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E0-4725-8063-909200938991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EE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3.2</c:v>
              </c:pt>
            </c:numLit>
          </c:xVal>
          <c:yVal>
            <c:numRef>
              <c:f>('1 extremo fechado - f(n)'!$U$11,'1 extremo fechado - f(n)'!$U$11)</c:f>
              <c:numCache>
                <c:formatCode>0</c:formatCode>
                <c:ptCount val="2"/>
                <c:pt idx="0">
                  <c:v>-33.476359818037054</c:v>
                </c:pt>
                <c:pt idx="1">
                  <c:v>-33.476359818037054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E0-4725-8063-909200938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40"/>
        <c:crossBetween val="midCat"/>
      </c:valAx>
      <c:valAx>
        <c:axId val="7926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59955414760063"/>
          <c:y val="0.13525288807725325"/>
          <c:w val="0.70831256599788794"/>
          <c:h val="7.3711209380931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Ajustes de f(n)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63623341046257"/>
          <c:y val="0.13482289349365997"/>
          <c:w val="0.78379849771594778"/>
          <c:h val="0.67695711780864964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5757"/>
              </a:solidFill>
              <a:ln w="9525">
                <a:solidFill>
                  <a:srgbClr val="FF5757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EE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f(n)'!$L$4:$L$6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'1 extremo fechado - f(n)'!$M$4:$M$6</c:f>
              <c:numCache>
                <c:formatCode>General</c:formatCode>
                <c:ptCount val="3"/>
                <c:pt idx="0">
                  <c:v>1337</c:v>
                </c:pt>
                <c:pt idx="1">
                  <c:v>3978</c:v>
                </c:pt>
                <c:pt idx="2">
                  <c:v>6660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4A-409D-A7C0-055E5C069E51}"/>
            </c:ext>
          </c:extLst>
        </c:ser>
        <c:ser>
          <c:idx val="1"/>
          <c:order val="1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7111"/>
              </a:solidFill>
              <a:ln w="9525">
                <a:solidFill>
                  <a:srgbClr val="FF7111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EA5F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f(n)'!$L$19:$L$25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extremo fechado - f(n)'!$M$19:$M$25</c:f>
              <c:numCache>
                <c:formatCode>General</c:formatCode>
                <c:ptCount val="7"/>
                <c:pt idx="0" formatCode="0.0">
                  <c:v>1700</c:v>
                </c:pt>
                <c:pt idx="1">
                  <c:v>2801</c:v>
                </c:pt>
                <c:pt idx="2">
                  <c:v>3947</c:v>
                </c:pt>
                <c:pt idx="3">
                  <c:v>5074</c:v>
                </c:pt>
                <c:pt idx="4">
                  <c:v>6205</c:v>
                </c:pt>
                <c:pt idx="5">
                  <c:v>7384</c:v>
                </c:pt>
                <c:pt idx="6">
                  <c:v>8442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4A-409D-A7C0-055E5C069E51}"/>
            </c:ext>
          </c:extLst>
        </c:ser>
        <c:ser>
          <c:idx val="2"/>
          <c:order val="2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>
                    <a:alpha val="95000"/>
                  </a:schemeClr>
                </a:solidFill>
              </a:ln>
              <a:effectLst/>
            </c:spPr>
          </c:marker>
          <c:trendline>
            <c:spPr>
              <a:ln w="12700" cap="rnd">
                <a:solidFill>
                  <a:srgbClr val="DEA9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 extremo fechado - f(n)'!$M$34:$M$39</c:f>
              <c:numCache>
                <c:formatCode>General</c:formatCode>
                <c:ptCount val="6"/>
                <c:pt idx="0">
                  <c:v>1449</c:v>
                </c:pt>
                <c:pt idx="1">
                  <c:v>2467</c:v>
                </c:pt>
                <c:pt idx="2">
                  <c:v>3441</c:v>
                </c:pt>
                <c:pt idx="3">
                  <c:v>4412</c:v>
                </c:pt>
                <c:pt idx="4">
                  <c:v>5415</c:v>
                </c:pt>
                <c:pt idx="5">
                  <c:v>6442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4A-409D-A7C0-055E5C069E51}"/>
            </c:ext>
          </c:extLst>
        </c:ser>
        <c:ser>
          <c:idx val="3"/>
          <c:order val="3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f(n)'!$L$49:$L$59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f(n)'!$M$49:$M$59</c:f>
              <c:numCache>
                <c:formatCode>General</c:formatCode>
                <c:ptCount val="11"/>
                <c:pt idx="0" formatCode="0.0">
                  <c:v>1412</c:v>
                </c:pt>
                <c:pt idx="1">
                  <c:v>2383</c:v>
                </c:pt>
                <c:pt idx="2">
                  <c:v>3315</c:v>
                </c:pt>
                <c:pt idx="3">
                  <c:v>4250</c:v>
                </c:pt>
                <c:pt idx="4">
                  <c:v>5222</c:v>
                </c:pt>
                <c:pt idx="5">
                  <c:v>6146</c:v>
                </c:pt>
                <c:pt idx="6">
                  <c:v>7116</c:v>
                </c:pt>
                <c:pt idx="7">
                  <c:v>8052</c:v>
                </c:pt>
                <c:pt idx="8">
                  <c:v>9007</c:v>
                </c:pt>
                <c:pt idx="9">
                  <c:v>9985</c:v>
                </c:pt>
                <c:pt idx="10">
                  <c:v>10867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4A-409D-A7C0-055E5C069E51}"/>
            </c:ext>
          </c:extLst>
        </c:ser>
        <c:ser>
          <c:idx val="4"/>
          <c:order val="4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f(n)'!$L$64:$L$71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 extremo fechado - f(n)'!$M$64:$M$71</c:f>
              <c:numCache>
                <c:formatCode>General</c:formatCode>
                <c:ptCount val="8"/>
                <c:pt idx="0">
                  <c:v>1108</c:v>
                </c:pt>
                <c:pt idx="1">
                  <c:v>1937</c:v>
                </c:pt>
                <c:pt idx="2">
                  <c:v>2709</c:v>
                </c:pt>
                <c:pt idx="3">
                  <c:v>3497</c:v>
                </c:pt>
                <c:pt idx="4">
                  <c:v>4217</c:v>
                </c:pt>
                <c:pt idx="5">
                  <c:v>4993</c:v>
                </c:pt>
                <c:pt idx="6">
                  <c:v>5833</c:v>
                </c:pt>
                <c:pt idx="7">
                  <c:v>6587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4A-409D-A7C0-055E5C069E51}"/>
            </c:ext>
          </c:extLst>
        </c:ser>
        <c:ser>
          <c:idx val="5"/>
          <c:order val="5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8378D2"/>
              </a:solidFill>
              <a:ln w="9525">
                <a:solidFill>
                  <a:srgbClr val="8378D2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594BC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f(n)'!$L$79:$L$89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f(n)'!$M$79:$M$89</c:f>
              <c:numCache>
                <c:formatCode>General</c:formatCode>
                <c:ptCount val="11"/>
                <c:pt idx="0">
                  <c:v>1025</c:v>
                </c:pt>
                <c:pt idx="1">
                  <c:v>1765</c:v>
                </c:pt>
                <c:pt idx="2">
                  <c:v>2464</c:v>
                </c:pt>
                <c:pt idx="3">
                  <c:v>3153</c:v>
                </c:pt>
                <c:pt idx="4">
                  <c:v>3878</c:v>
                </c:pt>
                <c:pt idx="5">
                  <c:v>4575</c:v>
                </c:pt>
                <c:pt idx="6">
                  <c:v>5291</c:v>
                </c:pt>
                <c:pt idx="7">
                  <c:v>5990</c:v>
                </c:pt>
                <c:pt idx="8">
                  <c:v>6710</c:v>
                </c:pt>
                <c:pt idx="9">
                  <c:v>7442</c:v>
                </c:pt>
                <c:pt idx="10">
                  <c:v>8140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94A-409D-A7C0-055E5C069E51}"/>
            </c:ext>
          </c:extLst>
        </c:ser>
        <c:ser>
          <c:idx val="6"/>
          <c:order val="6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BA6AD0"/>
              </a:solidFill>
              <a:ln w="9525">
                <a:solidFill>
                  <a:srgbClr val="BA6AD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9D3AB8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f(n)'!$L$124:$L$131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'1 extremo fechado - f(n)'!$M$124:$M$131</c:f>
              <c:numCache>
                <c:formatCode>General</c:formatCode>
                <c:ptCount val="8"/>
                <c:pt idx="0">
                  <c:v>1638</c:v>
                </c:pt>
                <c:pt idx="1">
                  <c:v>2296</c:v>
                </c:pt>
                <c:pt idx="2">
                  <c:v>3616</c:v>
                </c:pt>
                <c:pt idx="3">
                  <c:v>4283</c:v>
                </c:pt>
                <c:pt idx="4">
                  <c:v>4961</c:v>
                </c:pt>
                <c:pt idx="5">
                  <c:v>5593</c:v>
                </c:pt>
                <c:pt idx="6">
                  <c:v>6277</c:v>
                </c:pt>
                <c:pt idx="7">
                  <c:v>6931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94A-409D-A7C0-055E5C069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</c:valAx>
      <c:valAx>
        <c:axId val="7926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17157812829687427"/>
          <c:y val="0.14432639430718722"/>
          <c:w val="0.11327002741218795"/>
          <c:h val="0.4081800037902004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7 - Resíduos de f(n) sem</a:t>
            </a:r>
            <a:r>
              <a:rPr lang="en-US" sz="1200" baseline="0"/>
              <a:t> os pontos duvidosos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81750235255441"/>
          <c:y val="0.18351022124403454"/>
          <c:w val="0.80126780491703087"/>
          <c:h val="0.6208484652522109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BA6AD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f(n)'!$N$109:$N$117</c:f>
                <c:numCache>
                  <c:formatCode>General</c:formatCode>
                  <c:ptCount val="9"/>
                  <c:pt idx="0">
                    <c:v>3.19921875</c:v>
                  </c:pt>
                  <c:pt idx="1">
                    <c:v>4.484375</c:v>
                  </c:pt>
                  <c:pt idx="2">
                    <c:v>5.853515625</c:v>
                  </c:pt>
                  <c:pt idx="3">
                    <c:v>7.0625</c:v>
                  </c:pt>
                  <c:pt idx="4">
                    <c:v>8.365234375</c:v>
                  </c:pt>
                  <c:pt idx="5">
                    <c:v>9.689453125</c:v>
                  </c:pt>
                  <c:pt idx="6">
                    <c:v>10.923828125</c:v>
                  </c:pt>
                  <c:pt idx="7">
                    <c:v>12.259765625</c:v>
                  </c:pt>
                  <c:pt idx="8">
                    <c:v>13.537109375</c:v>
                  </c:pt>
                </c:numCache>
              </c:numRef>
            </c:plus>
            <c:minus>
              <c:numRef>
                <c:f>'1 extremo fechado - f(n)'!$N$109:$N$117</c:f>
                <c:numCache>
                  <c:formatCode>General</c:formatCode>
                  <c:ptCount val="9"/>
                  <c:pt idx="0">
                    <c:v>3.19921875</c:v>
                  </c:pt>
                  <c:pt idx="1">
                    <c:v>4.484375</c:v>
                  </c:pt>
                  <c:pt idx="2">
                    <c:v>5.853515625</c:v>
                  </c:pt>
                  <c:pt idx="3">
                    <c:v>7.0625</c:v>
                  </c:pt>
                  <c:pt idx="4">
                    <c:v>8.365234375</c:v>
                  </c:pt>
                  <c:pt idx="5">
                    <c:v>9.689453125</c:v>
                  </c:pt>
                  <c:pt idx="6">
                    <c:v>10.923828125</c:v>
                  </c:pt>
                  <c:pt idx="7">
                    <c:v>12.259765625</c:v>
                  </c:pt>
                  <c:pt idx="8">
                    <c:v>13.537109375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f(n)'!$L$124:$L$131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'1 extremo fechado - f(n)'!$P$124:$P$131</c:f>
              <c:numCache>
                <c:formatCode>0</c:formatCode>
                <c:ptCount val="8"/>
                <c:pt idx="0">
                  <c:v>2.6036036036041423</c:v>
                </c:pt>
                <c:pt idx="1">
                  <c:v>-1.5090090090084232</c:v>
                </c:pt>
                <c:pt idx="2">
                  <c:v>-5.7342342342340089</c:v>
                </c:pt>
                <c:pt idx="3">
                  <c:v>-0.84684684684634703</c:v>
                </c:pt>
                <c:pt idx="4">
                  <c:v>15.04054054054086</c:v>
                </c:pt>
                <c:pt idx="5">
                  <c:v>-15.072072072071933</c:v>
                </c:pt>
                <c:pt idx="6">
                  <c:v>6.8153153153152743</c:v>
                </c:pt>
                <c:pt idx="7">
                  <c:v>-1.2972972972975185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4-4E13-9450-8FAB2AA36253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9D3AB8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1.8</c:v>
              </c:pt>
              <c:pt idx="1">
                <c:v>10.199999999999999</c:v>
              </c:pt>
            </c:numLit>
          </c:xVal>
          <c:yVal>
            <c:numRef>
              <c:f>('1 extremo fechado - f(n)'!$U$128,'1 extremo fechado - f(n)'!$U$128)</c:f>
              <c:numCache>
                <c:formatCode>0</c:formatCode>
                <c:ptCount val="2"/>
                <c:pt idx="0">
                  <c:v>19.04680500190997</c:v>
                </c:pt>
                <c:pt idx="1">
                  <c:v>19.04680500190997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9-45F7-9069-4902B618FFF4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9D3AB8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1.8</c:v>
              </c:pt>
              <c:pt idx="1">
                <c:v>10.199999999999999</c:v>
              </c:pt>
            </c:numLit>
          </c:xVal>
          <c:yVal>
            <c:numRef>
              <c:f>('1 extremo fechado - f(n)'!$U$131,'1 extremo fechado - f(n)'!$U$131)</c:f>
              <c:numCache>
                <c:formatCode>0</c:formatCode>
                <c:ptCount val="2"/>
                <c:pt idx="0">
                  <c:v>-19.04680500190997</c:v>
                </c:pt>
                <c:pt idx="1">
                  <c:v>-19.04680500190997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9-45F7-9069-4902B618F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30"/>
        <c:crossBetween val="midCat"/>
        <c:majorUnit val="1"/>
      </c:valAx>
      <c:valAx>
        <c:axId val="792636687"/>
        <c:scaling>
          <c:orientation val="minMax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41613897766221"/>
          <c:y val="0.10571643073131404"/>
          <c:w val="0.75651580108118477"/>
          <c:h val="7.3251439411496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7 - Ajuste de f(n) sem os pontos duvidosos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BA6AD0"/>
              </a:solidFill>
              <a:ln w="9525">
                <a:solidFill>
                  <a:srgbClr val="BA6AD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9D3AB8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f(n)'!$L$124:$L$131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'1 extremo fechado - f(n)'!$M$124:$M$131</c:f>
              <c:numCache>
                <c:formatCode>General</c:formatCode>
                <c:ptCount val="8"/>
                <c:pt idx="0">
                  <c:v>1638</c:v>
                </c:pt>
                <c:pt idx="1">
                  <c:v>2296</c:v>
                </c:pt>
                <c:pt idx="2">
                  <c:v>3616</c:v>
                </c:pt>
                <c:pt idx="3">
                  <c:v>4283</c:v>
                </c:pt>
                <c:pt idx="4">
                  <c:v>4961</c:v>
                </c:pt>
                <c:pt idx="5">
                  <c:v>5593</c:v>
                </c:pt>
                <c:pt idx="6">
                  <c:v>6277</c:v>
                </c:pt>
                <c:pt idx="7">
                  <c:v>6931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E-4E63-B438-F8B1C528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  <c:majorUnit val="1"/>
      </c:valAx>
      <c:valAx>
        <c:axId val="792636687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Resíduos de f(n) para os ajustes finais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63623341046257"/>
          <c:y val="0.13482289349365997"/>
          <c:w val="0.78379849771594778"/>
          <c:h val="0.67695711780864964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5757"/>
              </a:solidFill>
              <a:ln w="9525">
                <a:solidFill>
                  <a:srgbClr val="FF5757"/>
                </a:solidFill>
              </a:ln>
              <a:effectLst/>
            </c:spPr>
          </c:marker>
          <c:xVal>
            <c:numRef>
              <c:f>'1 extremo fechado - f(n)'!$L$4:$L$6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'1 extremo fechado - f(n)'!$P$4:$P$6</c:f>
              <c:numCache>
                <c:formatCode>0</c:formatCode>
                <c:ptCount val="3"/>
                <c:pt idx="0">
                  <c:v>6.8333333333330302</c:v>
                </c:pt>
                <c:pt idx="1">
                  <c:v>-13.666666666666515</c:v>
                </c:pt>
                <c:pt idx="2">
                  <c:v>6.8333333333339397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3-477E-B96E-813D5729A076}"/>
            </c:ext>
          </c:extLst>
        </c:ser>
        <c:ser>
          <c:idx val="1"/>
          <c:order val="1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7111"/>
              </a:solidFill>
              <a:ln w="9525">
                <a:solidFill>
                  <a:srgbClr val="FF7111"/>
                </a:solidFill>
              </a:ln>
              <a:effectLst/>
            </c:spPr>
          </c:marker>
          <c:xVal>
            <c:numRef>
              <c:f>'1 extremo fechado - f(n)'!$L$19:$L$25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extremo fechado - f(n)'!$P$19:$P$25</c:f>
              <c:numCache>
                <c:formatCode>0</c:formatCode>
                <c:ptCount val="7"/>
                <c:pt idx="0">
                  <c:v>12.071428571427987</c:v>
                </c:pt>
                <c:pt idx="1">
                  <c:v>-17.285714285714675</c:v>
                </c:pt>
                <c:pt idx="2">
                  <c:v>-1.6428571428573377</c:v>
                </c:pt>
                <c:pt idx="3">
                  <c:v>-5</c:v>
                </c:pt>
                <c:pt idx="4">
                  <c:v>-4.357142857143117</c:v>
                </c:pt>
                <c:pt idx="5">
                  <c:v>44.285714285714675</c:v>
                </c:pt>
                <c:pt idx="6">
                  <c:v>-28.071428571427532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33-477E-B96E-813D5729A076}"/>
            </c:ext>
          </c:extLst>
        </c:ser>
        <c:ser>
          <c:idx val="2"/>
          <c:order val="2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>
                    <a:alpha val="95000"/>
                  </a:schemeClr>
                </a:solidFill>
              </a:ln>
              <a:effectLst/>
            </c:spPr>
          </c:marker>
          <c:xVal>
            <c:numRef>
              <c:f>'1 extremo fechado - f(n)'!$L$34:$L$39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 extremo fechado - f(n)'!$P$34:$P$39</c:f>
              <c:numCache>
                <c:formatCode>0</c:formatCode>
                <c:ptCount val="6"/>
                <c:pt idx="0">
                  <c:v>-4.3809523809522943</c:v>
                </c:pt>
                <c:pt idx="1">
                  <c:v>19.904761904762381</c:v>
                </c:pt>
                <c:pt idx="2">
                  <c:v>0.19047619047660191</c:v>
                </c:pt>
                <c:pt idx="3">
                  <c:v>-22.523809523809177</c:v>
                </c:pt>
                <c:pt idx="4">
                  <c:v>-13.238095238095411</c:v>
                </c:pt>
                <c:pt idx="5">
                  <c:v>20.047619047620174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33-477E-B96E-813D5729A076}"/>
            </c:ext>
          </c:extLst>
        </c:ser>
        <c:ser>
          <c:idx val="3"/>
          <c:order val="3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 extremo fechado - f(n)'!$L$49:$L$59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f(n)'!$P$49:$P$59</c:f>
              <c:numCache>
                <c:formatCode>0</c:formatCode>
                <c:ptCount val="11"/>
                <c:pt idx="0">
                  <c:v>-8.590909090907644</c:v>
                </c:pt>
                <c:pt idx="1">
                  <c:v>14.618181818183075</c:v>
                </c:pt>
                <c:pt idx="2">
                  <c:v>-1.1727272727266609</c:v>
                </c:pt>
                <c:pt idx="3">
                  <c:v>-13.963636363636397</c:v>
                </c:pt>
                <c:pt idx="4">
                  <c:v>10.245454545454777</c:v>
                </c:pt>
                <c:pt idx="5">
                  <c:v>-13.545454545454959</c:v>
                </c:pt>
                <c:pt idx="6">
                  <c:v>8.6636363636362148</c:v>
                </c:pt>
                <c:pt idx="7">
                  <c:v>-3.127272727273521</c:v>
                </c:pt>
                <c:pt idx="8">
                  <c:v>4.0818181818176527</c:v>
                </c:pt>
                <c:pt idx="9">
                  <c:v>34.290909090908826</c:v>
                </c:pt>
                <c:pt idx="10">
                  <c:v>-31.5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33-477E-B96E-813D5729A076}"/>
            </c:ext>
          </c:extLst>
        </c:ser>
        <c:ser>
          <c:idx val="4"/>
          <c:order val="4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 extremo fechado - f(n)'!$L$64:$L$71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 extremo fechado - f(n)'!$P$64:$P$71</c:f>
              <c:numCache>
                <c:formatCode>0</c:formatCode>
                <c:ptCount val="8"/>
                <c:pt idx="0">
                  <c:v>-26.916666666666515</c:v>
                </c:pt>
                <c:pt idx="1">
                  <c:v>23.452380952380963</c:v>
                </c:pt>
                <c:pt idx="2">
                  <c:v>16.821428571428442</c:v>
                </c:pt>
                <c:pt idx="3">
                  <c:v>26.190476190476147</c:v>
                </c:pt>
                <c:pt idx="4">
                  <c:v>-32.440476190476147</c:v>
                </c:pt>
                <c:pt idx="5">
                  <c:v>-35.071428571429351</c:v>
                </c:pt>
                <c:pt idx="6">
                  <c:v>26.297619047618355</c:v>
                </c:pt>
                <c:pt idx="7">
                  <c:v>1.6666666666660603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33-477E-B96E-813D5729A076}"/>
            </c:ext>
          </c:extLst>
        </c:ser>
        <c:ser>
          <c:idx val="5"/>
          <c:order val="5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8378D2"/>
              </a:solidFill>
              <a:ln w="9525">
                <a:solidFill>
                  <a:srgbClr val="8378D2"/>
                </a:solidFill>
              </a:ln>
              <a:effectLst/>
            </c:spPr>
          </c:marker>
          <c:xVal>
            <c:numRef>
              <c:f>'1 extremo fechado - f(n)'!$L$79:$L$89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 extremo fechado - f(n)'!$P$79:$P$89</c:f>
              <c:numCache>
                <c:formatCode>0</c:formatCode>
                <c:ptCount val="11"/>
                <c:pt idx="0">
                  <c:v>-9.4545454545450411</c:v>
                </c:pt>
                <c:pt idx="1">
                  <c:v>20.472727272727525</c:v>
                </c:pt>
                <c:pt idx="2">
                  <c:v>9.4000000000000909</c:v>
                </c:pt>
                <c:pt idx="3">
                  <c:v>-11.672727272727116</c:v>
                </c:pt>
                <c:pt idx="4">
                  <c:v>3.2545454545456778</c:v>
                </c:pt>
                <c:pt idx="5">
                  <c:v>-9.8181818181819835</c:v>
                </c:pt>
                <c:pt idx="6">
                  <c:v>-3.8909090909091901</c:v>
                </c:pt>
                <c:pt idx="7">
                  <c:v>-14.963636363636397</c:v>
                </c:pt>
                <c:pt idx="8">
                  <c:v>-5.0363636363636033</c:v>
                </c:pt>
                <c:pt idx="9">
                  <c:v>16.89090909090919</c:v>
                </c:pt>
                <c:pt idx="10">
                  <c:v>4.8181818181819835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133-477E-B96E-813D5729A076}"/>
            </c:ext>
          </c:extLst>
        </c:ser>
        <c:ser>
          <c:idx val="6"/>
          <c:order val="6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BA6AD0"/>
              </a:solidFill>
              <a:ln w="9525">
                <a:solidFill>
                  <a:srgbClr val="BA6AD0"/>
                </a:solidFill>
              </a:ln>
              <a:effectLst/>
            </c:spPr>
          </c:marker>
          <c:xVal>
            <c:numRef>
              <c:f>'1 extremo fechado - f(n)'!$L$124:$L$131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'1 extremo fechado - f(n)'!$P$124:$P$131</c:f>
              <c:numCache>
                <c:formatCode>0</c:formatCode>
                <c:ptCount val="8"/>
                <c:pt idx="0">
                  <c:v>2.6036036036041423</c:v>
                </c:pt>
                <c:pt idx="1">
                  <c:v>-1.5090090090084232</c:v>
                </c:pt>
                <c:pt idx="2">
                  <c:v>-5.7342342342340089</c:v>
                </c:pt>
                <c:pt idx="3">
                  <c:v>-0.84684684684634703</c:v>
                </c:pt>
                <c:pt idx="4">
                  <c:v>15.04054054054086</c:v>
                </c:pt>
                <c:pt idx="5">
                  <c:v>-15.072072072071933</c:v>
                </c:pt>
                <c:pt idx="6">
                  <c:v>6.8153153153152743</c:v>
                </c:pt>
                <c:pt idx="7">
                  <c:v>-1.2972972972975185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133-477E-B96E-813D5729A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40"/>
        <c:crossBetween val="midCat"/>
      </c:valAx>
      <c:valAx>
        <c:axId val="7926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 </a:t>
                </a:r>
                <a:r>
                  <a:rPr lang="pt-PT"/>
                  <a:t>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86002838083905"/>
          <c:y val="0.14470176345709815"/>
          <c:w val="0.11327002741218795"/>
          <c:h val="0.4081800037902004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Valores de velocidade do som</a:t>
            </a:r>
            <a:r>
              <a:rPr lang="en-US" sz="1200" baseline="0"/>
              <a:t> experimentais e de referência</a:t>
            </a:r>
            <a:endParaRPr lang="en-US" sz="1200"/>
          </a:p>
        </c:rich>
      </c:tx>
      <c:layout>
        <c:manualLayout>
          <c:xMode val="edge"/>
          <c:yMode val="edge"/>
          <c:x val="0.16623668805718075"/>
          <c:y val="2.29053507620808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80551766993078"/>
          <c:y val="0.26718195043553028"/>
          <c:w val="0.78778172362428833"/>
          <c:h val="0.52940346320032217"/>
        </c:manualLayout>
      </c:layout>
      <c:scatterChart>
        <c:scatterStyle val="lineMarker"/>
        <c:varyColors val="0"/>
        <c:ser>
          <c:idx val="0"/>
          <c:order val="0"/>
          <c:tx>
            <c:v>vm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f(n)'!$D$49:$D$55</c:f>
                <c:numCache>
                  <c:formatCode>General</c:formatCode>
                  <c:ptCount val="7"/>
                  <c:pt idx="0">
                    <c:v>1.5082159940629052</c:v>
                  </c:pt>
                  <c:pt idx="1">
                    <c:v>1.4776833462054222</c:v>
                  </c:pt>
                  <c:pt idx="2">
                    <c:v>1.5909282890611061</c:v>
                  </c:pt>
                  <c:pt idx="3">
                    <c:v>0.63971554480285553</c:v>
                  </c:pt>
                  <c:pt idx="4">
                    <c:v>2.0242015672783489</c:v>
                  </c:pt>
                  <c:pt idx="5">
                    <c:v>0.5800265511234669</c:v>
                  </c:pt>
                  <c:pt idx="6">
                    <c:v>0.67278664562596191</c:v>
                  </c:pt>
                </c:numCache>
              </c:numRef>
            </c:plus>
            <c:minus>
              <c:numRef>
                <c:f>'1 extremo fechado - f(n)'!$D$49:$D$55</c:f>
                <c:numCache>
                  <c:formatCode>General</c:formatCode>
                  <c:ptCount val="7"/>
                  <c:pt idx="0">
                    <c:v>1.5082159940629052</c:v>
                  </c:pt>
                  <c:pt idx="1">
                    <c:v>1.4776833462054222</c:v>
                  </c:pt>
                  <c:pt idx="2">
                    <c:v>1.5909282890611061</c:v>
                  </c:pt>
                  <c:pt idx="3">
                    <c:v>0.63971554480285553</c:v>
                  </c:pt>
                  <c:pt idx="4">
                    <c:v>2.0242015672783489</c:v>
                  </c:pt>
                  <c:pt idx="5">
                    <c:v>0.5800265511234669</c:v>
                  </c:pt>
                  <c:pt idx="6">
                    <c:v>0.67278664562596191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f(n)'!$B$49:$B$55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 extremo fechado - f(n)'!$C$49:$C$55</c:f>
              <c:numCache>
                <c:formatCode>0</c:formatCode>
                <c:ptCount val="7"/>
                <c:pt idx="0">
                  <c:v>338.87211626666669</c:v>
                </c:pt>
                <c:pt idx="1">
                  <c:v>347.16606178571419</c:v>
                </c:pt>
                <c:pt idx="2">
                  <c:v>341.45632674285713</c:v>
                </c:pt>
                <c:pt idx="3" formatCode="0.0">
                  <c:v>345.47212424787892</c:v>
                </c:pt>
                <c:pt idx="4">
                  <c:v>346.26476319841271</c:v>
                </c:pt>
                <c:pt idx="5" formatCode="0.0">
                  <c:v>344.45059941818187</c:v>
                </c:pt>
                <c:pt idx="6" formatCode="0.0">
                  <c:v>348.28098936006012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A-4CEB-8EA2-894C54AAB0DD}"/>
            </c:ext>
          </c:extLst>
        </c:ser>
        <c:ser>
          <c:idx val="1"/>
          <c:order val="1"/>
          <c:tx>
            <c:v>vmed</c:v>
          </c:tx>
          <c:spPr>
            <a:ln w="19050" cap="rnd">
              <a:solidFill>
                <a:srgbClr val="D067D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f(n)'!$C$57,'1 extremo fechado - f(n)'!$C$57)</c:f>
              <c:numCache>
                <c:formatCode>0</c:formatCode>
                <c:ptCount val="2"/>
                <c:pt idx="0">
                  <c:v>344.56614014568169</c:v>
                </c:pt>
                <c:pt idx="1">
                  <c:v>344.56614014568169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5A-4CEB-8EA2-894C54AAB0DD}"/>
            </c:ext>
          </c:extLst>
        </c:ser>
        <c:ser>
          <c:idx val="3"/>
          <c:order val="2"/>
          <c:tx>
            <c:v>inc vmed</c:v>
          </c:tx>
          <c:spPr>
            <a:ln w="19050" cap="rnd">
              <a:solidFill>
                <a:srgbClr val="E6ABE7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f(n)'!$F$57,'1 extremo fechado - f(n)'!$F$57)</c:f>
              <c:numCache>
                <c:formatCode>0</c:formatCode>
                <c:ptCount val="2"/>
                <c:pt idx="0">
                  <c:v>347.08032886617093</c:v>
                </c:pt>
                <c:pt idx="1">
                  <c:v>347.08032886617093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5A-4CEB-8EA2-894C54AAB0DD}"/>
            </c:ext>
          </c:extLst>
        </c:ser>
        <c:ser>
          <c:idx val="4"/>
          <c:order val="3"/>
          <c:tx>
            <c:v>-inc vmed</c:v>
          </c:tx>
          <c:spPr>
            <a:ln w="19050" cap="rnd">
              <a:solidFill>
                <a:srgbClr val="E6ABE7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f(n)'!$F$58,'1 extremo fechado - f(n)'!$F$58)</c:f>
              <c:numCache>
                <c:formatCode>0</c:formatCode>
                <c:ptCount val="2"/>
                <c:pt idx="0">
                  <c:v>342.05195142519244</c:v>
                </c:pt>
                <c:pt idx="1">
                  <c:v>342.05195142519244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5A-4CEB-8EA2-894C54AAB0DD}"/>
            </c:ext>
          </c:extLst>
        </c:ser>
        <c:ser>
          <c:idx val="2"/>
          <c:order val="4"/>
          <c:tx>
            <c:v>vref</c:v>
          </c:tx>
          <c:spPr>
            <a:ln w="19050" cap="rnd">
              <a:solidFill>
                <a:srgbClr val="31CF9A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f(n)'!$F$2,'1 extremo fechado - f(n)'!$F$2)</c:f>
              <c:numCache>
                <c:formatCode>0.0</c:formatCode>
                <c:ptCount val="2"/>
                <c:pt idx="0">
                  <c:v>349.19959999999998</c:v>
                </c:pt>
                <c:pt idx="1">
                  <c:v>349.19959999999998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5A-4CEB-8EA2-894C54AAB0DD}"/>
            </c:ext>
          </c:extLst>
        </c:ser>
        <c:ser>
          <c:idx val="5"/>
          <c:order val="5"/>
          <c:tx>
            <c:v>inc vref</c:v>
          </c:tx>
          <c:spPr>
            <a:ln w="19050" cap="rnd">
              <a:solidFill>
                <a:srgbClr val="A1E9D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f(n)'!$I$2,'1 extremo fechado - f(n)'!$I$2)</c:f>
              <c:numCache>
                <c:formatCode>0</c:formatCode>
                <c:ptCount val="2"/>
                <c:pt idx="0">
                  <c:v>349.50309999999996</c:v>
                </c:pt>
                <c:pt idx="1">
                  <c:v>349.50309999999996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5A-4CEB-8EA2-894C54AAB0DD}"/>
            </c:ext>
          </c:extLst>
        </c:ser>
        <c:ser>
          <c:idx val="6"/>
          <c:order val="6"/>
          <c:tx>
            <c:v>-inc ref</c:v>
          </c:tx>
          <c:spPr>
            <a:ln w="19050" cap="rnd">
              <a:solidFill>
                <a:srgbClr val="A1E9D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f(n)'!$I$3,'1 extremo fechado - f(n)'!$I$3)</c:f>
              <c:numCache>
                <c:formatCode>0</c:formatCode>
                <c:ptCount val="2"/>
                <c:pt idx="0">
                  <c:v>348.89609999999999</c:v>
                </c:pt>
                <c:pt idx="1">
                  <c:v>348.89609999999999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F5A-4CEB-8EA2-894C54AAB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65520"/>
        <c:axId val="1037347760"/>
      </c:scatterChart>
      <c:valAx>
        <c:axId val="103736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47760"/>
        <c:crosses val="autoZero"/>
        <c:crossBetween val="midCat"/>
      </c:valAx>
      <c:valAx>
        <c:axId val="10373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 (ms</a:t>
                </a:r>
                <a:r>
                  <a:rPr lang="pt-PT" baseline="30000"/>
                  <a:t>-1</a:t>
                </a:r>
                <a:r>
                  <a:rPr lang="pt-PT" baseline="0"/>
                  <a:t>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6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6"/>
        <c:delete val="1"/>
      </c:legendEntry>
      <c:layout>
        <c:manualLayout>
          <c:xMode val="edge"/>
          <c:yMode val="edge"/>
          <c:x val="5.0716985296387712E-2"/>
          <c:y val="0.15104066521308512"/>
          <c:w val="0.92146454135427902"/>
          <c:h val="9.448619510741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Valores de velocidade do som</a:t>
            </a:r>
            <a:r>
              <a:rPr lang="en-US" sz="1200" baseline="0"/>
              <a:t> experimentais e de referência</a:t>
            </a:r>
            <a:endParaRPr lang="en-US" sz="1200"/>
          </a:p>
        </c:rich>
      </c:tx>
      <c:layout>
        <c:manualLayout>
          <c:xMode val="edge"/>
          <c:yMode val="edge"/>
          <c:x val="0.16623668805718075"/>
          <c:y val="2.29053507620808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80551766993078"/>
          <c:y val="0.26718195043553028"/>
          <c:w val="0.78778172362428833"/>
          <c:h val="0.52940346320032217"/>
        </c:manualLayout>
      </c:layout>
      <c:scatterChart>
        <c:scatterStyle val="lineMarker"/>
        <c:varyColors val="0"/>
        <c:ser>
          <c:idx val="0"/>
          <c:order val="0"/>
          <c:tx>
            <c:v>vm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('1 extremo fechado - f(n)'!$D$50,'1 extremo fechado - f(n)'!$D$52:$D$55)</c:f>
                <c:numCache>
                  <c:formatCode>General</c:formatCode>
                  <c:ptCount val="5"/>
                  <c:pt idx="0">
                    <c:v>1.4776833462054222</c:v>
                  </c:pt>
                  <c:pt idx="1">
                    <c:v>0.63971554480285553</c:v>
                  </c:pt>
                  <c:pt idx="2">
                    <c:v>2.0242015672783489</c:v>
                  </c:pt>
                  <c:pt idx="3">
                    <c:v>0.5800265511234669</c:v>
                  </c:pt>
                  <c:pt idx="4">
                    <c:v>0.67278664562596191</c:v>
                  </c:pt>
                </c:numCache>
              </c:numRef>
            </c:plus>
            <c:minus>
              <c:numRef>
                <c:f>('1 extremo fechado - f(n)'!$D$50,'1 extremo fechado - f(n)'!$D$52:$D$55)</c:f>
                <c:numCache>
                  <c:formatCode>General</c:formatCode>
                  <c:ptCount val="5"/>
                  <c:pt idx="0">
                    <c:v>1.4776833462054222</c:v>
                  </c:pt>
                  <c:pt idx="1">
                    <c:v>0.63971554480285553</c:v>
                  </c:pt>
                  <c:pt idx="2">
                    <c:v>2.0242015672783489</c:v>
                  </c:pt>
                  <c:pt idx="3">
                    <c:v>0.5800265511234669</c:v>
                  </c:pt>
                  <c:pt idx="4">
                    <c:v>0.67278664562596191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('1 extremo fechado - f(n)'!$B$50,'1 extremo fechado - f(n)'!$B$52:$B$55)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('1 extremo fechado - f(n)'!$C$50,'1 extremo fechado - f(n)'!$C$52:$C$55)</c:f>
              <c:numCache>
                <c:formatCode>0.0</c:formatCode>
                <c:ptCount val="5"/>
                <c:pt idx="0" formatCode="0">
                  <c:v>347.16606178571419</c:v>
                </c:pt>
                <c:pt idx="1">
                  <c:v>345.47212424787892</c:v>
                </c:pt>
                <c:pt idx="2" formatCode="0">
                  <c:v>346.26476319841271</c:v>
                </c:pt>
                <c:pt idx="3">
                  <c:v>344.45059941818187</c:v>
                </c:pt>
                <c:pt idx="4">
                  <c:v>348.28098936006012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E-4204-9A92-917D0598B527}"/>
            </c:ext>
          </c:extLst>
        </c:ser>
        <c:ser>
          <c:idx val="1"/>
          <c:order val="1"/>
          <c:tx>
            <c:v>vmed</c:v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f(n)'!$C$76,'1 extremo fechado - f(n)'!$C$76)</c:f>
              <c:numCache>
                <c:formatCode>0</c:formatCode>
                <c:ptCount val="2"/>
                <c:pt idx="0">
                  <c:v>346.32690760204957</c:v>
                </c:pt>
                <c:pt idx="1">
                  <c:v>346.32690760204957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8E-4204-9A92-917D0598B527}"/>
            </c:ext>
          </c:extLst>
        </c:ser>
        <c:ser>
          <c:idx val="3"/>
          <c:order val="2"/>
          <c:tx>
            <c:v>inc vmed</c:v>
          </c:tx>
          <c:spPr>
            <a:ln w="19050" cap="rnd">
              <a:solidFill>
                <a:srgbClr val="E6ABE7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f(n)'!$F$76,'1 extremo fechado - f(n)'!$F$76)</c:f>
              <c:numCache>
                <c:formatCode>0</c:formatCode>
                <c:ptCount val="2"/>
                <c:pt idx="0">
                  <c:v>347.65187282206637</c:v>
                </c:pt>
                <c:pt idx="1">
                  <c:v>347.65187282206637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8E-4204-9A92-917D0598B527}"/>
            </c:ext>
          </c:extLst>
        </c:ser>
        <c:ser>
          <c:idx val="4"/>
          <c:order val="3"/>
          <c:tx>
            <c:v>-inc vmed</c:v>
          </c:tx>
          <c:spPr>
            <a:ln w="19050" cap="rnd">
              <a:solidFill>
                <a:srgbClr val="E6ABE7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f(n)'!$F$77,'1 extremo fechado - f(n)'!$F$77)</c:f>
              <c:numCache>
                <c:formatCode>0</c:formatCode>
                <c:ptCount val="2"/>
                <c:pt idx="0">
                  <c:v>345.00194238203278</c:v>
                </c:pt>
                <c:pt idx="1">
                  <c:v>345.00194238203278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8E-4204-9A92-917D0598B527}"/>
            </c:ext>
          </c:extLst>
        </c:ser>
        <c:ser>
          <c:idx val="2"/>
          <c:order val="4"/>
          <c:tx>
            <c:v>vref</c:v>
          </c:tx>
          <c:spPr>
            <a:ln w="19050" cap="rnd">
              <a:solidFill>
                <a:srgbClr val="31CF9A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f(n)'!$F$2,'1 extremo fechado - f(n)'!$F$2)</c:f>
              <c:numCache>
                <c:formatCode>0.0</c:formatCode>
                <c:ptCount val="2"/>
                <c:pt idx="0">
                  <c:v>349.19959999999998</c:v>
                </c:pt>
                <c:pt idx="1">
                  <c:v>349.19959999999998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8E-4204-9A92-917D0598B527}"/>
            </c:ext>
          </c:extLst>
        </c:ser>
        <c:ser>
          <c:idx val="5"/>
          <c:order val="5"/>
          <c:tx>
            <c:v>inc vref</c:v>
          </c:tx>
          <c:spPr>
            <a:ln w="19050" cap="rnd">
              <a:solidFill>
                <a:srgbClr val="A1E9D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f(n)'!$I$2,'1 extremo fechado - f(n)'!$I$2)</c:f>
              <c:numCache>
                <c:formatCode>0</c:formatCode>
                <c:ptCount val="2"/>
                <c:pt idx="0">
                  <c:v>349.50309999999996</c:v>
                </c:pt>
                <c:pt idx="1">
                  <c:v>349.50309999999996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8E-4204-9A92-917D0598B527}"/>
            </c:ext>
          </c:extLst>
        </c:ser>
        <c:ser>
          <c:idx val="6"/>
          <c:order val="6"/>
          <c:tx>
            <c:v>-inc ref</c:v>
          </c:tx>
          <c:spPr>
            <a:ln w="19050" cap="rnd">
              <a:solidFill>
                <a:srgbClr val="A1E9D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0.8</c:v>
              </c:pt>
              <c:pt idx="1">
                <c:v>7.2</c:v>
              </c:pt>
            </c:numLit>
          </c:xVal>
          <c:yVal>
            <c:numRef>
              <c:f>('1 extremo fechado - f(n)'!$I$3,'1 extremo fechado - f(n)'!$I$3)</c:f>
              <c:numCache>
                <c:formatCode>0</c:formatCode>
                <c:ptCount val="2"/>
                <c:pt idx="0">
                  <c:v>348.89609999999999</c:v>
                </c:pt>
                <c:pt idx="1">
                  <c:v>348.89609999999999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8E-4204-9A92-917D0598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65520"/>
        <c:axId val="1037347760"/>
      </c:scatterChart>
      <c:valAx>
        <c:axId val="103736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47760"/>
        <c:crosses val="autoZero"/>
        <c:crossBetween val="midCat"/>
      </c:valAx>
      <c:valAx>
        <c:axId val="10373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 (ms</a:t>
                </a:r>
                <a:r>
                  <a:rPr lang="pt-PT" baseline="30000"/>
                  <a:t>-1</a:t>
                </a:r>
                <a:r>
                  <a:rPr lang="pt-PT" baseline="0"/>
                  <a:t>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6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6"/>
        <c:delete val="1"/>
      </c:legendEntry>
      <c:layout>
        <c:manualLayout>
          <c:xMode val="edge"/>
          <c:yMode val="edge"/>
          <c:x val="5.0716985296387712E-2"/>
          <c:y val="0.15104066521308512"/>
          <c:w val="0.92146454135427902"/>
          <c:h val="9.448619510741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o modo n =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66497333736642"/>
          <c:y val="0.16618404140757981"/>
          <c:w val="0.75870361309888401"/>
          <c:h val="0.64764929876434774"/>
        </c:manualLayout>
      </c:layout>
      <c:scatterChart>
        <c:scatterStyle val="lineMarker"/>
        <c:varyColors val="0"/>
        <c:ser>
          <c:idx val="0"/>
          <c:order val="0"/>
          <c:tx>
            <c:v>n =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l(f^-1)'!$H$6:$H$10</c:f>
              <c:numCache>
                <c:formatCode>0.00E+00</c:formatCode>
                <c:ptCount val="5"/>
                <c:pt idx="0" formatCode="0.000E+00">
                  <c:v>5.8823529411764701E-4</c:v>
                </c:pt>
                <c:pt idx="1">
                  <c:v>6.9013112491373362E-4</c:v>
                </c:pt>
                <c:pt idx="2" formatCode="0.000E+00">
                  <c:v>7.0821529745042496E-4</c:v>
                </c:pt>
                <c:pt idx="3">
                  <c:v>9.025270758122744E-4</c:v>
                </c:pt>
                <c:pt idx="4">
                  <c:v>9.7560975609756097E-4</c:v>
                </c:pt>
              </c:numCache>
            </c:numRef>
          </c:xVal>
          <c:yVal>
            <c:numRef>
              <c:f>'1 extremo fechado - l(f^-1)'!$D$6:$D$10</c:f>
              <c:numCache>
                <c:formatCode>0.0000E+00</c:formatCode>
                <c:ptCount val="5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B-44EA-824B-26DA67C6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1.0000000000000002E-3"/>
          <c:min val="5.5000000000000014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9.0000000000000033E-5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o modo n =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l(f^-1)'!$H$21:$H$26</c:f>
              <c:numCache>
                <c:formatCode>0.000E+00</c:formatCode>
                <c:ptCount val="6"/>
                <c:pt idx="0">
                  <c:v>3.570153516601214E-4</c:v>
                </c:pt>
                <c:pt idx="1">
                  <c:v>4.0535062829347385E-4</c:v>
                </c:pt>
                <c:pt idx="2">
                  <c:v>4.1963911036508602E-4</c:v>
                </c:pt>
                <c:pt idx="3" formatCode="0.00E+00">
                  <c:v>5.1626226122870422E-4</c:v>
                </c:pt>
                <c:pt idx="4">
                  <c:v>5.6657223796033991E-4</c:v>
                </c:pt>
                <c:pt idx="5" formatCode="0.00E+00">
                  <c:v>6.105006105006105E-4</c:v>
                </c:pt>
              </c:numCache>
            </c:numRef>
          </c:xVal>
          <c:yVal>
            <c:numRef>
              <c:f>'1 extremo fechado - l(f^-1)'!$D$21:$D$26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4-4E27-9734-D1E3283DD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6.5000000000000019E-4"/>
          <c:min val="3.500000000000001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5.0000000000000023E-5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o modo n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l(f^-1)'!$H$36:$H$41</c:f>
              <c:numCache>
                <c:formatCode>0.000E+00</c:formatCode>
                <c:ptCount val="6"/>
                <c:pt idx="0">
                  <c:v>2.533569799847986E-4</c:v>
                </c:pt>
                <c:pt idx="1">
                  <c:v>2.906131938390003E-4</c:v>
                </c:pt>
                <c:pt idx="2">
                  <c:v>3.0165912518853697E-4</c:v>
                </c:pt>
                <c:pt idx="3">
                  <c:v>3.6913990402362494E-4</c:v>
                </c:pt>
                <c:pt idx="4">
                  <c:v>4.0584415584415587E-4</c:v>
                </c:pt>
                <c:pt idx="5">
                  <c:v>4.3554006968641115E-4</c:v>
                </c:pt>
              </c:numCache>
            </c:numRef>
          </c:xVal>
          <c:yVal>
            <c:numRef>
              <c:f>'1 extremo fechado - l(f^-1)'!$D$36:$D$41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1-43BD-BC24-4BFF76A9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4.5000000000000015E-4"/>
          <c:min val="2.4000000000000009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3.0000000000000011E-5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o modo n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l(f^-1)'!$H$51:$H$56</c:f>
              <c:numCache>
                <c:formatCode>0.000E+00</c:formatCode>
                <c:ptCount val="6"/>
                <c:pt idx="0">
                  <c:v>1.9708316909735908E-4</c:v>
                </c:pt>
                <c:pt idx="1">
                  <c:v>2.2665457842248413E-4</c:v>
                </c:pt>
                <c:pt idx="2" formatCode="0.0000E+00">
                  <c:v>2.3529411764705883E-4</c:v>
                </c:pt>
                <c:pt idx="3">
                  <c:v>2.8595939376608524E-4</c:v>
                </c:pt>
                <c:pt idx="4">
                  <c:v>3.1715826197272439E-4</c:v>
                </c:pt>
                <c:pt idx="5">
                  <c:v>3.3366700033366702E-4</c:v>
                </c:pt>
              </c:numCache>
            </c:numRef>
          </c:xVal>
          <c:yVal>
            <c:numRef>
              <c:f>'1 extremo fechado - l(f^-1)'!$D$51:$D$56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B2-4E31-9F66-8A4E7EB3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3.4000000000000008E-4"/>
          <c:min val="1.900000000000000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3.0000000000000011E-5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o modo n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l(f^-1)'!$H$66:$H$71</c:f>
              <c:numCache>
                <c:formatCode>0.000E+00</c:formatCode>
                <c:ptCount val="6"/>
                <c:pt idx="0" formatCode="0.0000E+00">
                  <c:v>1.6116035455278002E-4</c:v>
                </c:pt>
                <c:pt idx="1">
                  <c:v>1.8467220683287164E-4</c:v>
                </c:pt>
                <c:pt idx="2" formatCode="0.0000E+00">
                  <c:v>1.9149751053236308E-4</c:v>
                </c:pt>
                <c:pt idx="3">
                  <c:v>2.3713540431586437E-4</c:v>
                </c:pt>
                <c:pt idx="4">
                  <c:v>2.5786487880350697E-4</c:v>
                </c:pt>
                <c:pt idx="5">
                  <c:v>2.7654867256637168E-4</c:v>
                </c:pt>
              </c:numCache>
            </c:numRef>
          </c:xVal>
          <c:yVal>
            <c:numRef>
              <c:f>'1 extremo fechado - l(f^-1)'!$D$66:$D$71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88-471D-8701-CBC4F5F4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3.0000000000000008E-4"/>
          <c:min val="1.5000000000000007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3.0000000000000011E-5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o modo n =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l(f^-1)'!$H$81:$H$86</c:f>
              <c:numCache>
                <c:formatCode>0.000E+00</c:formatCode>
                <c:ptCount val="6"/>
                <c:pt idx="0" formatCode="0.0000E+00">
                  <c:v>1.3542795232936077E-4</c:v>
                </c:pt>
                <c:pt idx="1">
                  <c:v>1.552312946289972E-4</c:v>
                </c:pt>
                <c:pt idx="2" formatCode="0.0000E+00">
                  <c:v>1.6270745200130165E-4</c:v>
                </c:pt>
                <c:pt idx="3">
                  <c:v>2.002803925495694E-4</c:v>
                </c:pt>
                <c:pt idx="4">
                  <c:v>2.185792349726776E-4</c:v>
                </c:pt>
                <c:pt idx="5">
                  <c:v>2.3348120476301658E-4</c:v>
                </c:pt>
              </c:numCache>
            </c:numRef>
          </c:xVal>
          <c:yVal>
            <c:numRef>
              <c:f>'1 extremo fechado - l(f^-1)'!$D$81:$D$86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4-4130-B938-50C7C9BB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2.4000000000000009E-4"/>
          <c:min val="1.2000000000000004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2.0000000000000008E-5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l(1/f)</a:t>
            </a:r>
            <a:r>
              <a:rPr lang="en-US" baseline="0"/>
              <a:t> para o modo n =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l(f^-1)'!$E$6:$E$10</c:f>
                <c:numCache>
                  <c:formatCode>General</c:formatCode>
                  <c:ptCount val="5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</c:numCache>
              </c:numRef>
            </c:plus>
            <c:minus>
              <c:numRef>
                <c:f>'1 extremo fechado - l(f^-1)'!$E$6:$E$10</c:f>
                <c:numCache>
                  <c:formatCode>General</c:formatCode>
                  <c:ptCount val="5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l(f^-1)'!$H$6:$H$10</c:f>
              <c:numCache>
                <c:formatCode>0.00E+00</c:formatCode>
                <c:ptCount val="5"/>
                <c:pt idx="0" formatCode="0.000E+00">
                  <c:v>5.8823529411764701E-4</c:v>
                </c:pt>
                <c:pt idx="1">
                  <c:v>6.9013112491373362E-4</c:v>
                </c:pt>
                <c:pt idx="2" formatCode="0.000E+00">
                  <c:v>7.0821529745042496E-4</c:v>
                </c:pt>
                <c:pt idx="3">
                  <c:v>9.025270758122744E-4</c:v>
                </c:pt>
                <c:pt idx="4">
                  <c:v>9.7560975609756097E-4</c:v>
                </c:pt>
              </c:numCache>
            </c:numRef>
          </c:xVal>
          <c:yVal>
            <c:numRef>
              <c:f>'1 extremo fechado - l(f^-1)'!$K$6:$K$10</c:f>
              <c:numCache>
                <c:formatCode>0E+00</c:formatCode>
                <c:ptCount val="5"/>
                <c:pt idx="0">
                  <c:v>1.2318818087771743E-3</c:v>
                </c:pt>
                <c:pt idx="1">
                  <c:v>-3.6322366333811917E-3</c:v>
                </c:pt>
                <c:pt idx="2">
                  <c:v>2.5639670786495317E-3</c:v>
                </c:pt>
                <c:pt idx="3">
                  <c:v>-1.7222165245956156E-3</c:v>
                </c:pt>
                <c:pt idx="4">
                  <c:v>1.5586042705501291E-3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C2-405F-8636-445662270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1.0000000000000002E-3"/>
          <c:min val="5.5000000000000014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At val="-4.000000000000001E-3"/>
        <c:crossBetween val="midCat"/>
        <c:majorUnit val="9.0000000000000033E-5"/>
      </c:valAx>
      <c:valAx>
        <c:axId val="583527695"/>
        <c:scaling>
          <c:orientation val="minMax"/>
          <c:max val="3.0000000000000009E-3"/>
          <c:min val="-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- l</a:t>
                </a:r>
                <a:r>
                  <a:rPr lang="pt-PT" baseline="-25000"/>
                  <a:t>ajuste </a:t>
                </a:r>
                <a:r>
                  <a:rPr lang="pt-PT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l(1/f)</a:t>
            </a:r>
            <a:r>
              <a:rPr lang="en-US" baseline="0"/>
              <a:t> para o modo n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l(f^-1)'!$E$21:$E$26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plus>
            <c:minus>
              <c:numRef>
                <c:f>'1 extremo fechado - l(f^-1)'!$E$21:$E$26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l(f^-1)'!$H$21:$H$26</c:f>
              <c:numCache>
                <c:formatCode>0.000E+00</c:formatCode>
                <c:ptCount val="6"/>
                <c:pt idx="0">
                  <c:v>3.570153516601214E-4</c:v>
                </c:pt>
                <c:pt idx="1">
                  <c:v>4.0535062829347385E-4</c:v>
                </c:pt>
                <c:pt idx="2">
                  <c:v>4.1963911036508602E-4</c:v>
                </c:pt>
                <c:pt idx="3" formatCode="0.00E+00">
                  <c:v>5.1626226122870422E-4</c:v>
                </c:pt>
                <c:pt idx="4">
                  <c:v>5.6657223796033991E-4</c:v>
                </c:pt>
                <c:pt idx="5" formatCode="0.00E+00">
                  <c:v>6.105006105006105E-4</c:v>
                </c:pt>
              </c:numCache>
            </c:numRef>
          </c:xVal>
          <c:yVal>
            <c:numRef>
              <c:f>'1 extremo fechado - l(f^-1)'!$K$21:$K$26</c:f>
              <c:numCache>
                <c:formatCode>0E+00</c:formatCode>
                <c:ptCount val="6"/>
                <c:pt idx="0">
                  <c:v>2.1180989174882092E-4</c:v>
                </c:pt>
                <c:pt idx="1">
                  <c:v>-2.1613447250492523E-3</c:v>
                </c:pt>
                <c:pt idx="2">
                  <c:v>2.0174020648052737E-3</c:v>
                </c:pt>
                <c:pt idx="3">
                  <c:v>5.648441621088629E-4</c:v>
                </c:pt>
                <c:pt idx="4">
                  <c:v>-1.1055547118507258E-3</c:v>
                </c:pt>
                <c:pt idx="5">
                  <c:v>4.7284331823704839E-4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9-417A-8F72-5787DD180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6.5000000000000019E-4"/>
          <c:min val="3.500000000000001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At val="-4.000000000000001E-3"/>
        <c:crossBetween val="midCat"/>
        <c:majorUnit val="5.0000000000000023E-5"/>
      </c:valAx>
      <c:valAx>
        <c:axId val="583527695"/>
        <c:scaling>
          <c:orientation val="minMax"/>
          <c:max val="3.0000000000000009E-3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- l</a:t>
                </a:r>
                <a:r>
                  <a:rPr lang="pt-PT" baseline="-25000"/>
                  <a:t>ajuste</a:t>
                </a:r>
                <a:r>
                  <a:rPr lang="pt-PT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l(1/f)</a:t>
            </a:r>
            <a:r>
              <a:rPr lang="en-US" baseline="0"/>
              <a:t> para o modo n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l(f^-1)'!$E$36:$E$41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plus>
            <c:minus>
              <c:numRef>
                <c:f>'1 extremo fechado - l(f^-1)'!$E$36:$E$41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l(f^-1)'!$H$36:$H$41</c:f>
              <c:numCache>
                <c:formatCode>0.000E+00</c:formatCode>
                <c:ptCount val="6"/>
                <c:pt idx="0">
                  <c:v>2.533569799847986E-4</c:v>
                </c:pt>
                <c:pt idx="1">
                  <c:v>2.906131938390003E-4</c:v>
                </c:pt>
                <c:pt idx="2">
                  <c:v>3.0165912518853697E-4</c:v>
                </c:pt>
                <c:pt idx="3">
                  <c:v>3.6913990402362494E-4</c:v>
                </c:pt>
                <c:pt idx="4">
                  <c:v>4.0584415584415587E-4</c:v>
                </c:pt>
                <c:pt idx="5">
                  <c:v>4.3554006968641115E-4</c:v>
                </c:pt>
              </c:numCache>
            </c:numRef>
          </c:xVal>
          <c:yVal>
            <c:numRef>
              <c:f>'1 extremo fechado - l(f^-1)'!$K$36:$K$41</c:f>
              <c:numCache>
                <c:formatCode>0E+00</c:formatCode>
                <c:ptCount val="6"/>
                <c:pt idx="0">
                  <c:v>1.3467317984336424E-3</c:v>
                </c:pt>
                <c:pt idx="1">
                  <c:v>-2.6326253811368716E-3</c:v>
                </c:pt>
                <c:pt idx="2">
                  <c:v>1.0517145569464981E-3</c:v>
                </c:pt>
                <c:pt idx="3">
                  <c:v>5.9896774159431954E-4</c:v>
                </c:pt>
                <c:pt idx="4">
                  <c:v>-1.4948078043255097E-3</c:v>
                </c:pt>
                <c:pt idx="5">
                  <c:v>1.1300190884878658E-3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8-4BAD-83E8-F92B45208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4.5000000000000015E-4"/>
          <c:min val="2.4000000000000009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At val="-4.000000000000001E-3"/>
        <c:crossBetween val="midCat"/>
        <c:majorUnit val="3.0000000000000011E-5"/>
      </c:valAx>
      <c:valAx>
        <c:axId val="583527695"/>
        <c:scaling>
          <c:orientation val="minMax"/>
          <c:max val="2.0000000000000005E-3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- l</a:t>
                </a:r>
                <a:r>
                  <a:rPr lang="pt-PT" baseline="-25000"/>
                  <a:t>ajuste</a:t>
                </a:r>
                <a:r>
                  <a:rPr lang="pt-PT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l(1/f)</a:t>
            </a:r>
            <a:r>
              <a:rPr lang="en-US" baseline="0"/>
              <a:t> para o modo n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l(f^-1)'!$E$51:$E$56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plus>
            <c:minus>
              <c:numRef>
                <c:f>'1 extremo fechado - l(f^-1)'!$E$51:$E$56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l(f^-1)'!$H$51:$H$56</c:f>
              <c:numCache>
                <c:formatCode>0.000E+00</c:formatCode>
                <c:ptCount val="6"/>
                <c:pt idx="0">
                  <c:v>1.9708316909735908E-4</c:v>
                </c:pt>
                <c:pt idx="1">
                  <c:v>2.2665457842248413E-4</c:v>
                </c:pt>
                <c:pt idx="2" formatCode="0.0000E+00">
                  <c:v>2.3529411764705883E-4</c:v>
                </c:pt>
                <c:pt idx="3">
                  <c:v>2.8595939376608524E-4</c:v>
                </c:pt>
                <c:pt idx="4">
                  <c:v>3.1715826197272439E-4</c:v>
                </c:pt>
                <c:pt idx="5">
                  <c:v>3.3366700033366702E-4</c:v>
                </c:pt>
              </c:numCache>
            </c:numRef>
          </c:xVal>
          <c:yVal>
            <c:numRef>
              <c:f>'1 extremo fechado - l(f^-1)'!$K$51:$K$56</c:f>
              <c:numCache>
                <c:formatCode>0E+00</c:formatCode>
                <c:ptCount val="6"/>
                <c:pt idx="0">
                  <c:v>2.0528849640909785E-3</c:v>
                </c:pt>
                <c:pt idx="1">
                  <c:v>-2.8878435649816736E-3</c:v>
                </c:pt>
                <c:pt idx="2">
                  <c:v>6.1266296822534705E-4</c:v>
                </c:pt>
                <c:pt idx="3">
                  <c:v>7.0924632336855087E-4</c:v>
                </c:pt>
                <c:pt idx="4">
                  <c:v>-3.9652712955298985E-3</c:v>
                </c:pt>
                <c:pt idx="5">
                  <c:v>3.47832060482689E-3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D-4C29-A0FB-B83D113DD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3.4000000000000008E-4"/>
          <c:min val="1.900000000000000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At val="-5.000000000000001E-3"/>
        <c:crossBetween val="midCat"/>
        <c:majorUnit val="3.0000000000000011E-5"/>
      </c:valAx>
      <c:valAx>
        <c:axId val="583527695"/>
        <c:scaling>
          <c:orientation val="minMax"/>
          <c:max val="4.000000000000001E-3"/>
          <c:min val="-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- l</a:t>
                </a:r>
                <a:r>
                  <a:rPr lang="pt-PT" baseline="-25000"/>
                  <a:t>ajuste</a:t>
                </a:r>
                <a:r>
                  <a:rPr lang="pt-PT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l(1/f)</a:t>
            </a:r>
            <a:r>
              <a:rPr lang="en-US" baseline="0"/>
              <a:t> para o modo n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l(f^-1)'!$E$66:$E$71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plus>
            <c:minus>
              <c:numRef>
                <c:f>'1 extremo fechado - l(f^-1)'!$E$66:$E$71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l(f^-1)'!$H$66:$H$71</c:f>
              <c:numCache>
                <c:formatCode>0.000E+00</c:formatCode>
                <c:ptCount val="6"/>
                <c:pt idx="0" formatCode="0.0000E+00">
                  <c:v>1.6116035455278002E-4</c:v>
                </c:pt>
                <c:pt idx="1">
                  <c:v>1.8467220683287164E-4</c:v>
                </c:pt>
                <c:pt idx="2" formatCode="0.0000E+00">
                  <c:v>1.9149751053236308E-4</c:v>
                </c:pt>
                <c:pt idx="3">
                  <c:v>2.3713540431586437E-4</c:v>
                </c:pt>
                <c:pt idx="4">
                  <c:v>2.5786487880350697E-4</c:v>
                </c:pt>
                <c:pt idx="5">
                  <c:v>2.7654867256637168E-4</c:v>
                </c:pt>
              </c:numCache>
            </c:numRef>
          </c:xVal>
          <c:yVal>
            <c:numRef>
              <c:f>'1 extremo fechado - l(f^-1)'!$K$66:$K$71</c:f>
              <c:numCache>
                <c:formatCode>0E+00</c:formatCode>
                <c:ptCount val="6"/>
                <c:pt idx="0">
                  <c:v>1.4019582216125703E-3</c:v>
                </c:pt>
                <c:pt idx="1">
                  <c:v>-2.3609260294674694E-3</c:v>
                </c:pt>
                <c:pt idx="2">
                  <c:v>1.5251513311284604E-3</c:v>
                </c:pt>
                <c:pt idx="3">
                  <c:v>-1.4182319331343396E-3</c:v>
                </c:pt>
                <c:pt idx="4">
                  <c:v>-9.9951858153940476E-4</c:v>
                </c:pt>
                <c:pt idx="5">
                  <c:v>1.8515669914002109E-3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E-42DE-80D3-F92AD08BD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3.0000000000000008E-4"/>
          <c:min val="1.5000000000000007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At val="-5.000000000000001E-3"/>
        <c:crossBetween val="midCat"/>
        <c:majorUnit val="3.0000000000000011E-5"/>
      </c:valAx>
      <c:valAx>
        <c:axId val="583527695"/>
        <c:scaling>
          <c:orientation val="minMax"/>
          <c:max val="3.0000000000000009E-3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- l</a:t>
                </a:r>
                <a:r>
                  <a:rPr lang="pt-PT" baseline="-25000"/>
                  <a:t>ajuste</a:t>
                </a:r>
                <a:r>
                  <a:rPr lang="pt-PT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l(1/f)</a:t>
            </a:r>
            <a:r>
              <a:rPr lang="en-US" baseline="0"/>
              <a:t> para o modo n =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extremo fechado - l(f^-1)'!$E$81:$E$86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plus>
            <c:minus>
              <c:numRef>
                <c:f>'1 extremo fechado - l(f^-1)'!$E$81:$E$86</c:f>
                <c:numCache>
                  <c:formatCode>General</c:formatCode>
                  <c:ptCount val="6"/>
                  <c:pt idx="0">
                    <c:v>6.6666666666629719E-6</c:v>
                  </c:pt>
                  <c:pt idx="1">
                    <c:v>1.6666666666665719E-5</c:v>
                  </c:pt>
                  <c:pt idx="2">
                    <c:v>1.6666666666666901E-5</c:v>
                  </c:pt>
                  <c:pt idx="3">
                    <c:v>1.6666666666666905E-5</c:v>
                  </c:pt>
                  <c:pt idx="4">
                    <c:v>1.6666666666666905E-5</c:v>
                  </c:pt>
                  <c:pt idx="5">
                    <c:v>1.6666666666666905E-5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extremo fechado - l(f^-1)'!$H$81:$H$86</c:f>
              <c:numCache>
                <c:formatCode>0.000E+00</c:formatCode>
                <c:ptCount val="6"/>
                <c:pt idx="0" formatCode="0.0000E+00">
                  <c:v>1.3542795232936077E-4</c:v>
                </c:pt>
                <c:pt idx="1">
                  <c:v>1.552312946289972E-4</c:v>
                </c:pt>
                <c:pt idx="2" formatCode="0.0000E+00">
                  <c:v>1.6270745200130165E-4</c:v>
                </c:pt>
                <c:pt idx="3">
                  <c:v>2.002803925495694E-4</c:v>
                </c:pt>
                <c:pt idx="4">
                  <c:v>2.185792349726776E-4</c:v>
                </c:pt>
                <c:pt idx="5">
                  <c:v>2.3348120476301658E-4</c:v>
                </c:pt>
              </c:numCache>
            </c:numRef>
          </c:xVal>
          <c:yVal>
            <c:numRef>
              <c:f>'1 extremo fechado - l(f^-1)'!$K$81:$K$86</c:f>
              <c:numCache>
                <c:formatCode>0E+00</c:formatCode>
                <c:ptCount val="6"/>
                <c:pt idx="0">
                  <c:v>1.812247989270821E-3</c:v>
                </c:pt>
                <c:pt idx="1">
                  <c:v>-1.7265079989692289E-3</c:v>
                </c:pt>
                <c:pt idx="2">
                  <c:v>3.0688903180736693E-4</c:v>
                </c:pt>
                <c:pt idx="3">
                  <c:v>-1.2394524312957511E-3</c:v>
                </c:pt>
                <c:pt idx="4">
                  <c:v>-1.5545981617696158E-3</c:v>
                </c:pt>
                <c:pt idx="5">
                  <c:v>2.4014215709565745E-3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0-4B89-B5C8-E092430BA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2.4000000000000009E-4"/>
          <c:min val="1.2000000000000004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At val="-5.000000000000001E-3"/>
        <c:crossBetween val="midCat"/>
        <c:majorUnit val="2.0000000000000008E-5"/>
      </c:valAx>
      <c:valAx>
        <c:axId val="583527695"/>
        <c:scaling>
          <c:orientation val="minMax"/>
          <c:max val="3.0000000000000009E-3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- l</a:t>
                </a:r>
                <a:r>
                  <a:rPr lang="pt-PT" baseline="-25000"/>
                  <a:t>ajuste</a:t>
                </a:r>
                <a:r>
                  <a:rPr lang="pt-PT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Ajuste de l(1/f)</a:t>
            </a:r>
            <a:r>
              <a:rPr lang="en-US" baseline="0"/>
              <a:t> para todos os modos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66497333736642"/>
          <c:y val="0.16618404140757981"/>
          <c:w val="0.78501108666253183"/>
          <c:h val="0.64764929876434774"/>
        </c:manualLayout>
      </c:layout>
      <c:scatterChart>
        <c:scatterStyle val="lineMarker"/>
        <c:varyColors val="0"/>
        <c:ser>
          <c:idx val="0"/>
          <c:order val="0"/>
          <c:tx>
            <c:v>n =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l(f^-1)'!$H$6:$H$10</c:f>
              <c:numCache>
                <c:formatCode>0.00E+00</c:formatCode>
                <c:ptCount val="5"/>
                <c:pt idx="0" formatCode="0.000E+00">
                  <c:v>5.8823529411764701E-4</c:v>
                </c:pt>
                <c:pt idx="1">
                  <c:v>6.9013112491373362E-4</c:v>
                </c:pt>
                <c:pt idx="2" formatCode="0.000E+00">
                  <c:v>7.0821529745042496E-4</c:v>
                </c:pt>
                <c:pt idx="3">
                  <c:v>9.025270758122744E-4</c:v>
                </c:pt>
                <c:pt idx="4">
                  <c:v>9.7560975609756097E-4</c:v>
                </c:pt>
              </c:numCache>
            </c:numRef>
          </c:xVal>
          <c:yVal>
            <c:numRef>
              <c:f>'1 extremo fechado - l(f^-1)'!$D$6:$D$10</c:f>
              <c:numCache>
                <c:formatCode>0.0000E+00</c:formatCode>
                <c:ptCount val="5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7-4DC2-9D56-D784BAA411F5}"/>
            </c:ext>
          </c:extLst>
        </c:ser>
        <c:ser>
          <c:idx val="1"/>
          <c:order val="1"/>
          <c:tx>
            <c:v>n =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l(f^-1)'!$H$21:$H$26</c:f>
              <c:numCache>
                <c:formatCode>0.000E+00</c:formatCode>
                <c:ptCount val="6"/>
                <c:pt idx="0">
                  <c:v>3.570153516601214E-4</c:v>
                </c:pt>
                <c:pt idx="1">
                  <c:v>4.0535062829347385E-4</c:v>
                </c:pt>
                <c:pt idx="2">
                  <c:v>4.1963911036508602E-4</c:v>
                </c:pt>
                <c:pt idx="3" formatCode="0.00E+00">
                  <c:v>5.1626226122870422E-4</c:v>
                </c:pt>
                <c:pt idx="4">
                  <c:v>5.6657223796033991E-4</c:v>
                </c:pt>
                <c:pt idx="5" formatCode="0.00E+00">
                  <c:v>6.105006105006105E-4</c:v>
                </c:pt>
              </c:numCache>
            </c:numRef>
          </c:xVal>
          <c:yVal>
            <c:numRef>
              <c:f>'1 extremo fechado - l(f^-1)'!$D$21:$D$26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97-4DC2-9D56-D784BAA411F5}"/>
            </c:ext>
          </c:extLst>
        </c:ser>
        <c:ser>
          <c:idx val="2"/>
          <c:order val="2"/>
          <c:tx>
            <c:v>n =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l(f^-1)'!$H$36:$H$41</c:f>
              <c:numCache>
                <c:formatCode>0.000E+00</c:formatCode>
                <c:ptCount val="6"/>
                <c:pt idx="0">
                  <c:v>2.533569799847986E-4</c:v>
                </c:pt>
                <c:pt idx="1">
                  <c:v>2.906131938390003E-4</c:v>
                </c:pt>
                <c:pt idx="2">
                  <c:v>3.0165912518853697E-4</c:v>
                </c:pt>
                <c:pt idx="3">
                  <c:v>3.6913990402362494E-4</c:v>
                </c:pt>
                <c:pt idx="4">
                  <c:v>4.0584415584415587E-4</c:v>
                </c:pt>
                <c:pt idx="5">
                  <c:v>4.3554006968641115E-4</c:v>
                </c:pt>
              </c:numCache>
            </c:numRef>
          </c:xVal>
          <c:yVal>
            <c:numRef>
              <c:f>'1 extremo fechado - l(f^-1)'!$D$36:$D$41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7-4DC2-9D56-D784BAA411F5}"/>
            </c:ext>
          </c:extLst>
        </c:ser>
        <c:ser>
          <c:idx val="3"/>
          <c:order val="3"/>
          <c:tx>
            <c:v>n =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l(f^-1)'!$H$51:$H$56</c:f>
              <c:numCache>
                <c:formatCode>0.000E+00</c:formatCode>
                <c:ptCount val="6"/>
                <c:pt idx="0">
                  <c:v>1.9708316909735908E-4</c:v>
                </c:pt>
                <c:pt idx="1">
                  <c:v>2.2665457842248413E-4</c:v>
                </c:pt>
                <c:pt idx="2" formatCode="0.0000E+00">
                  <c:v>2.3529411764705883E-4</c:v>
                </c:pt>
                <c:pt idx="3">
                  <c:v>2.8595939376608524E-4</c:v>
                </c:pt>
                <c:pt idx="4">
                  <c:v>3.1715826197272439E-4</c:v>
                </c:pt>
                <c:pt idx="5">
                  <c:v>3.3366700033366702E-4</c:v>
                </c:pt>
              </c:numCache>
            </c:numRef>
          </c:xVal>
          <c:yVal>
            <c:numRef>
              <c:f>'1 extremo fechado - l(f^-1)'!$D$51:$D$56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97-4DC2-9D56-D784BAA411F5}"/>
            </c:ext>
          </c:extLst>
        </c:ser>
        <c:ser>
          <c:idx val="4"/>
          <c:order val="4"/>
          <c:tx>
            <c:v>n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l(f^-1)'!$H$66:$H$71</c:f>
              <c:numCache>
                <c:formatCode>0.000E+00</c:formatCode>
                <c:ptCount val="6"/>
                <c:pt idx="0" formatCode="0.0000E+00">
                  <c:v>1.6116035455278002E-4</c:v>
                </c:pt>
                <c:pt idx="1">
                  <c:v>1.8467220683287164E-4</c:v>
                </c:pt>
                <c:pt idx="2" formatCode="0.0000E+00">
                  <c:v>1.9149751053236308E-4</c:v>
                </c:pt>
                <c:pt idx="3">
                  <c:v>2.3713540431586437E-4</c:v>
                </c:pt>
                <c:pt idx="4">
                  <c:v>2.5786487880350697E-4</c:v>
                </c:pt>
                <c:pt idx="5">
                  <c:v>2.7654867256637168E-4</c:v>
                </c:pt>
              </c:numCache>
            </c:numRef>
          </c:xVal>
          <c:yVal>
            <c:numRef>
              <c:f>'1 extremo fechado - l(f^-1)'!$D$66:$D$71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7-4DC2-9D56-D784BAA411F5}"/>
            </c:ext>
          </c:extLst>
        </c:ser>
        <c:ser>
          <c:idx val="5"/>
          <c:order val="5"/>
          <c:tx>
            <c:v>n =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 extremo fechado - l(f^-1)'!$H$81:$H$86</c:f>
              <c:numCache>
                <c:formatCode>0.000E+00</c:formatCode>
                <c:ptCount val="6"/>
                <c:pt idx="0" formatCode="0.0000E+00">
                  <c:v>1.3542795232936077E-4</c:v>
                </c:pt>
                <c:pt idx="1">
                  <c:v>1.552312946289972E-4</c:v>
                </c:pt>
                <c:pt idx="2" formatCode="0.0000E+00">
                  <c:v>1.6270745200130165E-4</c:v>
                </c:pt>
                <c:pt idx="3">
                  <c:v>2.002803925495694E-4</c:v>
                </c:pt>
                <c:pt idx="4">
                  <c:v>2.185792349726776E-4</c:v>
                </c:pt>
                <c:pt idx="5">
                  <c:v>2.3348120476301658E-4</c:v>
                </c:pt>
              </c:numCache>
            </c:numRef>
          </c:xVal>
          <c:yVal>
            <c:numRef>
              <c:f>'1 extremo fechado - l(f^-1)'!$D$81:$D$86</c:f>
              <c:numCache>
                <c:formatCode>0.0000E+00</c:formatCode>
                <c:ptCount val="6"/>
                <c:pt idx="0" formatCode="0.00000E+00">
                  <c:v>0.15038666666666667</c:v>
                </c:pt>
                <c:pt idx="1">
                  <c:v>0.16883333333333334</c:v>
                </c:pt>
                <c:pt idx="2">
                  <c:v>0.17916666666666667</c:v>
                </c:pt>
                <c:pt idx="3">
                  <c:v>0.21933333333333335</c:v>
                </c:pt>
                <c:pt idx="4">
                  <c:v>0.23933333333333334</c:v>
                </c:pt>
                <c:pt idx="5">
                  <c:v>0.25983333333333336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97-4DC2-9D56-D784BAA41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24335"/>
        <c:axId val="583527695"/>
      </c:scatterChart>
      <c:valAx>
        <c:axId val="583524335"/>
        <c:scaling>
          <c:orientation val="minMax"/>
          <c:max val="1.0000000000000002E-3"/>
          <c:min val="1.2000000000000004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7695"/>
        <c:crosses val="autoZero"/>
        <c:crossBetween val="midCat"/>
        <c:majorUnit val="1.1000000000000003E-4"/>
      </c:valAx>
      <c:valAx>
        <c:axId val="583527695"/>
        <c:scaling>
          <c:orientation val="minMax"/>
          <c:max val="0.26500000000000001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3524335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82730388338239658"/>
          <c:y val="0.44851869678221074"/>
          <c:w val="0.10089722700344933"/>
          <c:h val="0.3567603328928599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fechado (1ª recolha) -</a:t>
            </a:r>
            <a:r>
              <a:rPr lang="en-US" sz="1200" baseline="0"/>
              <a:t> Ajuste de f(n) para a gama escolhida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3DBABD"/>
              </a:solidFill>
              <a:ln w="9525">
                <a:solidFill>
                  <a:srgbClr val="3DBABD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319597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 extremos fechados'!$B$10:$B$36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xVal>
          <c:yVal>
            <c:numRef>
              <c:f>'2 extremos fechados'!$C$10:$C$36</c:f>
              <c:numCache>
                <c:formatCode>General</c:formatCode>
                <c:ptCount val="27"/>
                <c:pt idx="0">
                  <c:v>1363</c:v>
                </c:pt>
                <c:pt idx="1">
                  <c:v>1707</c:v>
                </c:pt>
                <c:pt idx="2">
                  <c:v>2051</c:v>
                </c:pt>
                <c:pt idx="3">
                  <c:v>2395</c:v>
                </c:pt>
                <c:pt idx="4">
                  <c:v>2739</c:v>
                </c:pt>
                <c:pt idx="5">
                  <c:v>3081</c:v>
                </c:pt>
                <c:pt idx="6">
                  <c:v>3419</c:v>
                </c:pt>
                <c:pt idx="7">
                  <c:v>3801</c:v>
                </c:pt>
                <c:pt idx="8">
                  <c:v>4121</c:v>
                </c:pt>
                <c:pt idx="9">
                  <c:v>4476</c:v>
                </c:pt>
                <c:pt idx="10">
                  <c:v>4817</c:v>
                </c:pt>
                <c:pt idx="11">
                  <c:v>5164</c:v>
                </c:pt>
                <c:pt idx="12">
                  <c:v>5504</c:v>
                </c:pt>
                <c:pt idx="13">
                  <c:v>5852</c:v>
                </c:pt>
                <c:pt idx="14">
                  <c:v>6212</c:v>
                </c:pt>
                <c:pt idx="15">
                  <c:v>6527</c:v>
                </c:pt>
                <c:pt idx="16">
                  <c:v>6940</c:v>
                </c:pt>
                <c:pt idx="17">
                  <c:v>7263</c:v>
                </c:pt>
                <c:pt idx="18">
                  <c:v>7603</c:v>
                </c:pt>
                <c:pt idx="19">
                  <c:v>7976</c:v>
                </c:pt>
                <c:pt idx="20">
                  <c:v>8279</c:v>
                </c:pt>
                <c:pt idx="21">
                  <c:v>8671</c:v>
                </c:pt>
                <c:pt idx="22">
                  <c:v>8948</c:v>
                </c:pt>
                <c:pt idx="23">
                  <c:v>9366</c:v>
                </c:pt>
                <c:pt idx="24">
                  <c:v>9642</c:v>
                </c:pt>
                <c:pt idx="25">
                  <c:v>10061</c:v>
                </c:pt>
                <c:pt idx="26">
                  <c:v>10329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B-48D6-97A0-FC6388501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  <c:majorUnit val="4"/>
      </c:valAx>
      <c:valAx>
        <c:axId val="792636687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</a:t>
            </a:r>
            <a:r>
              <a:rPr lang="en-US" sz="1200" baseline="0"/>
              <a:t> fechado (1ª recolha) - Resíduos de f(n) para a gama escolhida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59737270207287"/>
          <c:y val="0.24847416016922097"/>
          <c:w val="0.81764479114960975"/>
          <c:h val="0.5589765477350988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3DBAB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 extremos fechados'!$D$8:$D$45</c:f>
                <c:numCache>
                  <c:formatCode>General</c:formatCode>
                  <c:ptCount val="38"/>
                  <c:pt idx="0">
                    <c:v>0.638671875</c:v>
                  </c:pt>
                  <c:pt idx="1">
                    <c:v>1.322265625</c:v>
                  </c:pt>
                  <c:pt idx="2">
                    <c:v>2.662109375</c:v>
                  </c:pt>
                  <c:pt idx="3">
                    <c:v>3.333984375</c:v>
                  </c:pt>
                  <c:pt idx="4">
                    <c:v>4.005859375</c:v>
                  </c:pt>
                  <c:pt idx="5">
                    <c:v>4.677734375</c:v>
                  </c:pt>
                  <c:pt idx="6">
                    <c:v>5.349609375</c:v>
                  </c:pt>
                  <c:pt idx="7">
                    <c:v>6.017578125</c:v>
                  </c:pt>
                  <c:pt idx="8">
                    <c:v>6.677734375</c:v>
                  </c:pt>
                  <c:pt idx="9">
                    <c:v>7.423828125</c:v>
                  </c:pt>
                  <c:pt idx="10">
                    <c:v>8.048828125</c:v>
                  </c:pt>
                  <c:pt idx="11">
                    <c:v>8.7421875</c:v>
                  </c:pt>
                  <c:pt idx="12">
                    <c:v>9.408203125</c:v>
                  </c:pt>
                  <c:pt idx="13">
                    <c:v>10.0859375</c:v>
                  </c:pt>
                  <c:pt idx="14">
                    <c:v>10.75</c:v>
                  </c:pt>
                  <c:pt idx="15">
                    <c:v>11.4296875</c:v>
                  </c:pt>
                  <c:pt idx="16">
                    <c:v>12.1328125</c:v>
                  </c:pt>
                  <c:pt idx="17">
                    <c:v>12.748046875</c:v>
                  </c:pt>
                  <c:pt idx="18">
                    <c:v>13.5546875</c:v>
                  </c:pt>
                  <c:pt idx="19">
                    <c:v>14.185546875</c:v>
                  </c:pt>
                  <c:pt idx="20">
                    <c:v>14.849609375</c:v>
                  </c:pt>
                  <c:pt idx="21">
                    <c:v>15.578125</c:v>
                  </c:pt>
                  <c:pt idx="22">
                    <c:v>16.169921875</c:v>
                  </c:pt>
                  <c:pt idx="23">
                    <c:v>16.935546875</c:v>
                  </c:pt>
                  <c:pt idx="24">
                    <c:v>17.4765625</c:v>
                  </c:pt>
                  <c:pt idx="25">
                    <c:v>18.29296875</c:v>
                  </c:pt>
                  <c:pt idx="26">
                    <c:v>18.83203125</c:v>
                  </c:pt>
                  <c:pt idx="27">
                    <c:v>19.650390625</c:v>
                  </c:pt>
                  <c:pt idx="28">
                    <c:v>20.173828125</c:v>
                  </c:pt>
                  <c:pt idx="29">
                    <c:v>21.544921875</c:v>
                  </c:pt>
                  <c:pt idx="30">
                    <c:v>22.34375</c:v>
                  </c:pt>
                  <c:pt idx="31">
                    <c:v>22.9296875</c:v>
                  </c:pt>
                  <c:pt idx="32">
                    <c:v>23.6875</c:v>
                  </c:pt>
                  <c:pt idx="33">
                    <c:v>24.306640625</c:v>
                  </c:pt>
                  <c:pt idx="34">
                    <c:v>25.02734375</c:v>
                  </c:pt>
                  <c:pt idx="35">
                    <c:v>25.685546875</c:v>
                  </c:pt>
                  <c:pt idx="36">
                    <c:v>26.357421875</c:v>
                  </c:pt>
                  <c:pt idx="37">
                    <c:v>26.994140625</c:v>
                  </c:pt>
                </c:numCache>
              </c:numRef>
            </c:plus>
            <c:minus>
              <c:numRef>
                <c:f>'2 extremos fechados'!$D$8:$D$45</c:f>
                <c:numCache>
                  <c:formatCode>General</c:formatCode>
                  <c:ptCount val="38"/>
                  <c:pt idx="0">
                    <c:v>0.638671875</c:v>
                  </c:pt>
                  <c:pt idx="1">
                    <c:v>1.322265625</c:v>
                  </c:pt>
                  <c:pt idx="2">
                    <c:v>2.662109375</c:v>
                  </c:pt>
                  <c:pt idx="3">
                    <c:v>3.333984375</c:v>
                  </c:pt>
                  <c:pt idx="4">
                    <c:v>4.005859375</c:v>
                  </c:pt>
                  <c:pt idx="5">
                    <c:v>4.677734375</c:v>
                  </c:pt>
                  <c:pt idx="6">
                    <c:v>5.349609375</c:v>
                  </c:pt>
                  <c:pt idx="7">
                    <c:v>6.017578125</c:v>
                  </c:pt>
                  <c:pt idx="8">
                    <c:v>6.677734375</c:v>
                  </c:pt>
                  <c:pt idx="9">
                    <c:v>7.423828125</c:v>
                  </c:pt>
                  <c:pt idx="10">
                    <c:v>8.048828125</c:v>
                  </c:pt>
                  <c:pt idx="11">
                    <c:v>8.7421875</c:v>
                  </c:pt>
                  <c:pt idx="12">
                    <c:v>9.408203125</c:v>
                  </c:pt>
                  <c:pt idx="13">
                    <c:v>10.0859375</c:v>
                  </c:pt>
                  <c:pt idx="14">
                    <c:v>10.75</c:v>
                  </c:pt>
                  <c:pt idx="15">
                    <c:v>11.4296875</c:v>
                  </c:pt>
                  <c:pt idx="16">
                    <c:v>12.1328125</c:v>
                  </c:pt>
                  <c:pt idx="17">
                    <c:v>12.748046875</c:v>
                  </c:pt>
                  <c:pt idx="18">
                    <c:v>13.5546875</c:v>
                  </c:pt>
                  <c:pt idx="19">
                    <c:v>14.185546875</c:v>
                  </c:pt>
                  <c:pt idx="20">
                    <c:v>14.849609375</c:v>
                  </c:pt>
                  <c:pt idx="21">
                    <c:v>15.578125</c:v>
                  </c:pt>
                  <c:pt idx="22">
                    <c:v>16.169921875</c:v>
                  </c:pt>
                  <c:pt idx="23">
                    <c:v>16.935546875</c:v>
                  </c:pt>
                  <c:pt idx="24">
                    <c:v>17.4765625</c:v>
                  </c:pt>
                  <c:pt idx="25">
                    <c:v>18.29296875</c:v>
                  </c:pt>
                  <c:pt idx="26">
                    <c:v>18.83203125</c:v>
                  </c:pt>
                  <c:pt idx="27">
                    <c:v>19.650390625</c:v>
                  </c:pt>
                  <c:pt idx="28">
                    <c:v>20.173828125</c:v>
                  </c:pt>
                  <c:pt idx="29">
                    <c:v>21.544921875</c:v>
                  </c:pt>
                  <c:pt idx="30">
                    <c:v>22.34375</c:v>
                  </c:pt>
                  <c:pt idx="31">
                    <c:v>22.9296875</c:v>
                  </c:pt>
                  <c:pt idx="32">
                    <c:v>23.6875</c:v>
                  </c:pt>
                  <c:pt idx="33">
                    <c:v>24.306640625</c:v>
                  </c:pt>
                  <c:pt idx="34">
                    <c:v>25.02734375</c:v>
                  </c:pt>
                  <c:pt idx="35">
                    <c:v>25.685546875</c:v>
                  </c:pt>
                  <c:pt idx="36">
                    <c:v>26.357421875</c:v>
                  </c:pt>
                  <c:pt idx="37">
                    <c:v>26.994140625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 extremos fechados'!$B$10:$B$36</c:f>
              <c:numCache>
                <c:formatCode>General</c:formatCode>
                <c:ptCount val="2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</c:numCache>
            </c:numRef>
          </c:xVal>
          <c:yVal>
            <c:numRef>
              <c:f>'2 extremos fechados'!$T$8:$T$34</c:f>
              <c:numCache>
                <c:formatCode>0</c:formatCode>
                <c:ptCount val="27"/>
                <c:pt idx="0">
                  <c:v>8.1031746031731018</c:v>
                </c:pt>
                <c:pt idx="1">
                  <c:v>5.3089133089119969</c:v>
                </c:pt>
                <c:pt idx="2">
                  <c:v>2.5146520146508919</c:v>
                </c:pt>
                <c:pt idx="3">
                  <c:v>-0.27960927961066773</c:v>
                </c:pt>
                <c:pt idx="4">
                  <c:v>-3.0738705738717726</c:v>
                </c:pt>
                <c:pt idx="5">
                  <c:v>-7.8681318681328776</c:v>
                </c:pt>
                <c:pt idx="6">
                  <c:v>-16.662393162393982</c:v>
                </c:pt>
                <c:pt idx="7">
                  <c:v>18.543345543344913</c:v>
                </c:pt>
                <c:pt idx="8">
                  <c:v>-8.2509157509166471</c:v>
                </c:pt>
                <c:pt idx="9">
                  <c:v>-4.5177045178206754E-2</c:v>
                </c:pt>
                <c:pt idx="10">
                  <c:v>-5.8394383394388569</c:v>
                </c:pt>
                <c:pt idx="11">
                  <c:v>-5.6336996337004166</c:v>
                </c:pt>
                <c:pt idx="12">
                  <c:v>-12.427960927961067</c:v>
                </c:pt>
                <c:pt idx="13">
                  <c:v>-11.222222222222626</c:v>
                </c:pt>
                <c:pt idx="14">
                  <c:v>1.9835164835158139</c:v>
                </c:pt>
                <c:pt idx="15">
                  <c:v>-29.810744810744836</c:v>
                </c:pt>
                <c:pt idx="16">
                  <c:v>36.394993894993604</c:v>
                </c:pt>
                <c:pt idx="17">
                  <c:v>12.600732600732954</c:v>
                </c:pt>
                <c:pt idx="18">
                  <c:v>5.8064713064713942</c:v>
                </c:pt>
                <c:pt idx="19">
                  <c:v>32.012210012209835</c:v>
                </c:pt>
                <c:pt idx="20">
                  <c:v>-11.782051282050816</c:v>
                </c:pt>
                <c:pt idx="21">
                  <c:v>33.423687423686715</c:v>
                </c:pt>
                <c:pt idx="22">
                  <c:v>-36.370573870573935</c:v>
                </c:pt>
                <c:pt idx="23">
                  <c:v>34.835164835165415</c:v>
                </c:pt>
                <c:pt idx="24">
                  <c:v>-35.959096459095235</c:v>
                </c:pt>
                <c:pt idx="25">
                  <c:v>36.246642246642296</c:v>
                </c:pt>
                <c:pt idx="26">
                  <c:v>-42.547619047618355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9-40C9-9F92-E04E20ECCED0}"/>
            </c:ext>
          </c:extLst>
        </c:ser>
        <c:ser>
          <c:idx val="2"/>
          <c:order val="1"/>
          <c:tx>
            <c:v>+u(y)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2.5</c:v>
              </c:pt>
              <c:pt idx="1">
                <c:v>29.5</c:v>
              </c:pt>
            </c:numLit>
          </c:xVal>
          <c:yVal>
            <c:numRef>
              <c:f>('2 extremos fechados'!$AB$8,'2 extremos fechados'!$AB$8)</c:f>
              <c:numCache>
                <c:formatCode>0</c:formatCode>
                <c:ptCount val="2"/>
                <c:pt idx="0">
                  <c:v>45.345487489421295</c:v>
                </c:pt>
                <c:pt idx="1">
                  <c:v>45.345487489421295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9-40C9-9F92-E04E20ECCED0}"/>
            </c:ext>
          </c:extLst>
        </c:ser>
        <c:ser>
          <c:idx val="3"/>
          <c:order val="2"/>
          <c:tx>
            <c:v>-u(y)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2.5</c:v>
              </c:pt>
              <c:pt idx="1">
                <c:v>29.5</c:v>
              </c:pt>
            </c:numLit>
          </c:xVal>
          <c:yVal>
            <c:numRef>
              <c:f>('2 extremos fechados'!$AB$9,'2 extremos fechados'!$AB$9)</c:f>
              <c:numCache>
                <c:formatCode>0</c:formatCode>
                <c:ptCount val="2"/>
                <c:pt idx="0">
                  <c:v>-45.345487489421295</c:v>
                </c:pt>
                <c:pt idx="1">
                  <c:v>-45.345487489421295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D9-40C9-9F92-E04E20ECC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300"/>
        <c:crossBetween val="midCat"/>
        <c:majorUnit val="4"/>
      </c:valAx>
      <c:valAx>
        <c:axId val="792636687"/>
        <c:scaling>
          <c:orientation val="minMax"/>
          <c:max val="56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1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05631993044753"/>
          <c:y val="0.15672095099728037"/>
          <c:w val="0.63560302130253421"/>
          <c:h val="0.102448343386092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fechado (1ª</a:t>
            </a:r>
            <a:r>
              <a:rPr lang="en-US" sz="1200" baseline="0"/>
              <a:t> recolha)</a:t>
            </a:r>
            <a:r>
              <a:rPr lang="en-US" sz="1200"/>
              <a:t> -</a:t>
            </a:r>
            <a:r>
              <a:rPr lang="en-US" sz="1200" baseline="0"/>
              <a:t> Ajuste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Tubo fechado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3DBABD"/>
              </a:solidFill>
              <a:ln w="9525">
                <a:solidFill>
                  <a:srgbClr val="3DBABD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319597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 extremos fechados'!$B$8:$B$45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'2 extremos fechados'!$C$8:$C$45</c:f>
              <c:numCache>
                <c:formatCode>General</c:formatCode>
                <c:ptCount val="38"/>
                <c:pt idx="0">
                  <c:v>327</c:v>
                </c:pt>
                <c:pt idx="1">
                  <c:v>677</c:v>
                </c:pt>
                <c:pt idx="2">
                  <c:v>1363</c:v>
                </c:pt>
                <c:pt idx="3">
                  <c:v>1707</c:v>
                </c:pt>
                <c:pt idx="4">
                  <c:v>2051</c:v>
                </c:pt>
                <c:pt idx="5">
                  <c:v>2395</c:v>
                </c:pt>
                <c:pt idx="6">
                  <c:v>2739</c:v>
                </c:pt>
                <c:pt idx="7">
                  <c:v>3081</c:v>
                </c:pt>
                <c:pt idx="8">
                  <c:v>3419</c:v>
                </c:pt>
                <c:pt idx="9">
                  <c:v>3801</c:v>
                </c:pt>
                <c:pt idx="10">
                  <c:v>4121</c:v>
                </c:pt>
                <c:pt idx="11">
                  <c:v>4476</c:v>
                </c:pt>
                <c:pt idx="12">
                  <c:v>4817</c:v>
                </c:pt>
                <c:pt idx="13">
                  <c:v>5164</c:v>
                </c:pt>
                <c:pt idx="14">
                  <c:v>5504</c:v>
                </c:pt>
                <c:pt idx="15">
                  <c:v>5852</c:v>
                </c:pt>
                <c:pt idx="16">
                  <c:v>6212</c:v>
                </c:pt>
                <c:pt idx="17">
                  <c:v>6527</c:v>
                </c:pt>
                <c:pt idx="18">
                  <c:v>6940</c:v>
                </c:pt>
                <c:pt idx="19">
                  <c:v>7263</c:v>
                </c:pt>
                <c:pt idx="20">
                  <c:v>7603</c:v>
                </c:pt>
                <c:pt idx="21">
                  <c:v>7976</c:v>
                </c:pt>
                <c:pt idx="22">
                  <c:v>8279</c:v>
                </c:pt>
                <c:pt idx="23">
                  <c:v>8671</c:v>
                </c:pt>
                <c:pt idx="24">
                  <c:v>8948</c:v>
                </c:pt>
                <c:pt idx="25">
                  <c:v>9366</c:v>
                </c:pt>
                <c:pt idx="26">
                  <c:v>9642</c:v>
                </c:pt>
                <c:pt idx="27">
                  <c:v>10061</c:v>
                </c:pt>
                <c:pt idx="28">
                  <c:v>10329</c:v>
                </c:pt>
                <c:pt idx="29">
                  <c:v>11031</c:v>
                </c:pt>
                <c:pt idx="30">
                  <c:v>11440</c:v>
                </c:pt>
                <c:pt idx="31">
                  <c:v>11740</c:v>
                </c:pt>
                <c:pt idx="32">
                  <c:v>12128</c:v>
                </c:pt>
                <c:pt idx="33">
                  <c:v>12445</c:v>
                </c:pt>
                <c:pt idx="34">
                  <c:v>12814</c:v>
                </c:pt>
                <c:pt idx="35">
                  <c:v>13151</c:v>
                </c:pt>
                <c:pt idx="36">
                  <c:v>13495</c:v>
                </c:pt>
                <c:pt idx="37">
                  <c:v>13821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36-4819-B041-CFFC59437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 val="autoZero"/>
        <c:crossBetween val="midCat"/>
      </c:valAx>
      <c:valAx>
        <c:axId val="792636687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Tubo </a:t>
            </a:r>
            <a:r>
              <a:rPr lang="en-US" sz="1200" baseline="0"/>
              <a:t>fechado (1ª recolha) - Resíduos de f(n)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16278662606608"/>
          <c:y val="0.20385793893431836"/>
          <c:w val="0.8035042024742225"/>
          <c:h val="0.6021020468203488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3DBAB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 extremos fechados'!$D$8:$D$45</c:f>
                <c:numCache>
                  <c:formatCode>General</c:formatCode>
                  <c:ptCount val="38"/>
                  <c:pt idx="0">
                    <c:v>0.638671875</c:v>
                  </c:pt>
                  <c:pt idx="1">
                    <c:v>1.322265625</c:v>
                  </c:pt>
                  <c:pt idx="2">
                    <c:v>2.662109375</c:v>
                  </c:pt>
                  <c:pt idx="3">
                    <c:v>3.333984375</c:v>
                  </c:pt>
                  <c:pt idx="4">
                    <c:v>4.005859375</c:v>
                  </c:pt>
                  <c:pt idx="5">
                    <c:v>4.677734375</c:v>
                  </c:pt>
                  <c:pt idx="6">
                    <c:v>5.349609375</c:v>
                  </c:pt>
                  <c:pt idx="7">
                    <c:v>6.017578125</c:v>
                  </c:pt>
                  <c:pt idx="8">
                    <c:v>6.677734375</c:v>
                  </c:pt>
                  <c:pt idx="9">
                    <c:v>7.423828125</c:v>
                  </c:pt>
                  <c:pt idx="10">
                    <c:v>8.048828125</c:v>
                  </c:pt>
                  <c:pt idx="11">
                    <c:v>8.7421875</c:v>
                  </c:pt>
                  <c:pt idx="12">
                    <c:v>9.408203125</c:v>
                  </c:pt>
                  <c:pt idx="13">
                    <c:v>10.0859375</c:v>
                  </c:pt>
                  <c:pt idx="14">
                    <c:v>10.75</c:v>
                  </c:pt>
                  <c:pt idx="15">
                    <c:v>11.4296875</c:v>
                  </c:pt>
                  <c:pt idx="16">
                    <c:v>12.1328125</c:v>
                  </c:pt>
                  <c:pt idx="17">
                    <c:v>12.748046875</c:v>
                  </c:pt>
                  <c:pt idx="18">
                    <c:v>13.5546875</c:v>
                  </c:pt>
                  <c:pt idx="19">
                    <c:v>14.185546875</c:v>
                  </c:pt>
                  <c:pt idx="20">
                    <c:v>14.849609375</c:v>
                  </c:pt>
                  <c:pt idx="21">
                    <c:v>15.578125</c:v>
                  </c:pt>
                  <c:pt idx="22">
                    <c:v>16.169921875</c:v>
                  </c:pt>
                  <c:pt idx="23">
                    <c:v>16.935546875</c:v>
                  </c:pt>
                  <c:pt idx="24">
                    <c:v>17.4765625</c:v>
                  </c:pt>
                  <c:pt idx="25">
                    <c:v>18.29296875</c:v>
                  </c:pt>
                  <c:pt idx="26">
                    <c:v>18.83203125</c:v>
                  </c:pt>
                  <c:pt idx="27">
                    <c:v>19.650390625</c:v>
                  </c:pt>
                  <c:pt idx="28">
                    <c:v>20.173828125</c:v>
                  </c:pt>
                  <c:pt idx="29">
                    <c:v>21.544921875</c:v>
                  </c:pt>
                  <c:pt idx="30">
                    <c:v>22.34375</c:v>
                  </c:pt>
                  <c:pt idx="31">
                    <c:v>22.9296875</c:v>
                  </c:pt>
                  <c:pt idx="32">
                    <c:v>23.6875</c:v>
                  </c:pt>
                  <c:pt idx="33">
                    <c:v>24.306640625</c:v>
                  </c:pt>
                  <c:pt idx="34">
                    <c:v>25.02734375</c:v>
                  </c:pt>
                  <c:pt idx="35">
                    <c:v>25.685546875</c:v>
                  </c:pt>
                  <c:pt idx="36">
                    <c:v>26.357421875</c:v>
                  </c:pt>
                  <c:pt idx="37">
                    <c:v>26.994140625</c:v>
                  </c:pt>
                </c:numCache>
              </c:numRef>
            </c:plus>
            <c:minus>
              <c:numRef>
                <c:f>'2 extremos fechados'!$D$8:$D$45</c:f>
                <c:numCache>
                  <c:formatCode>General</c:formatCode>
                  <c:ptCount val="38"/>
                  <c:pt idx="0">
                    <c:v>0.638671875</c:v>
                  </c:pt>
                  <c:pt idx="1">
                    <c:v>1.322265625</c:v>
                  </c:pt>
                  <c:pt idx="2">
                    <c:v>2.662109375</c:v>
                  </c:pt>
                  <c:pt idx="3">
                    <c:v>3.333984375</c:v>
                  </c:pt>
                  <c:pt idx="4">
                    <c:v>4.005859375</c:v>
                  </c:pt>
                  <c:pt idx="5">
                    <c:v>4.677734375</c:v>
                  </c:pt>
                  <c:pt idx="6">
                    <c:v>5.349609375</c:v>
                  </c:pt>
                  <c:pt idx="7">
                    <c:v>6.017578125</c:v>
                  </c:pt>
                  <c:pt idx="8">
                    <c:v>6.677734375</c:v>
                  </c:pt>
                  <c:pt idx="9">
                    <c:v>7.423828125</c:v>
                  </c:pt>
                  <c:pt idx="10">
                    <c:v>8.048828125</c:v>
                  </c:pt>
                  <c:pt idx="11">
                    <c:v>8.7421875</c:v>
                  </c:pt>
                  <c:pt idx="12">
                    <c:v>9.408203125</c:v>
                  </c:pt>
                  <c:pt idx="13">
                    <c:v>10.0859375</c:v>
                  </c:pt>
                  <c:pt idx="14">
                    <c:v>10.75</c:v>
                  </c:pt>
                  <c:pt idx="15">
                    <c:v>11.4296875</c:v>
                  </c:pt>
                  <c:pt idx="16">
                    <c:v>12.1328125</c:v>
                  </c:pt>
                  <c:pt idx="17">
                    <c:v>12.748046875</c:v>
                  </c:pt>
                  <c:pt idx="18">
                    <c:v>13.5546875</c:v>
                  </c:pt>
                  <c:pt idx="19">
                    <c:v>14.185546875</c:v>
                  </c:pt>
                  <c:pt idx="20">
                    <c:v>14.849609375</c:v>
                  </c:pt>
                  <c:pt idx="21">
                    <c:v>15.578125</c:v>
                  </c:pt>
                  <c:pt idx="22">
                    <c:v>16.169921875</c:v>
                  </c:pt>
                  <c:pt idx="23">
                    <c:v>16.935546875</c:v>
                  </c:pt>
                  <c:pt idx="24">
                    <c:v>17.4765625</c:v>
                  </c:pt>
                  <c:pt idx="25">
                    <c:v>18.29296875</c:v>
                  </c:pt>
                  <c:pt idx="26">
                    <c:v>18.83203125</c:v>
                  </c:pt>
                  <c:pt idx="27">
                    <c:v>19.650390625</c:v>
                  </c:pt>
                  <c:pt idx="28">
                    <c:v>20.173828125</c:v>
                  </c:pt>
                  <c:pt idx="29">
                    <c:v>21.544921875</c:v>
                  </c:pt>
                  <c:pt idx="30">
                    <c:v>22.34375</c:v>
                  </c:pt>
                  <c:pt idx="31">
                    <c:v>22.9296875</c:v>
                  </c:pt>
                  <c:pt idx="32">
                    <c:v>23.6875</c:v>
                  </c:pt>
                  <c:pt idx="33">
                    <c:v>24.306640625</c:v>
                  </c:pt>
                  <c:pt idx="34">
                    <c:v>25.02734375</c:v>
                  </c:pt>
                  <c:pt idx="35">
                    <c:v>25.685546875</c:v>
                  </c:pt>
                  <c:pt idx="36">
                    <c:v>26.357421875</c:v>
                  </c:pt>
                  <c:pt idx="37">
                    <c:v>26.994140625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 extremos fechados'!$B$8:$B$45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'2 extremos fechados'!$F$8:$F$45</c:f>
              <c:numCache>
                <c:formatCode>0</c:formatCode>
                <c:ptCount val="38"/>
                <c:pt idx="0">
                  <c:v>-167.29554655870464</c:v>
                </c:pt>
                <c:pt idx="1">
                  <c:v>-176.60247291826261</c:v>
                </c:pt>
                <c:pt idx="2">
                  <c:v>150.09060072217949</c:v>
                </c:pt>
                <c:pt idx="3">
                  <c:v>134.78367436262147</c:v>
                </c:pt>
                <c:pt idx="4">
                  <c:v>119.47674800306345</c:v>
                </c:pt>
                <c:pt idx="5">
                  <c:v>104.16982164350566</c:v>
                </c:pt>
                <c:pt idx="6">
                  <c:v>88.862895283947637</c:v>
                </c:pt>
                <c:pt idx="7">
                  <c:v>71.555968924389617</c:v>
                </c:pt>
                <c:pt idx="8">
                  <c:v>50.249042564831598</c:v>
                </c:pt>
                <c:pt idx="9">
                  <c:v>72.942116205273578</c:v>
                </c:pt>
                <c:pt idx="10">
                  <c:v>33.635189845715558</c:v>
                </c:pt>
                <c:pt idx="11">
                  <c:v>29.328263486157994</c:v>
                </c:pt>
                <c:pt idx="12">
                  <c:v>11.021337126599974</c:v>
                </c:pt>
                <c:pt idx="13">
                  <c:v>-1.2855892329580456</c:v>
                </c:pt>
                <c:pt idx="14">
                  <c:v>-20.592515592516065</c:v>
                </c:pt>
                <c:pt idx="15">
                  <c:v>-31.899441952074085</c:v>
                </c:pt>
                <c:pt idx="16">
                  <c:v>-31.206368311632104</c:v>
                </c:pt>
                <c:pt idx="17">
                  <c:v>-75.513294671190124</c:v>
                </c:pt>
                <c:pt idx="18">
                  <c:v>-21.820221030748144</c:v>
                </c:pt>
                <c:pt idx="19">
                  <c:v>-58.127147390306163</c:v>
                </c:pt>
                <c:pt idx="20">
                  <c:v>-77.434073749864183</c:v>
                </c:pt>
                <c:pt idx="21">
                  <c:v>-63.741000109422203</c:v>
                </c:pt>
                <c:pt idx="22">
                  <c:v>-120.04792646898022</c:v>
                </c:pt>
                <c:pt idx="23">
                  <c:v>-87.354852828537332</c:v>
                </c:pt>
                <c:pt idx="24">
                  <c:v>-169.66177918809626</c:v>
                </c:pt>
                <c:pt idx="25">
                  <c:v>-110.96870554765337</c:v>
                </c:pt>
                <c:pt idx="26">
                  <c:v>-194.2756319072123</c:v>
                </c:pt>
                <c:pt idx="27">
                  <c:v>-134.58255826676941</c:v>
                </c:pt>
                <c:pt idx="28">
                  <c:v>-225.88948462632834</c:v>
                </c:pt>
                <c:pt idx="29">
                  <c:v>116.80358901411455</c:v>
                </c:pt>
                <c:pt idx="30">
                  <c:v>166.49666265455562</c:v>
                </c:pt>
                <c:pt idx="31">
                  <c:v>107.18973629499851</c:v>
                </c:pt>
                <c:pt idx="32">
                  <c:v>135.8828099354414</c:v>
                </c:pt>
                <c:pt idx="33">
                  <c:v>93.575883575882472</c:v>
                </c:pt>
                <c:pt idx="34">
                  <c:v>103.26895721632536</c:v>
                </c:pt>
                <c:pt idx="35">
                  <c:v>80.962030856766432</c:v>
                </c:pt>
                <c:pt idx="36">
                  <c:v>65.655104497209322</c:v>
                </c:pt>
                <c:pt idx="37">
                  <c:v>32.348178137650393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9-418E-9288-36DC7778D063}"/>
            </c:ext>
          </c:extLst>
        </c:ser>
        <c:ser>
          <c:idx val="1"/>
          <c:order val="1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FF5757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('2 extremos fechados'!$D$8:$D$9,'2 extremos fechados'!$D$37:$D$45)</c:f>
                <c:numCache>
                  <c:formatCode>General</c:formatCode>
                  <c:ptCount val="11"/>
                  <c:pt idx="0">
                    <c:v>0.638671875</c:v>
                  </c:pt>
                  <c:pt idx="1">
                    <c:v>1.322265625</c:v>
                  </c:pt>
                  <c:pt idx="2">
                    <c:v>21.544921875</c:v>
                  </c:pt>
                  <c:pt idx="3">
                    <c:v>22.34375</c:v>
                  </c:pt>
                  <c:pt idx="4">
                    <c:v>22.9296875</c:v>
                  </c:pt>
                  <c:pt idx="5">
                    <c:v>23.6875</c:v>
                  </c:pt>
                  <c:pt idx="6">
                    <c:v>24.306640625</c:v>
                  </c:pt>
                  <c:pt idx="7">
                    <c:v>25.02734375</c:v>
                  </c:pt>
                  <c:pt idx="8">
                    <c:v>25.685546875</c:v>
                  </c:pt>
                  <c:pt idx="9">
                    <c:v>26.357421875</c:v>
                  </c:pt>
                  <c:pt idx="10">
                    <c:v>26.994140625</c:v>
                  </c:pt>
                </c:numCache>
              </c:numRef>
            </c:plus>
            <c:minus>
              <c:numRef>
                <c:f>('2 extremos fechados'!$D$8:$D$9,'2 extremos fechados'!$D$37:$D$45)</c:f>
                <c:numCache>
                  <c:formatCode>General</c:formatCode>
                  <c:ptCount val="11"/>
                  <c:pt idx="0">
                    <c:v>0.638671875</c:v>
                  </c:pt>
                  <c:pt idx="1">
                    <c:v>1.322265625</c:v>
                  </c:pt>
                  <c:pt idx="2">
                    <c:v>21.544921875</c:v>
                  </c:pt>
                  <c:pt idx="3">
                    <c:v>22.34375</c:v>
                  </c:pt>
                  <c:pt idx="4">
                    <c:v>22.9296875</c:v>
                  </c:pt>
                  <c:pt idx="5">
                    <c:v>23.6875</c:v>
                  </c:pt>
                  <c:pt idx="6">
                    <c:v>24.306640625</c:v>
                  </c:pt>
                  <c:pt idx="7">
                    <c:v>25.02734375</c:v>
                  </c:pt>
                  <c:pt idx="8">
                    <c:v>25.685546875</c:v>
                  </c:pt>
                  <c:pt idx="9">
                    <c:v>26.357421875</c:v>
                  </c:pt>
                  <c:pt idx="10">
                    <c:v>26.994140625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('2 extremos fechados'!$B$8:$B$9,'2 extremos fechados'!$B$37:$B$45)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</c:numCache>
            </c:numRef>
          </c:xVal>
          <c:yVal>
            <c:numRef>
              <c:f>('2 extremos fechados'!$F$8:$F$9,'2 extremos fechados'!$F$37:$F$45)</c:f>
              <c:numCache>
                <c:formatCode>0</c:formatCode>
                <c:ptCount val="11"/>
                <c:pt idx="0">
                  <c:v>-167.29554655870464</c:v>
                </c:pt>
                <c:pt idx="1">
                  <c:v>-176.60247291826261</c:v>
                </c:pt>
                <c:pt idx="2">
                  <c:v>116.80358901411455</c:v>
                </c:pt>
                <c:pt idx="3">
                  <c:v>166.49666265455562</c:v>
                </c:pt>
                <c:pt idx="4">
                  <c:v>107.18973629499851</c:v>
                </c:pt>
                <c:pt idx="5">
                  <c:v>135.8828099354414</c:v>
                </c:pt>
                <c:pt idx="6">
                  <c:v>93.575883575882472</c:v>
                </c:pt>
                <c:pt idx="7">
                  <c:v>103.26895721632536</c:v>
                </c:pt>
                <c:pt idx="8">
                  <c:v>80.962030856766432</c:v>
                </c:pt>
                <c:pt idx="9">
                  <c:v>65.655104497209322</c:v>
                </c:pt>
                <c:pt idx="10">
                  <c:v>32.348178137650393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B9-418E-9288-36DC7778D063}"/>
            </c:ext>
          </c:extLst>
        </c:ser>
        <c:ser>
          <c:idx val="2"/>
          <c:order val="2"/>
          <c:tx>
            <c:v>+u(y)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0.5</c:v>
              </c:pt>
              <c:pt idx="1">
                <c:v>38.5</c:v>
              </c:pt>
            </c:numLit>
          </c:xVal>
          <c:yVal>
            <c:numRef>
              <c:f>('2 extremos fechados'!$N$8,'2 extremos fechados'!$N$8)</c:f>
              <c:numCache>
                <c:formatCode>0</c:formatCode>
                <c:ptCount val="2"/>
                <c:pt idx="0">
                  <c:v>221.78029906116564</c:v>
                </c:pt>
                <c:pt idx="1">
                  <c:v>221.78029906116564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B9-418E-9288-36DC7778D063}"/>
            </c:ext>
          </c:extLst>
        </c:ser>
        <c:ser>
          <c:idx val="3"/>
          <c:order val="3"/>
          <c:tx>
            <c:v>-u(y)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0.5</c:v>
              </c:pt>
              <c:pt idx="1">
                <c:v>38.5</c:v>
              </c:pt>
            </c:numLit>
          </c:xVal>
          <c:yVal>
            <c:numRef>
              <c:f>('2 extremos fechados'!$N$9,'2 extremos fechados'!$N$9)</c:f>
              <c:numCache>
                <c:formatCode>0</c:formatCode>
                <c:ptCount val="2"/>
                <c:pt idx="0">
                  <c:v>-221.78029906116564</c:v>
                </c:pt>
                <c:pt idx="1">
                  <c:v>-221.78029906116564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B9-418E-9288-36DC7778D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56367"/>
        <c:axId val="792636687"/>
      </c:scatterChart>
      <c:valAx>
        <c:axId val="792656367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36687"/>
        <c:crossesAt val="-300"/>
        <c:crossBetween val="midCat"/>
      </c:valAx>
      <c:valAx>
        <c:axId val="792636687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- f</a:t>
                </a:r>
                <a:r>
                  <a:rPr lang="pt-PT" baseline="-25000"/>
                  <a:t>ajuste</a:t>
                </a:r>
                <a:r>
                  <a:rPr lang="pt-PT" baseline="0"/>
                  <a:t> </a:t>
                </a:r>
                <a:r>
                  <a:rPr lang="pt-PT"/>
                  <a:t>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9265636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4151308372069402E-2"/>
          <c:y val="9.3921819273522431E-2"/>
          <c:w val="0.84122709811808294"/>
          <c:h val="0.115805609701966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200"/>
              <a:t>Tubo fechado</a:t>
            </a:r>
            <a:r>
              <a:rPr lang="pt-PT" sz="1200" baseline="0"/>
              <a:t> (2ª recolha) - Ajuste de f(n)</a:t>
            </a:r>
            <a:endParaRPr lang="pt-PT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42BFC2"/>
              </a:solidFill>
              <a:ln w="9525">
                <a:solidFill>
                  <a:srgbClr val="42BFC2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2E8C8E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 extremos fechados'!$B$51:$B$86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'2 extremos fechados'!$C$51:$C$86</c:f>
              <c:numCache>
                <c:formatCode>0.0</c:formatCode>
                <c:ptCount val="36"/>
                <c:pt idx="0">
                  <c:v>1384</c:v>
                </c:pt>
                <c:pt idx="1">
                  <c:v>1723</c:v>
                </c:pt>
                <c:pt idx="2" formatCode="General">
                  <c:v>2065</c:v>
                </c:pt>
                <c:pt idx="3" formatCode="General">
                  <c:v>2408</c:v>
                </c:pt>
                <c:pt idx="4" formatCode="General">
                  <c:v>2750</c:v>
                </c:pt>
                <c:pt idx="5" formatCode="General">
                  <c:v>3091</c:v>
                </c:pt>
                <c:pt idx="6" formatCode="General">
                  <c:v>3425</c:v>
                </c:pt>
                <c:pt idx="7" formatCode="General">
                  <c:v>3804</c:v>
                </c:pt>
                <c:pt idx="8" formatCode="General">
                  <c:v>4162</c:v>
                </c:pt>
                <c:pt idx="9" formatCode="General">
                  <c:v>4508</c:v>
                </c:pt>
                <c:pt idx="10" formatCode="General">
                  <c:v>4847</c:v>
                </c:pt>
                <c:pt idx="11" formatCode="General">
                  <c:v>5192</c:v>
                </c:pt>
                <c:pt idx="12" formatCode="General">
                  <c:v>5537</c:v>
                </c:pt>
                <c:pt idx="13" formatCode="General">
                  <c:v>5880</c:v>
                </c:pt>
                <c:pt idx="14" formatCode="General">
                  <c:v>6238</c:v>
                </c:pt>
                <c:pt idx="15" formatCode="General">
                  <c:v>6572</c:v>
                </c:pt>
                <c:pt idx="16" formatCode="General">
                  <c:v>6934</c:v>
                </c:pt>
                <c:pt idx="17" formatCode="General">
                  <c:v>7274</c:v>
                </c:pt>
                <c:pt idx="18" formatCode="General">
                  <c:v>7619</c:v>
                </c:pt>
                <c:pt idx="19" formatCode="General">
                  <c:v>7977</c:v>
                </c:pt>
                <c:pt idx="20" formatCode="General">
                  <c:v>8305</c:v>
                </c:pt>
                <c:pt idx="21" formatCode="General">
                  <c:v>8665</c:v>
                </c:pt>
                <c:pt idx="22" formatCode="General">
                  <c:v>8989</c:v>
                </c:pt>
                <c:pt idx="23" formatCode="General">
                  <c:v>9362</c:v>
                </c:pt>
                <c:pt idx="24" formatCode="General">
                  <c:v>9680</c:v>
                </c:pt>
                <c:pt idx="25" formatCode="General">
                  <c:v>10063</c:v>
                </c:pt>
                <c:pt idx="26" formatCode="General">
                  <c:v>10373</c:v>
                </c:pt>
                <c:pt idx="27" formatCode="General">
                  <c:v>10751</c:v>
                </c:pt>
                <c:pt idx="28" formatCode="General">
                  <c:v>11072</c:v>
                </c:pt>
                <c:pt idx="29" formatCode="General">
                  <c:v>11448</c:v>
                </c:pt>
                <c:pt idx="30" formatCode="General">
                  <c:v>11772</c:v>
                </c:pt>
                <c:pt idx="31" formatCode="General">
                  <c:v>12133</c:v>
                </c:pt>
                <c:pt idx="32" formatCode="General">
                  <c:v>12468</c:v>
                </c:pt>
                <c:pt idx="33" formatCode="General">
                  <c:v>12826</c:v>
                </c:pt>
                <c:pt idx="34" formatCode="General">
                  <c:v>13169</c:v>
                </c:pt>
                <c:pt idx="35" formatCode="General">
                  <c:v>13542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F-47C4-8670-4B898C323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80400"/>
        <c:axId val="1037400560"/>
      </c:scatterChart>
      <c:valAx>
        <c:axId val="1037380400"/>
        <c:scaling>
          <c:orientation val="minMax"/>
          <c:max val="3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400560"/>
        <c:crosses val="autoZero"/>
        <c:crossBetween val="midCat"/>
      </c:valAx>
      <c:valAx>
        <c:axId val="1037400560"/>
        <c:scaling>
          <c:orientation val="minMax"/>
          <c:max val="14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8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200"/>
              <a:t>Tubo fechado (2.a recolha) - Resíduos de f(n)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9853525098003"/>
          <c:y val="0.20354439805412797"/>
          <c:w val="0.81097863302651552"/>
          <c:h val="0.5893984561828141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4"/>
            <c:spPr>
              <a:noFill/>
              <a:ln w="9525">
                <a:solidFill>
                  <a:srgbClr val="2E8C8E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 extremos fechados'!$D$51:$D$86</c:f>
                <c:numCache>
                  <c:formatCode>General</c:formatCode>
                  <c:ptCount val="36"/>
                  <c:pt idx="0">
                    <c:v>0.67578125</c:v>
                  </c:pt>
                  <c:pt idx="1">
                    <c:v>0.84130859375</c:v>
                  </c:pt>
                  <c:pt idx="2">
                    <c:v>1.00830078125</c:v>
                  </c:pt>
                  <c:pt idx="3">
                    <c:v>1.17578125</c:v>
                  </c:pt>
                  <c:pt idx="4">
                    <c:v>1.3427734375</c:v>
                  </c:pt>
                  <c:pt idx="5">
                    <c:v>1.50927734375</c:v>
                  </c:pt>
                  <c:pt idx="6">
                    <c:v>1.67236328125</c:v>
                  </c:pt>
                  <c:pt idx="7">
                    <c:v>1.857421875</c:v>
                  </c:pt>
                  <c:pt idx="8">
                    <c:v>2.0322265625</c:v>
                  </c:pt>
                  <c:pt idx="9">
                    <c:v>2.201171875</c:v>
                  </c:pt>
                  <c:pt idx="10">
                    <c:v>2.36669921875</c:v>
                  </c:pt>
                  <c:pt idx="11">
                    <c:v>2.53515625</c:v>
                  </c:pt>
                  <c:pt idx="12">
                    <c:v>2.70361328125</c:v>
                  </c:pt>
                  <c:pt idx="13">
                    <c:v>2.87109375</c:v>
                  </c:pt>
                  <c:pt idx="14">
                    <c:v>3.0458984375</c:v>
                  </c:pt>
                  <c:pt idx="15">
                    <c:v>3.208984375</c:v>
                  </c:pt>
                  <c:pt idx="16">
                    <c:v>3.3857421875</c:v>
                  </c:pt>
                  <c:pt idx="17">
                    <c:v>3.5517578125</c:v>
                  </c:pt>
                  <c:pt idx="18">
                    <c:v>3.72021484375</c:v>
                  </c:pt>
                  <c:pt idx="19">
                    <c:v>3.89501953125</c:v>
                  </c:pt>
                  <c:pt idx="20">
                    <c:v>4.05517578125</c:v>
                  </c:pt>
                  <c:pt idx="21">
                    <c:v>4.23095703125</c:v>
                  </c:pt>
                  <c:pt idx="22">
                    <c:v>4.38916015625</c:v>
                  </c:pt>
                  <c:pt idx="23">
                    <c:v>4.5712890625</c:v>
                  </c:pt>
                  <c:pt idx="24">
                    <c:v>4.7265625</c:v>
                  </c:pt>
                  <c:pt idx="25">
                    <c:v>4.91357421875</c:v>
                  </c:pt>
                  <c:pt idx="26">
                    <c:v>5.06494140625</c:v>
                  </c:pt>
                  <c:pt idx="27">
                    <c:v>5.24951171875</c:v>
                  </c:pt>
                  <c:pt idx="28">
                    <c:v>5.40625</c:v>
                  </c:pt>
                  <c:pt idx="29">
                    <c:v>5.58984375</c:v>
                  </c:pt>
                  <c:pt idx="30">
                    <c:v>5.748046875</c:v>
                  </c:pt>
                  <c:pt idx="31">
                    <c:v>5.92431640625</c:v>
                  </c:pt>
                  <c:pt idx="32">
                    <c:v>6.087890625</c:v>
                  </c:pt>
                  <c:pt idx="33">
                    <c:v>6.2626953125</c:v>
                  </c:pt>
                  <c:pt idx="34">
                    <c:v>6.43017578125</c:v>
                  </c:pt>
                  <c:pt idx="35">
                    <c:v>6.6123046875</c:v>
                  </c:pt>
                </c:numCache>
              </c:numRef>
            </c:plus>
            <c:minus>
              <c:numRef>
                <c:f>'2 extremos fechados'!$D$51:$D$86</c:f>
                <c:numCache>
                  <c:formatCode>General</c:formatCode>
                  <c:ptCount val="36"/>
                  <c:pt idx="0">
                    <c:v>0.67578125</c:v>
                  </c:pt>
                  <c:pt idx="1">
                    <c:v>0.84130859375</c:v>
                  </c:pt>
                  <c:pt idx="2">
                    <c:v>1.00830078125</c:v>
                  </c:pt>
                  <c:pt idx="3">
                    <c:v>1.17578125</c:v>
                  </c:pt>
                  <c:pt idx="4">
                    <c:v>1.3427734375</c:v>
                  </c:pt>
                  <c:pt idx="5">
                    <c:v>1.50927734375</c:v>
                  </c:pt>
                  <c:pt idx="6">
                    <c:v>1.67236328125</c:v>
                  </c:pt>
                  <c:pt idx="7">
                    <c:v>1.857421875</c:v>
                  </c:pt>
                  <c:pt idx="8">
                    <c:v>2.0322265625</c:v>
                  </c:pt>
                  <c:pt idx="9">
                    <c:v>2.201171875</c:v>
                  </c:pt>
                  <c:pt idx="10">
                    <c:v>2.36669921875</c:v>
                  </c:pt>
                  <c:pt idx="11">
                    <c:v>2.53515625</c:v>
                  </c:pt>
                  <c:pt idx="12">
                    <c:v>2.70361328125</c:v>
                  </c:pt>
                  <c:pt idx="13">
                    <c:v>2.87109375</c:v>
                  </c:pt>
                  <c:pt idx="14">
                    <c:v>3.0458984375</c:v>
                  </c:pt>
                  <c:pt idx="15">
                    <c:v>3.208984375</c:v>
                  </c:pt>
                  <c:pt idx="16">
                    <c:v>3.3857421875</c:v>
                  </c:pt>
                  <c:pt idx="17">
                    <c:v>3.5517578125</c:v>
                  </c:pt>
                  <c:pt idx="18">
                    <c:v>3.72021484375</c:v>
                  </c:pt>
                  <c:pt idx="19">
                    <c:v>3.89501953125</c:v>
                  </c:pt>
                  <c:pt idx="20">
                    <c:v>4.05517578125</c:v>
                  </c:pt>
                  <c:pt idx="21">
                    <c:v>4.23095703125</c:v>
                  </c:pt>
                  <c:pt idx="22">
                    <c:v>4.38916015625</c:v>
                  </c:pt>
                  <c:pt idx="23">
                    <c:v>4.5712890625</c:v>
                  </c:pt>
                  <c:pt idx="24">
                    <c:v>4.7265625</c:v>
                  </c:pt>
                  <c:pt idx="25">
                    <c:v>4.91357421875</c:v>
                  </c:pt>
                  <c:pt idx="26">
                    <c:v>5.06494140625</c:v>
                  </c:pt>
                  <c:pt idx="27">
                    <c:v>5.24951171875</c:v>
                  </c:pt>
                  <c:pt idx="28">
                    <c:v>5.40625</c:v>
                  </c:pt>
                  <c:pt idx="29">
                    <c:v>5.58984375</c:v>
                  </c:pt>
                  <c:pt idx="30">
                    <c:v>5.748046875</c:v>
                  </c:pt>
                  <c:pt idx="31">
                    <c:v>5.92431640625</c:v>
                  </c:pt>
                  <c:pt idx="32">
                    <c:v>6.087890625</c:v>
                  </c:pt>
                  <c:pt idx="33">
                    <c:v>6.2626953125</c:v>
                  </c:pt>
                  <c:pt idx="34">
                    <c:v>6.43017578125</c:v>
                  </c:pt>
                  <c:pt idx="35">
                    <c:v>6.6123046875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 extremos fechados'!$B$51:$B$86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'2 extremos fechados'!$F$51:$F$86</c:f>
              <c:numCache>
                <c:formatCode>0</c:formatCode>
                <c:ptCount val="36"/>
                <c:pt idx="0">
                  <c:v>13.130630630630321</c:v>
                </c:pt>
                <c:pt idx="1">
                  <c:v>5.0564993564989891</c:v>
                </c:pt>
                <c:pt idx="2">
                  <c:v>-1.7631917632115801E-2</c:v>
                </c:pt>
                <c:pt idx="3">
                  <c:v>-4.0917631917636754</c:v>
                </c:pt>
                <c:pt idx="4">
                  <c:v>-9.1658944658947803</c:v>
                </c:pt>
                <c:pt idx="5">
                  <c:v>-15.240025740025885</c:v>
                </c:pt>
                <c:pt idx="6">
                  <c:v>-28.314157014157445</c:v>
                </c:pt>
                <c:pt idx="7">
                  <c:v>3.6117117117114503</c:v>
                </c:pt>
                <c:pt idx="8">
                  <c:v>14.537580437579891</c:v>
                </c:pt>
                <c:pt idx="9">
                  <c:v>13.463449163448786</c:v>
                </c:pt>
                <c:pt idx="10">
                  <c:v>5.389317889317681</c:v>
                </c:pt>
                <c:pt idx="11">
                  <c:v>3.3151866151865761</c:v>
                </c:pt>
                <c:pt idx="12">
                  <c:v>1.2410553410554712</c:v>
                </c:pt>
                <c:pt idx="13">
                  <c:v>-2.8330759330765432</c:v>
                </c:pt>
                <c:pt idx="14">
                  <c:v>8.092792792792352</c:v>
                </c:pt>
                <c:pt idx="15">
                  <c:v>-4.9813384813387529</c:v>
                </c:pt>
                <c:pt idx="16">
                  <c:v>9.9445302445301422</c:v>
                </c:pt>
                <c:pt idx="17">
                  <c:v>2.8703989703990374</c:v>
                </c:pt>
                <c:pt idx="18">
                  <c:v>0.79626769626702298</c:v>
                </c:pt>
                <c:pt idx="19">
                  <c:v>11.722136422135918</c:v>
                </c:pt>
                <c:pt idx="20">
                  <c:v>-7.3519948519951868</c:v>
                </c:pt>
                <c:pt idx="21">
                  <c:v>5.5738738738727989</c:v>
                </c:pt>
                <c:pt idx="22">
                  <c:v>-17.500257400257397</c:v>
                </c:pt>
                <c:pt idx="23">
                  <c:v>8.4256113256124081</c:v>
                </c:pt>
                <c:pt idx="24">
                  <c:v>-20.648519948521425</c:v>
                </c:pt>
                <c:pt idx="25">
                  <c:v>15.277348777348379</c:v>
                </c:pt>
                <c:pt idx="26">
                  <c:v>-21.796782496781816</c:v>
                </c:pt>
                <c:pt idx="27">
                  <c:v>9.1290862290843506</c:v>
                </c:pt>
                <c:pt idx="28">
                  <c:v>-16.945045045045845</c:v>
                </c:pt>
                <c:pt idx="29">
                  <c:v>11.98082368082396</c:v>
                </c:pt>
                <c:pt idx="30">
                  <c:v>-11.093307593306236</c:v>
                </c:pt>
                <c:pt idx="31">
                  <c:v>2.8325611325599311</c:v>
                </c:pt>
                <c:pt idx="32">
                  <c:v>-9.2415701415702642</c:v>
                </c:pt>
                <c:pt idx="33">
                  <c:v>1.6842985842995404</c:v>
                </c:pt>
                <c:pt idx="34">
                  <c:v>-2.389832689834293</c:v>
                </c:pt>
                <c:pt idx="35">
                  <c:v>23.536036036035512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E-41AD-B41F-15028B4A12F7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0.5</c:v>
              </c:pt>
              <c:pt idx="1">
                <c:v>36.5</c:v>
              </c:pt>
            </c:numLit>
          </c:xVal>
          <c:yVal>
            <c:numRef>
              <c:f>('2 extremos fechados'!$N$51,'2 extremos fechados'!$N$51)</c:f>
              <c:numCache>
                <c:formatCode>0</c:formatCode>
                <c:ptCount val="2"/>
                <c:pt idx="0">
                  <c:v>24.286646519895207</c:v>
                </c:pt>
                <c:pt idx="1">
                  <c:v>24.286646519895207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FE-41AD-B41F-15028B4A12F7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0.5</c:v>
              </c:pt>
              <c:pt idx="1">
                <c:v>36.5</c:v>
              </c:pt>
            </c:numLit>
          </c:xVal>
          <c:yVal>
            <c:numRef>
              <c:f>('2 extremos fechados'!$N$52,'2 extremos fechados'!$N$52)</c:f>
              <c:numCache>
                <c:formatCode>0</c:formatCode>
                <c:ptCount val="2"/>
                <c:pt idx="0">
                  <c:v>-24.286646519895207</c:v>
                </c:pt>
                <c:pt idx="1">
                  <c:v>-24.286646519895207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FE-41AD-B41F-15028B4A12F7}"/>
            </c:ext>
          </c:extLst>
        </c:ser>
        <c:ser>
          <c:idx val="3"/>
          <c:order val="3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rgbClr val="FF5757"/>
                </a:solidFill>
              </a:ln>
              <a:effectLst/>
            </c:spPr>
          </c:marker>
          <c:xVal>
            <c:numRef>
              <c:f>('2 extremos fechados'!$B$57,'2 extremos fechados'!$B$86)</c:f>
              <c:numCache>
                <c:formatCode>General</c:formatCode>
                <c:ptCount val="2"/>
                <c:pt idx="0">
                  <c:v>7</c:v>
                </c:pt>
                <c:pt idx="1">
                  <c:v>36</c:v>
                </c:pt>
              </c:numCache>
            </c:numRef>
          </c:xVal>
          <c:yVal>
            <c:numRef>
              <c:f>('2 extremos fechados'!$F$57,'2 extremos fechados'!$F$86)</c:f>
              <c:numCache>
                <c:formatCode>0</c:formatCode>
                <c:ptCount val="2"/>
                <c:pt idx="0">
                  <c:v>-28.314157014157445</c:v>
                </c:pt>
                <c:pt idx="1">
                  <c:v>23.536036036035512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FE-41AD-B41F-15028B4A1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80400"/>
        <c:axId val="1037400560"/>
      </c:scatterChart>
      <c:valAx>
        <c:axId val="1037380400"/>
        <c:scaling>
          <c:orientation val="minMax"/>
          <c:max val="3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400560"/>
        <c:crossesAt val="-42"/>
        <c:crossBetween val="midCat"/>
      </c:valAx>
      <c:valAx>
        <c:axId val="1037400560"/>
        <c:scaling>
          <c:orientation val="minMax"/>
          <c:max val="32"/>
          <c:min val="-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</a:t>
                </a:r>
                <a:r>
                  <a:rPr lang="pt-PT" baseline="0"/>
                  <a:t> - f</a:t>
                </a:r>
                <a:r>
                  <a:rPr lang="pt-PT" baseline="-25000"/>
                  <a:t>ajuste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80400"/>
        <c:crosses val="autoZero"/>
        <c:crossBetween val="midCat"/>
        <c:majorUnit val="8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295658643080695"/>
          <c:y val="0.10864807129332049"/>
          <c:w val="0.70990125488866196"/>
          <c:h val="8.1606486338029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200"/>
              <a:t>Tubo fechado (2ª recolha)</a:t>
            </a:r>
            <a:r>
              <a:rPr lang="pt-PT" sz="1200" baseline="0"/>
              <a:t> - Ajuste de f(n) para a gama escolhida</a:t>
            </a:r>
            <a:endParaRPr lang="pt-PT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257104649745292"/>
          <c:y val="0.18349322033524432"/>
          <c:w val="0.78180422825014873"/>
          <c:h val="0.6091860211187605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42BFC2"/>
              </a:solidFill>
              <a:ln w="9525">
                <a:solidFill>
                  <a:srgbClr val="42BFC2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2E8C8E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 extremos fechados'!$P$51:$P$85</c:f>
              <c:numCache>
                <c:formatCode>General</c:formatCode>
                <c:ptCount val="3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</c:numCache>
            </c:numRef>
          </c:xVal>
          <c:yVal>
            <c:numRef>
              <c:f>'2 extremos fechados'!$Q$51:$Q$84</c:f>
              <c:numCache>
                <c:formatCode>0.0</c:formatCode>
                <c:ptCount val="34"/>
                <c:pt idx="0">
                  <c:v>1384</c:v>
                </c:pt>
                <c:pt idx="1">
                  <c:v>1723</c:v>
                </c:pt>
                <c:pt idx="2" formatCode="General">
                  <c:v>2065</c:v>
                </c:pt>
                <c:pt idx="3" formatCode="General">
                  <c:v>2408</c:v>
                </c:pt>
                <c:pt idx="4" formatCode="General">
                  <c:v>2750</c:v>
                </c:pt>
                <c:pt idx="5" formatCode="General">
                  <c:v>3091</c:v>
                </c:pt>
                <c:pt idx="6" formatCode="General">
                  <c:v>3804</c:v>
                </c:pt>
                <c:pt idx="7" formatCode="General">
                  <c:v>4162</c:v>
                </c:pt>
                <c:pt idx="8" formatCode="General">
                  <c:v>4508</c:v>
                </c:pt>
                <c:pt idx="9" formatCode="General">
                  <c:v>4847</c:v>
                </c:pt>
                <c:pt idx="10" formatCode="General">
                  <c:v>5192</c:v>
                </c:pt>
                <c:pt idx="11" formatCode="General">
                  <c:v>5537</c:v>
                </c:pt>
                <c:pt idx="12" formatCode="General">
                  <c:v>5880</c:v>
                </c:pt>
                <c:pt idx="13" formatCode="General">
                  <c:v>6238</c:v>
                </c:pt>
                <c:pt idx="14" formatCode="General">
                  <c:v>6572</c:v>
                </c:pt>
                <c:pt idx="15" formatCode="General">
                  <c:v>6934</c:v>
                </c:pt>
                <c:pt idx="16" formatCode="General">
                  <c:v>7274</c:v>
                </c:pt>
                <c:pt idx="17" formatCode="General">
                  <c:v>7619</c:v>
                </c:pt>
                <c:pt idx="18" formatCode="General">
                  <c:v>7977</c:v>
                </c:pt>
                <c:pt idx="19" formatCode="General">
                  <c:v>8305</c:v>
                </c:pt>
                <c:pt idx="20" formatCode="General">
                  <c:v>8665</c:v>
                </c:pt>
                <c:pt idx="21" formatCode="General">
                  <c:v>8989</c:v>
                </c:pt>
                <c:pt idx="22" formatCode="General">
                  <c:v>9362</c:v>
                </c:pt>
                <c:pt idx="23" formatCode="General">
                  <c:v>9680</c:v>
                </c:pt>
                <c:pt idx="24" formatCode="General">
                  <c:v>10063</c:v>
                </c:pt>
                <c:pt idx="25" formatCode="General">
                  <c:v>10373</c:v>
                </c:pt>
                <c:pt idx="26" formatCode="General">
                  <c:v>10751</c:v>
                </c:pt>
                <c:pt idx="27" formatCode="General">
                  <c:v>11072</c:v>
                </c:pt>
                <c:pt idx="28" formatCode="General">
                  <c:v>11448</c:v>
                </c:pt>
                <c:pt idx="29" formatCode="General">
                  <c:v>11772</c:v>
                </c:pt>
                <c:pt idx="30" formatCode="General">
                  <c:v>12133</c:v>
                </c:pt>
                <c:pt idx="31" formatCode="General">
                  <c:v>12468</c:v>
                </c:pt>
                <c:pt idx="32" formatCode="General">
                  <c:v>12826</c:v>
                </c:pt>
                <c:pt idx="33" formatCode="General">
                  <c:v>13169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AE-4AA4-ACA5-2D97698E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80400"/>
        <c:axId val="1037400560"/>
      </c:scatterChart>
      <c:valAx>
        <c:axId val="1037380400"/>
        <c:scaling>
          <c:orientation val="minMax"/>
          <c:max val="3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400560"/>
        <c:crosses val="autoZero"/>
        <c:crossBetween val="midCat"/>
        <c:majorUnit val="4"/>
      </c:valAx>
      <c:valAx>
        <c:axId val="1037400560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80400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200"/>
              <a:t>Tubo fechado (2ª</a:t>
            </a:r>
            <a:r>
              <a:rPr lang="pt-PT" sz="1200" baseline="0"/>
              <a:t> recolha)</a:t>
            </a:r>
            <a:r>
              <a:rPr lang="pt-PT" sz="1200"/>
              <a:t> - Resíduos de f(n) para a gama escolhida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26227978425687"/>
          <c:y val="0.25320643331819354"/>
          <c:w val="0.81287756616190299"/>
          <c:h val="0.5397364209187485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4"/>
            <c:spPr>
              <a:noFill/>
              <a:ln w="9525">
                <a:solidFill>
                  <a:srgbClr val="2E8C8E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 extremos fechados'!$D$51:$D$86</c:f>
                <c:numCache>
                  <c:formatCode>General</c:formatCode>
                  <c:ptCount val="36"/>
                  <c:pt idx="0">
                    <c:v>0.67578125</c:v>
                  </c:pt>
                  <c:pt idx="1">
                    <c:v>0.84130859375</c:v>
                  </c:pt>
                  <c:pt idx="2">
                    <c:v>1.00830078125</c:v>
                  </c:pt>
                  <c:pt idx="3">
                    <c:v>1.17578125</c:v>
                  </c:pt>
                  <c:pt idx="4">
                    <c:v>1.3427734375</c:v>
                  </c:pt>
                  <c:pt idx="5">
                    <c:v>1.50927734375</c:v>
                  </c:pt>
                  <c:pt idx="6">
                    <c:v>1.67236328125</c:v>
                  </c:pt>
                  <c:pt idx="7">
                    <c:v>1.857421875</c:v>
                  </c:pt>
                  <c:pt idx="8">
                    <c:v>2.0322265625</c:v>
                  </c:pt>
                  <c:pt idx="9">
                    <c:v>2.201171875</c:v>
                  </c:pt>
                  <c:pt idx="10">
                    <c:v>2.36669921875</c:v>
                  </c:pt>
                  <c:pt idx="11">
                    <c:v>2.53515625</c:v>
                  </c:pt>
                  <c:pt idx="12">
                    <c:v>2.70361328125</c:v>
                  </c:pt>
                  <c:pt idx="13">
                    <c:v>2.87109375</c:v>
                  </c:pt>
                  <c:pt idx="14">
                    <c:v>3.0458984375</c:v>
                  </c:pt>
                  <c:pt idx="15">
                    <c:v>3.208984375</c:v>
                  </c:pt>
                  <c:pt idx="16">
                    <c:v>3.3857421875</c:v>
                  </c:pt>
                  <c:pt idx="17">
                    <c:v>3.5517578125</c:v>
                  </c:pt>
                  <c:pt idx="18">
                    <c:v>3.72021484375</c:v>
                  </c:pt>
                  <c:pt idx="19">
                    <c:v>3.89501953125</c:v>
                  </c:pt>
                  <c:pt idx="20">
                    <c:v>4.05517578125</c:v>
                  </c:pt>
                  <c:pt idx="21">
                    <c:v>4.23095703125</c:v>
                  </c:pt>
                  <c:pt idx="22">
                    <c:v>4.38916015625</c:v>
                  </c:pt>
                  <c:pt idx="23">
                    <c:v>4.5712890625</c:v>
                  </c:pt>
                  <c:pt idx="24">
                    <c:v>4.7265625</c:v>
                  </c:pt>
                  <c:pt idx="25">
                    <c:v>4.91357421875</c:v>
                  </c:pt>
                  <c:pt idx="26">
                    <c:v>5.06494140625</c:v>
                  </c:pt>
                  <c:pt idx="27">
                    <c:v>5.24951171875</c:v>
                  </c:pt>
                  <c:pt idx="28">
                    <c:v>5.40625</c:v>
                  </c:pt>
                  <c:pt idx="29">
                    <c:v>5.58984375</c:v>
                  </c:pt>
                  <c:pt idx="30">
                    <c:v>5.748046875</c:v>
                  </c:pt>
                  <c:pt idx="31">
                    <c:v>5.92431640625</c:v>
                  </c:pt>
                  <c:pt idx="32">
                    <c:v>6.087890625</c:v>
                  </c:pt>
                  <c:pt idx="33">
                    <c:v>6.2626953125</c:v>
                  </c:pt>
                  <c:pt idx="34">
                    <c:v>6.43017578125</c:v>
                  </c:pt>
                  <c:pt idx="35">
                    <c:v>6.6123046875</c:v>
                  </c:pt>
                </c:numCache>
              </c:numRef>
            </c:plus>
            <c:minus>
              <c:numRef>
                <c:f>'2 extremos fechados'!$D$51:$D$86</c:f>
                <c:numCache>
                  <c:formatCode>General</c:formatCode>
                  <c:ptCount val="36"/>
                  <c:pt idx="0">
                    <c:v>0.67578125</c:v>
                  </c:pt>
                  <c:pt idx="1">
                    <c:v>0.84130859375</c:v>
                  </c:pt>
                  <c:pt idx="2">
                    <c:v>1.00830078125</c:v>
                  </c:pt>
                  <c:pt idx="3">
                    <c:v>1.17578125</c:v>
                  </c:pt>
                  <c:pt idx="4">
                    <c:v>1.3427734375</c:v>
                  </c:pt>
                  <c:pt idx="5">
                    <c:v>1.50927734375</c:v>
                  </c:pt>
                  <c:pt idx="6">
                    <c:v>1.67236328125</c:v>
                  </c:pt>
                  <c:pt idx="7">
                    <c:v>1.857421875</c:v>
                  </c:pt>
                  <c:pt idx="8">
                    <c:v>2.0322265625</c:v>
                  </c:pt>
                  <c:pt idx="9">
                    <c:v>2.201171875</c:v>
                  </c:pt>
                  <c:pt idx="10">
                    <c:v>2.36669921875</c:v>
                  </c:pt>
                  <c:pt idx="11">
                    <c:v>2.53515625</c:v>
                  </c:pt>
                  <c:pt idx="12">
                    <c:v>2.70361328125</c:v>
                  </c:pt>
                  <c:pt idx="13">
                    <c:v>2.87109375</c:v>
                  </c:pt>
                  <c:pt idx="14">
                    <c:v>3.0458984375</c:v>
                  </c:pt>
                  <c:pt idx="15">
                    <c:v>3.208984375</c:v>
                  </c:pt>
                  <c:pt idx="16">
                    <c:v>3.3857421875</c:v>
                  </c:pt>
                  <c:pt idx="17">
                    <c:v>3.5517578125</c:v>
                  </c:pt>
                  <c:pt idx="18">
                    <c:v>3.72021484375</c:v>
                  </c:pt>
                  <c:pt idx="19">
                    <c:v>3.89501953125</c:v>
                  </c:pt>
                  <c:pt idx="20">
                    <c:v>4.05517578125</c:v>
                  </c:pt>
                  <c:pt idx="21">
                    <c:v>4.23095703125</c:v>
                  </c:pt>
                  <c:pt idx="22">
                    <c:v>4.38916015625</c:v>
                  </c:pt>
                  <c:pt idx="23">
                    <c:v>4.5712890625</c:v>
                  </c:pt>
                  <c:pt idx="24">
                    <c:v>4.7265625</c:v>
                  </c:pt>
                  <c:pt idx="25">
                    <c:v>4.91357421875</c:v>
                  </c:pt>
                  <c:pt idx="26">
                    <c:v>5.06494140625</c:v>
                  </c:pt>
                  <c:pt idx="27">
                    <c:v>5.24951171875</c:v>
                  </c:pt>
                  <c:pt idx="28">
                    <c:v>5.40625</c:v>
                  </c:pt>
                  <c:pt idx="29">
                    <c:v>5.58984375</c:v>
                  </c:pt>
                  <c:pt idx="30">
                    <c:v>5.748046875</c:v>
                  </c:pt>
                  <c:pt idx="31">
                    <c:v>5.92431640625</c:v>
                  </c:pt>
                  <c:pt idx="32">
                    <c:v>6.087890625</c:v>
                  </c:pt>
                  <c:pt idx="33">
                    <c:v>6.2626953125</c:v>
                  </c:pt>
                  <c:pt idx="34">
                    <c:v>6.43017578125</c:v>
                  </c:pt>
                  <c:pt idx="35">
                    <c:v>6.6123046875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 extremos fechados'!$P$51:$P$84</c:f>
              <c:numCache>
                <c:formatCode>General</c:formatCode>
                <c:ptCount val="3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</c:numCache>
            </c:numRef>
          </c:xVal>
          <c:yVal>
            <c:numRef>
              <c:f>'2 extremos fechados'!$T$51:$T$84</c:f>
              <c:numCache>
                <c:formatCode>0</c:formatCode>
                <c:ptCount val="34"/>
                <c:pt idx="0">
                  <c:v>9.2862520807570945</c:v>
                </c:pt>
                <c:pt idx="1">
                  <c:v>1.4259251355181277</c:v>
                </c:pt>
                <c:pt idx="2">
                  <c:v>-3.4344018097208391</c:v>
                </c:pt>
                <c:pt idx="3">
                  <c:v>-7.2947287549595785</c:v>
                </c:pt>
                <c:pt idx="4">
                  <c:v>-12.155055700198773</c:v>
                </c:pt>
                <c:pt idx="5">
                  <c:v>-18.015382645437512</c:v>
                </c:pt>
                <c:pt idx="6">
                  <c:v>1.2639634640845543</c:v>
                </c:pt>
                <c:pt idx="7">
                  <c:v>12.403636518845815</c:v>
                </c:pt>
                <c:pt idx="8">
                  <c:v>11.543309573607075</c:v>
                </c:pt>
                <c:pt idx="9">
                  <c:v>3.682982628368336</c:v>
                </c:pt>
                <c:pt idx="10">
                  <c:v>1.8226556831286871</c:v>
                </c:pt>
                <c:pt idx="11">
                  <c:v>-3.7671262110052339E-2</c:v>
                </c:pt>
                <c:pt idx="12">
                  <c:v>-3.8979982073487918</c:v>
                </c:pt>
                <c:pt idx="13">
                  <c:v>7.2416748474124688</c:v>
                </c:pt>
                <c:pt idx="14">
                  <c:v>-5.6186520978262706</c:v>
                </c:pt>
                <c:pt idx="15">
                  <c:v>9.5210209569340805</c:v>
                </c:pt>
                <c:pt idx="16">
                  <c:v>2.660694011695341</c:v>
                </c:pt>
                <c:pt idx="17">
                  <c:v>0.80036706645660161</c:v>
                </c:pt>
                <c:pt idx="18">
                  <c:v>11.940040121217862</c:v>
                </c:pt>
                <c:pt idx="19">
                  <c:v>-6.9202868240208772</c:v>
                </c:pt>
                <c:pt idx="20">
                  <c:v>6.2193862307394738</c:v>
                </c:pt>
                <c:pt idx="21">
                  <c:v>-16.640940714500175</c:v>
                </c:pt>
                <c:pt idx="22">
                  <c:v>9.498732340263814</c:v>
                </c:pt>
                <c:pt idx="23">
                  <c:v>-19.361594604975835</c:v>
                </c:pt>
                <c:pt idx="24">
                  <c:v>16.778078449784516</c:v>
                </c:pt>
                <c:pt idx="25">
                  <c:v>-20.082248495455133</c:v>
                </c:pt>
                <c:pt idx="26">
                  <c:v>11.057424559305218</c:v>
                </c:pt>
                <c:pt idx="27">
                  <c:v>-14.802902385930793</c:v>
                </c:pt>
                <c:pt idx="28">
                  <c:v>14.336770668829558</c:v>
                </c:pt>
                <c:pt idx="29">
                  <c:v>-8.5235562764100905</c:v>
                </c:pt>
                <c:pt idx="30">
                  <c:v>5.6161167783502606</c:v>
                </c:pt>
                <c:pt idx="31">
                  <c:v>-6.2442101668893883</c:v>
                </c:pt>
                <c:pt idx="32">
                  <c:v>4.8954628878746007</c:v>
                </c:pt>
                <c:pt idx="33">
                  <c:v>1.0351359426349518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4-43E7-834F-D9FEDCD22053}"/>
            </c:ext>
          </c:extLst>
        </c:ser>
        <c:ser>
          <c:idx val="1"/>
          <c:order val="1"/>
          <c:tx>
            <c:v>+u(y)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2.5</c:v>
              </c:pt>
              <c:pt idx="1">
                <c:v>37.5</c:v>
              </c:pt>
            </c:numLit>
          </c:xVal>
          <c:yVal>
            <c:numRef>
              <c:f>('2 extremos fechados'!$AB$51,'2 extremos fechados'!$AB$51)</c:f>
              <c:numCache>
                <c:formatCode>0</c:formatCode>
                <c:ptCount val="2"/>
                <c:pt idx="0">
                  <c:v>20.91603218807505</c:v>
                </c:pt>
                <c:pt idx="1">
                  <c:v>20.91603218807505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14-43E7-834F-D9FEDCD22053}"/>
            </c:ext>
          </c:extLst>
        </c:ser>
        <c:ser>
          <c:idx val="2"/>
          <c:order val="2"/>
          <c:tx>
            <c:v>-u(y)</c:v>
          </c:tx>
          <c:spPr>
            <a:ln w="15875" cap="rnd">
              <a:solidFill>
                <a:srgbClr val="319597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2.5</c:v>
              </c:pt>
              <c:pt idx="1">
                <c:v>37.5</c:v>
              </c:pt>
            </c:numLit>
          </c:xVal>
          <c:yVal>
            <c:numRef>
              <c:f>('2 extremos fechados'!$AB$52,'2 extremos fechados'!$AB$52)</c:f>
              <c:numCache>
                <c:formatCode>0</c:formatCode>
                <c:ptCount val="2"/>
                <c:pt idx="0">
                  <c:v>-20.91603218807505</c:v>
                </c:pt>
                <c:pt idx="1">
                  <c:v>-20.91603218807505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14-43E7-834F-D9FEDCD22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380400"/>
        <c:axId val="1037400560"/>
      </c:scatterChart>
      <c:valAx>
        <c:axId val="1037380400"/>
        <c:scaling>
          <c:orientation val="minMax"/>
          <c:max val="3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400560"/>
        <c:crossesAt val="-42"/>
        <c:crossBetween val="midCat"/>
        <c:majorUnit val="4"/>
      </c:valAx>
      <c:valAx>
        <c:axId val="1037400560"/>
        <c:scaling>
          <c:orientation val="minMax"/>
          <c:max val="24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</a:t>
                </a:r>
                <a:r>
                  <a:rPr lang="pt-PT" baseline="0"/>
                  <a:t> - f</a:t>
                </a:r>
                <a:r>
                  <a:rPr lang="pt-PT" baseline="-25000"/>
                  <a:t>ajuste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7380400"/>
        <c:crosses val="autoZero"/>
        <c:crossBetween val="midCat"/>
        <c:majorUnit val="6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23652093031025"/>
          <c:y val="0.16816100112024596"/>
          <c:w val="0.54429482011429997"/>
          <c:h val="9.6178129023990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29</xdr:col>
      <xdr:colOff>16800</xdr:colOff>
      <xdr:row>14</xdr:row>
      <xdr:rowOff>158572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9812FEC-C92C-4FC8-959D-0A45EA22D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-1</xdr:colOff>
      <xdr:row>16</xdr:row>
      <xdr:rowOff>0</xdr:rowOff>
    </xdr:from>
    <xdr:to>
      <xdr:col>29</xdr:col>
      <xdr:colOff>16799</xdr:colOff>
      <xdr:row>29</xdr:row>
      <xdr:rowOff>202114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9809011-6A9D-4150-8528-6634349B7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-1</xdr:colOff>
      <xdr:row>31</xdr:row>
      <xdr:rowOff>4129</xdr:rowOff>
    </xdr:from>
    <xdr:to>
      <xdr:col>29</xdr:col>
      <xdr:colOff>16799</xdr:colOff>
      <xdr:row>44</xdr:row>
      <xdr:rowOff>195358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5A1C887-F168-4F58-A2FB-06BCA54B7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-1</xdr:colOff>
      <xdr:row>46</xdr:row>
      <xdr:rowOff>0</xdr:rowOff>
    </xdr:from>
    <xdr:to>
      <xdr:col>29</xdr:col>
      <xdr:colOff>16799</xdr:colOff>
      <xdr:row>59</xdr:row>
      <xdr:rowOff>191229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5CBF944-94D0-415A-9A34-18D93D762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-1</xdr:colOff>
      <xdr:row>61</xdr:row>
      <xdr:rowOff>0</xdr:rowOff>
    </xdr:from>
    <xdr:to>
      <xdr:col>29</xdr:col>
      <xdr:colOff>16799</xdr:colOff>
      <xdr:row>74</xdr:row>
      <xdr:rowOff>202115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556A78A-8A15-4993-9671-41C92C25F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-1</xdr:colOff>
      <xdr:row>76</xdr:row>
      <xdr:rowOff>0</xdr:rowOff>
    </xdr:from>
    <xdr:to>
      <xdr:col>29</xdr:col>
      <xdr:colOff>16799</xdr:colOff>
      <xdr:row>89</xdr:row>
      <xdr:rowOff>191229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76C2691-B5EB-4F76-A278-AC2609DC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-1</xdr:colOff>
      <xdr:row>91</xdr:row>
      <xdr:rowOff>0</xdr:rowOff>
    </xdr:from>
    <xdr:to>
      <xdr:col>29</xdr:col>
      <xdr:colOff>16799</xdr:colOff>
      <xdr:row>104</xdr:row>
      <xdr:rowOff>202115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0912AEE-B427-40FD-BC6B-D7E7CF063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-1</xdr:colOff>
      <xdr:row>91</xdr:row>
      <xdr:rowOff>0</xdr:rowOff>
    </xdr:from>
    <xdr:to>
      <xdr:col>37</xdr:col>
      <xdr:colOff>16799</xdr:colOff>
      <xdr:row>104</xdr:row>
      <xdr:rowOff>202115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73830B2-F143-4F3D-A952-4A2393D87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-1</xdr:colOff>
      <xdr:row>106</xdr:row>
      <xdr:rowOff>0</xdr:rowOff>
    </xdr:from>
    <xdr:to>
      <xdr:col>37</xdr:col>
      <xdr:colOff>16799</xdr:colOff>
      <xdr:row>119</xdr:row>
      <xdr:rowOff>202114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CEA70449-766D-449A-98EF-961BDA5A5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-1</xdr:colOff>
      <xdr:row>106</xdr:row>
      <xdr:rowOff>0</xdr:rowOff>
    </xdr:from>
    <xdr:to>
      <xdr:col>29</xdr:col>
      <xdr:colOff>16799</xdr:colOff>
      <xdr:row>119</xdr:row>
      <xdr:rowOff>202114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7C12BFA-BE63-4F8F-B9F9-FE8A98C1C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606489</xdr:colOff>
      <xdr:row>76</xdr:row>
      <xdr:rowOff>0</xdr:rowOff>
    </xdr:from>
    <xdr:to>
      <xdr:col>37</xdr:col>
      <xdr:colOff>16799</xdr:colOff>
      <xdr:row>89</xdr:row>
      <xdr:rowOff>191229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E836D9D2-896A-4AC1-9CDB-797E28047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11</xdr:col>
      <xdr:colOff>431800</xdr:colOff>
      <xdr:row>10</xdr:row>
      <xdr:rowOff>24881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998408C-26DF-A5AF-4C78-82D5EA30B71E}"/>
            </a:ext>
          </a:extLst>
        </xdr:cNvPr>
        <xdr:cNvSpPr txBox="1"/>
      </xdr:nvSpPr>
      <xdr:spPr>
        <a:xfrm>
          <a:off x="5796902" y="1963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30</xdr:col>
      <xdr:colOff>-1</xdr:colOff>
      <xdr:row>61</xdr:row>
      <xdr:rowOff>0</xdr:rowOff>
    </xdr:from>
    <xdr:to>
      <xdr:col>37</xdr:col>
      <xdr:colOff>16799</xdr:colOff>
      <xdr:row>74</xdr:row>
      <xdr:rowOff>202115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F738BA-DA0D-4985-91C7-DACBC869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-1</xdr:colOff>
      <xdr:row>46</xdr:row>
      <xdr:rowOff>0</xdr:rowOff>
    </xdr:from>
    <xdr:to>
      <xdr:col>37</xdr:col>
      <xdr:colOff>16799</xdr:colOff>
      <xdr:row>59</xdr:row>
      <xdr:rowOff>191229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3553E76-9EBF-471B-8711-73F3CC135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30</xdr:col>
      <xdr:colOff>-1</xdr:colOff>
      <xdr:row>31</xdr:row>
      <xdr:rowOff>0</xdr:rowOff>
    </xdr:from>
    <xdr:to>
      <xdr:col>37</xdr:col>
      <xdr:colOff>16799</xdr:colOff>
      <xdr:row>44</xdr:row>
      <xdr:rowOff>191229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601BA70-5BCB-41E4-BB32-9F3C90AEF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30</xdr:col>
      <xdr:colOff>-1</xdr:colOff>
      <xdr:row>16</xdr:row>
      <xdr:rowOff>0</xdr:rowOff>
    </xdr:from>
    <xdr:to>
      <xdr:col>37</xdr:col>
      <xdr:colOff>16799</xdr:colOff>
      <xdr:row>29</xdr:row>
      <xdr:rowOff>202114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1FB11476-18C4-4434-8D5E-63B66BAE5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607217</xdr:colOff>
      <xdr:row>1</xdr:row>
      <xdr:rowOff>0</xdr:rowOff>
    </xdr:from>
    <xdr:to>
      <xdr:col>37</xdr:col>
      <xdr:colOff>16799</xdr:colOff>
      <xdr:row>14</xdr:row>
      <xdr:rowOff>158572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4D6BC0C8-6665-4799-B06B-D4D56630D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540487</xdr:colOff>
      <xdr:row>16</xdr:row>
      <xdr:rowOff>1</xdr:rowOff>
    </xdr:from>
    <xdr:to>
      <xdr:col>7</xdr:col>
      <xdr:colOff>69282</xdr:colOff>
      <xdr:row>30</xdr:row>
      <xdr:rowOff>50761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AACB63B3-0E14-4908-A1CF-A8A2A0C81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0</xdr:colOff>
      <xdr:row>121</xdr:row>
      <xdr:rowOff>0</xdr:rowOff>
    </xdr:from>
    <xdr:to>
      <xdr:col>37</xdr:col>
      <xdr:colOff>16800</xdr:colOff>
      <xdr:row>135</xdr:row>
      <xdr:rowOff>8931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4CE33E-6A89-453E-A581-6F4324194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0</xdr:colOff>
      <xdr:row>121</xdr:row>
      <xdr:rowOff>0</xdr:rowOff>
    </xdr:from>
    <xdr:to>
      <xdr:col>29</xdr:col>
      <xdr:colOff>16800</xdr:colOff>
      <xdr:row>134</xdr:row>
      <xdr:rowOff>202114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CEF89561-40B5-4795-8845-CA877EC35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539262</xdr:colOff>
      <xdr:row>31</xdr:row>
      <xdr:rowOff>0</xdr:rowOff>
    </xdr:from>
    <xdr:to>
      <xdr:col>7</xdr:col>
      <xdr:colOff>68057</xdr:colOff>
      <xdr:row>45</xdr:row>
      <xdr:rowOff>50760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0AFFC32F-A3DC-4755-9237-4630C5CC8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7</xdr:col>
      <xdr:colOff>52916</xdr:colOff>
      <xdr:row>74</xdr:row>
      <xdr:rowOff>86783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F4B060F3-B7C1-4C6F-96E9-811841D83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7</xdr:col>
      <xdr:colOff>52916</xdr:colOff>
      <xdr:row>93</xdr:row>
      <xdr:rowOff>120400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FE23062-DC20-4F43-BB4D-9AA69AEEC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0</xdr:rowOff>
    </xdr:from>
    <xdr:to>
      <xdr:col>24</xdr:col>
      <xdr:colOff>5045</xdr:colOff>
      <xdr:row>18</xdr:row>
      <xdr:rowOff>6546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ED20D1-DFB4-4183-93BE-39574D1D1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24</xdr:col>
      <xdr:colOff>5045</xdr:colOff>
      <xdr:row>33</xdr:row>
      <xdr:rowOff>6546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F35E03-707D-4E92-B8E3-24412CDBB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34</xdr:row>
      <xdr:rowOff>0</xdr:rowOff>
    </xdr:from>
    <xdr:to>
      <xdr:col>24</xdr:col>
      <xdr:colOff>5045</xdr:colOff>
      <xdr:row>48</xdr:row>
      <xdr:rowOff>6546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F49CD7-4AEA-4BAC-98DB-3CA8EEEFF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49</xdr:row>
      <xdr:rowOff>0</xdr:rowOff>
    </xdr:from>
    <xdr:to>
      <xdr:col>24</xdr:col>
      <xdr:colOff>5045</xdr:colOff>
      <xdr:row>63</xdr:row>
      <xdr:rowOff>6546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6D9921E-1BCF-46AF-A17B-1FD92B2C3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64</xdr:row>
      <xdr:rowOff>0</xdr:rowOff>
    </xdr:from>
    <xdr:to>
      <xdr:col>24</xdr:col>
      <xdr:colOff>5045</xdr:colOff>
      <xdr:row>78</xdr:row>
      <xdr:rowOff>6547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3C2FE6E-8556-4F43-8E42-19BE1978C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79</xdr:row>
      <xdr:rowOff>0</xdr:rowOff>
    </xdr:from>
    <xdr:to>
      <xdr:col>24</xdr:col>
      <xdr:colOff>5045</xdr:colOff>
      <xdr:row>93</xdr:row>
      <xdr:rowOff>6547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EED2DC0-1F2D-4E27-B2E8-41B6BDD35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4</xdr:row>
      <xdr:rowOff>0</xdr:rowOff>
    </xdr:from>
    <xdr:to>
      <xdr:col>32</xdr:col>
      <xdr:colOff>5045</xdr:colOff>
      <xdr:row>18</xdr:row>
      <xdr:rowOff>6546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D9864D9-F1B1-44EE-94B4-ABE64B539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19</xdr:row>
      <xdr:rowOff>0</xdr:rowOff>
    </xdr:from>
    <xdr:to>
      <xdr:col>32</xdr:col>
      <xdr:colOff>5045</xdr:colOff>
      <xdr:row>33</xdr:row>
      <xdr:rowOff>6546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C0FE7CF-6CB6-49F7-A0D3-3B1484B06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34</xdr:row>
      <xdr:rowOff>0</xdr:rowOff>
    </xdr:from>
    <xdr:to>
      <xdr:col>32</xdr:col>
      <xdr:colOff>5045</xdr:colOff>
      <xdr:row>48</xdr:row>
      <xdr:rowOff>6547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148BA3C-D2BF-40A5-BB30-50A6D17BE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0</xdr:colOff>
      <xdr:row>49</xdr:row>
      <xdr:rowOff>0</xdr:rowOff>
    </xdr:from>
    <xdr:to>
      <xdr:col>32</xdr:col>
      <xdr:colOff>5045</xdr:colOff>
      <xdr:row>63</xdr:row>
      <xdr:rowOff>6546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78346A5-C054-4D0A-A072-BE1FF167A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0</xdr:colOff>
      <xdr:row>64</xdr:row>
      <xdr:rowOff>0</xdr:rowOff>
    </xdr:from>
    <xdr:to>
      <xdr:col>32</xdr:col>
      <xdr:colOff>5045</xdr:colOff>
      <xdr:row>78</xdr:row>
      <xdr:rowOff>6546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F49DAA0B-800D-4973-AE2E-19476FE4D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0</xdr:colOff>
      <xdr:row>79</xdr:row>
      <xdr:rowOff>0</xdr:rowOff>
    </xdr:from>
    <xdr:to>
      <xdr:col>32</xdr:col>
      <xdr:colOff>5045</xdr:colOff>
      <xdr:row>93</xdr:row>
      <xdr:rowOff>6546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F46BF859-AAAA-4746-AC33-1E22D92B5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94</xdr:row>
      <xdr:rowOff>0</xdr:rowOff>
    </xdr:from>
    <xdr:to>
      <xdr:col>14</xdr:col>
      <xdr:colOff>353756</xdr:colOff>
      <xdr:row>108</xdr:row>
      <xdr:rowOff>6546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97BB51C-0783-4A84-AF4E-1033B1CD9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28</xdr:col>
      <xdr:colOff>19687</xdr:colOff>
      <xdr:row>25</xdr:row>
      <xdr:rowOff>132181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24D3C9A-AB9D-432F-8B56-B9A4861D8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28</xdr:col>
      <xdr:colOff>45391</xdr:colOff>
      <xdr:row>42</xdr:row>
      <xdr:rowOff>48715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2D1AC076-3104-4256-B60B-D8084D45C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16800</xdr:colOff>
      <xdr:row>25</xdr:row>
      <xdr:rowOff>132180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913F757A-9BDC-4DAF-9F15-4101C6774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14</xdr:col>
      <xdr:colOff>16800</xdr:colOff>
      <xdr:row>42</xdr:row>
      <xdr:rowOff>48715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DC898D86-8B57-4CF5-A690-0F2EFCF73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9543</xdr:colOff>
      <xdr:row>68</xdr:row>
      <xdr:rowOff>56509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FFC73E8-7100-43DE-8456-5F456F439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12331</xdr:colOff>
      <xdr:row>84</xdr:row>
      <xdr:rowOff>56509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4CE48029-D7F7-4A42-BC0C-33780119B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54</xdr:row>
      <xdr:rowOff>0</xdr:rowOff>
    </xdr:from>
    <xdr:to>
      <xdr:col>28</xdr:col>
      <xdr:colOff>40857</xdr:colOff>
      <xdr:row>68</xdr:row>
      <xdr:rowOff>49452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2BC8994-9509-43AC-BF72-C6A9CBDE2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70</xdr:row>
      <xdr:rowOff>0</xdr:rowOff>
    </xdr:from>
    <xdr:to>
      <xdr:col>28</xdr:col>
      <xdr:colOff>18622</xdr:colOff>
      <xdr:row>84</xdr:row>
      <xdr:rowOff>56509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6F5BA88E-0131-4525-8450-3CDE162A7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2BA1-F212-4BB5-98A2-574FC952A39F}">
  <dimension ref="B2:L21"/>
  <sheetViews>
    <sheetView zoomScale="91" workbookViewId="0">
      <selection activeCell="N14" sqref="N14"/>
    </sheetView>
  </sheetViews>
  <sheetFormatPr defaultRowHeight="16.2" customHeight="1" x14ac:dyDescent="0.3"/>
  <sheetData>
    <row r="2" spans="2:12" ht="16.2" customHeight="1" x14ac:dyDescent="0.35">
      <c r="B2" s="406" t="s">
        <v>2</v>
      </c>
      <c r="C2" s="406"/>
      <c r="D2" s="406"/>
    </row>
    <row r="3" spans="2:12" ht="16.2" customHeight="1" thickBot="1" x14ac:dyDescent="0.35"/>
    <row r="4" spans="2:12" ht="16.2" customHeight="1" thickTop="1" thickBot="1" x14ac:dyDescent="0.4">
      <c r="B4" s="1" t="s">
        <v>0</v>
      </c>
      <c r="C4" s="2" t="s">
        <v>59</v>
      </c>
      <c r="D4" s="3" t="s">
        <v>60</v>
      </c>
      <c r="E4" s="4" t="s">
        <v>61</v>
      </c>
      <c r="F4" s="3" t="s">
        <v>62</v>
      </c>
      <c r="G4" s="5" t="s">
        <v>63</v>
      </c>
    </row>
    <row r="5" spans="2:12" ht="16.2" customHeight="1" x14ac:dyDescent="0.3">
      <c r="B5" s="246">
        <v>3</v>
      </c>
      <c r="C5" s="256">
        <v>16.850000000000001</v>
      </c>
      <c r="D5" s="257">
        <v>16.899999999999999</v>
      </c>
      <c r="E5" s="258">
        <v>16.899999999999999</v>
      </c>
      <c r="F5" s="257">
        <f>AVERAGE(C5:E5)</f>
        <v>16.883333333333333</v>
      </c>
      <c r="G5" s="259">
        <f>_xlfn.STDEV.S(C5:E5)/SQRT(3)</f>
        <v>1.6666666666665719E-2</v>
      </c>
    </row>
    <row r="6" spans="2:12" ht="16.2" customHeight="1" x14ac:dyDescent="0.3">
      <c r="B6" s="260">
        <v>4</v>
      </c>
      <c r="C6" s="261">
        <v>17.899999999999999</v>
      </c>
      <c r="D6" s="262">
        <v>17.899999999999999</v>
      </c>
      <c r="E6" s="263">
        <v>17.95</v>
      </c>
      <c r="F6" s="262">
        <f>AVERAGE(C6:E6)</f>
        <v>17.916666666666668</v>
      </c>
      <c r="G6" s="264">
        <f>_xlfn.STDEV.S(C6:E6)/SQRT(3)</f>
        <v>1.6666666666666902E-2</v>
      </c>
    </row>
    <row r="7" spans="2:12" ht="16.2" customHeight="1" x14ac:dyDescent="0.3">
      <c r="B7" s="273">
        <v>5</v>
      </c>
      <c r="C7" s="274">
        <v>21.9</v>
      </c>
      <c r="D7" s="275">
        <v>21.95</v>
      </c>
      <c r="E7" s="276">
        <v>21.95</v>
      </c>
      <c r="F7" s="275">
        <f>AVERAGE(C7:E7)</f>
        <v>21.933333333333334</v>
      </c>
      <c r="G7" s="277">
        <f>_xlfn.STDEV.S(C7:E7)/SQRT(3)</f>
        <v>1.6666666666666906E-2</v>
      </c>
    </row>
    <row r="8" spans="2:12" ht="16.2" customHeight="1" x14ac:dyDescent="0.3">
      <c r="B8" s="287">
        <v>6</v>
      </c>
      <c r="C8" s="288">
        <v>23.9</v>
      </c>
      <c r="D8" s="289">
        <v>23.95</v>
      </c>
      <c r="E8" s="290">
        <v>23.95</v>
      </c>
      <c r="F8" s="289">
        <f>AVERAGE(C8:E8)</f>
        <v>23.933333333333334</v>
      </c>
      <c r="G8" s="291">
        <f>_xlfn.STDEV.S(C8:E8)/SQRT(3)</f>
        <v>1.6666666666666906E-2</v>
      </c>
    </row>
    <row r="9" spans="2:12" ht="16.2" customHeight="1" thickBot="1" x14ac:dyDescent="0.35">
      <c r="B9" s="300">
        <v>7</v>
      </c>
      <c r="C9" s="301">
        <v>25.95</v>
      </c>
      <c r="D9" s="302">
        <v>26</v>
      </c>
      <c r="E9" s="303">
        <v>26</v>
      </c>
      <c r="F9" s="302">
        <f>AVERAGE(C9:E9)</f>
        <v>25.983333333333334</v>
      </c>
      <c r="G9" s="304">
        <f>_xlfn.STDEV.S(C9:E9)/SQRT(3)</f>
        <v>1.6666666666666906E-2</v>
      </c>
    </row>
    <row r="10" spans="2:12" ht="16.2" customHeight="1" thickTop="1" x14ac:dyDescent="0.3"/>
    <row r="11" spans="2:12" ht="16.2" customHeight="1" x14ac:dyDescent="0.35">
      <c r="B11" s="406" t="s">
        <v>3</v>
      </c>
      <c r="C11" s="406"/>
      <c r="D11" s="406"/>
    </row>
    <row r="12" spans="2:12" ht="16.2" customHeight="1" thickBot="1" x14ac:dyDescent="0.35"/>
    <row r="13" spans="2:12" ht="16.2" customHeight="1" thickTop="1" thickBot="1" x14ac:dyDescent="0.4">
      <c r="B13" s="1" t="s">
        <v>0</v>
      </c>
      <c r="C13" s="2" t="s">
        <v>59</v>
      </c>
      <c r="D13" s="3" t="s">
        <v>60</v>
      </c>
      <c r="E13" s="4" t="s">
        <v>61</v>
      </c>
      <c r="F13" s="3" t="s">
        <v>62</v>
      </c>
      <c r="G13" s="5" t="s">
        <v>63</v>
      </c>
      <c r="H13" s="7" t="s">
        <v>64</v>
      </c>
      <c r="I13" s="6" t="s">
        <v>65</v>
      </c>
      <c r="J13" s="3" t="s">
        <v>66</v>
      </c>
      <c r="K13" s="6" t="s">
        <v>67</v>
      </c>
      <c r="L13" s="8" t="s">
        <v>68</v>
      </c>
    </row>
    <row r="14" spans="2:12" ht="16.2" customHeight="1" x14ac:dyDescent="0.3">
      <c r="B14" s="227">
        <v>1</v>
      </c>
      <c r="C14" s="228">
        <v>6.0640000000000001</v>
      </c>
      <c r="D14" s="229">
        <v>6.06</v>
      </c>
      <c r="E14" s="230">
        <v>6.0620000000000003</v>
      </c>
      <c r="F14" s="231">
        <f>AVERAGE(C14:E14)</f>
        <v>6.0620000000000003</v>
      </c>
      <c r="G14" s="232">
        <f>_xlfn.STDEV.S(C14:E14)/SQRT(3)</f>
        <v>1.1547005383793808E-3</v>
      </c>
      <c r="H14" s="233">
        <v>1</v>
      </c>
      <c r="I14" s="234">
        <v>1.01</v>
      </c>
      <c r="J14" s="235">
        <v>0.98199999999999998</v>
      </c>
      <c r="K14" s="234">
        <f t="shared" ref="K14:K20" si="0">AVERAGE(H14:J14)</f>
        <v>0.99733333333333329</v>
      </c>
      <c r="L14" s="236">
        <f t="shared" ref="L14:L20" si="1">_xlfn.STDEV.S(H14:J14)/SQRT(3)</f>
        <v>8.1921371516296797E-3</v>
      </c>
    </row>
    <row r="15" spans="2:12" ht="16.2" customHeight="1" x14ac:dyDescent="0.3">
      <c r="B15" s="237">
        <v>2</v>
      </c>
      <c r="C15" s="238">
        <v>15.04</v>
      </c>
      <c r="D15" s="239">
        <v>15.038</v>
      </c>
      <c r="E15" s="240">
        <v>15.038</v>
      </c>
      <c r="F15" s="241">
        <f>AVERAGE(C15:E15)</f>
        <v>15.038666666666666</v>
      </c>
      <c r="G15" s="242">
        <f>_xlfn.STDEV.S(C15:E15)/SQRT(3)</f>
        <v>6.6666666666629715E-4</v>
      </c>
      <c r="H15" s="243">
        <v>1.044</v>
      </c>
      <c r="I15" s="240">
        <v>1.022</v>
      </c>
      <c r="J15" s="239">
        <v>1.06</v>
      </c>
      <c r="K15" s="244">
        <f t="shared" si="0"/>
        <v>1.042</v>
      </c>
      <c r="L15" s="245">
        <f t="shared" si="1"/>
        <v>1.1015141094572214E-2</v>
      </c>
    </row>
    <row r="16" spans="2:12" ht="16.2" customHeight="1" x14ac:dyDescent="0.3">
      <c r="B16" s="247">
        <v>3</v>
      </c>
      <c r="C16" s="248" t="s">
        <v>1</v>
      </c>
      <c r="D16" s="249" t="s">
        <v>1</v>
      </c>
      <c r="E16" s="250" t="s">
        <v>1</v>
      </c>
      <c r="F16" s="249" t="s">
        <v>1</v>
      </c>
      <c r="G16" s="251" t="s">
        <v>1</v>
      </c>
      <c r="H16" s="252">
        <v>0.97599999999999998</v>
      </c>
      <c r="I16" s="253">
        <v>0.97799999999999998</v>
      </c>
      <c r="J16" s="254">
        <v>0.97199999999999998</v>
      </c>
      <c r="K16" s="253">
        <f t="shared" si="0"/>
        <v>0.97533333333333339</v>
      </c>
      <c r="L16" s="255">
        <f t="shared" si="1"/>
        <v>1.7638342073763955E-3</v>
      </c>
    </row>
    <row r="17" spans="2:12" ht="16.2" customHeight="1" x14ac:dyDescent="0.3">
      <c r="B17" s="260">
        <v>4</v>
      </c>
      <c r="C17" s="265" t="s">
        <v>1</v>
      </c>
      <c r="D17" s="266" t="s">
        <v>1</v>
      </c>
      <c r="E17" s="267" t="s">
        <v>1</v>
      </c>
      <c r="F17" s="268" t="s">
        <v>1</v>
      </c>
      <c r="G17" s="269" t="s">
        <v>1</v>
      </c>
      <c r="H17" s="270">
        <v>1.048</v>
      </c>
      <c r="I17" s="267">
        <v>0.99399999999999999</v>
      </c>
      <c r="J17" s="266">
        <v>0.99199999999999999</v>
      </c>
      <c r="K17" s="271">
        <f t="shared" si="0"/>
        <v>1.0113333333333332</v>
      </c>
      <c r="L17" s="272">
        <f t="shared" si="1"/>
        <v>1.8342421989596822E-2</v>
      </c>
    </row>
    <row r="18" spans="2:12" ht="16.2" customHeight="1" x14ac:dyDescent="0.3">
      <c r="B18" s="273">
        <v>5</v>
      </c>
      <c r="C18" s="278" t="s">
        <v>1</v>
      </c>
      <c r="D18" s="279" t="s">
        <v>1</v>
      </c>
      <c r="E18" s="280" t="s">
        <v>1</v>
      </c>
      <c r="F18" s="279" t="s">
        <v>1</v>
      </c>
      <c r="G18" s="281" t="s">
        <v>1</v>
      </c>
      <c r="H18" s="282">
        <v>0.94799999999999995</v>
      </c>
      <c r="I18" s="283">
        <v>0.996</v>
      </c>
      <c r="J18" s="284">
        <v>1.028</v>
      </c>
      <c r="K18" s="285">
        <f t="shared" si="0"/>
        <v>0.9906666666666667</v>
      </c>
      <c r="L18" s="286">
        <f t="shared" si="1"/>
        <v>2.3247461032216945E-2</v>
      </c>
    </row>
    <row r="19" spans="2:12" ht="16.2" customHeight="1" x14ac:dyDescent="0.3">
      <c r="B19" s="287">
        <v>6</v>
      </c>
      <c r="C19" s="292" t="s">
        <v>1</v>
      </c>
      <c r="D19" s="293" t="s">
        <v>1</v>
      </c>
      <c r="E19" s="294" t="s">
        <v>1</v>
      </c>
      <c r="F19" s="295" t="s">
        <v>1</v>
      </c>
      <c r="G19" s="296" t="s">
        <v>1</v>
      </c>
      <c r="H19" s="297">
        <v>1.052</v>
      </c>
      <c r="I19" s="294">
        <v>1.054</v>
      </c>
      <c r="J19" s="293">
        <v>1.054</v>
      </c>
      <c r="K19" s="298">
        <f t="shared" si="0"/>
        <v>1.0533333333333335</v>
      </c>
      <c r="L19" s="299">
        <f t="shared" si="1"/>
        <v>6.666666666666674E-4</v>
      </c>
    </row>
    <row r="20" spans="2:12" ht="16.2" customHeight="1" thickBot="1" x14ac:dyDescent="0.35">
      <c r="B20" s="300">
        <v>7</v>
      </c>
      <c r="C20" s="305" t="s">
        <v>1</v>
      </c>
      <c r="D20" s="306" t="s">
        <v>1</v>
      </c>
      <c r="E20" s="307" t="s">
        <v>1</v>
      </c>
      <c r="F20" s="306" t="s">
        <v>1</v>
      </c>
      <c r="G20" s="308" t="s">
        <v>1</v>
      </c>
      <c r="H20" s="309">
        <v>1.04</v>
      </c>
      <c r="I20" s="310">
        <v>1.04</v>
      </c>
      <c r="J20" s="311">
        <v>1.042</v>
      </c>
      <c r="K20" s="312">
        <f t="shared" si="0"/>
        <v>1.0406666666666666</v>
      </c>
      <c r="L20" s="313">
        <f t="shared" si="1"/>
        <v>6.666666666666674E-4</v>
      </c>
    </row>
    <row r="21" spans="2:12" ht="16.2" customHeight="1" thickTop="1" x14ac:dyDescent="0.3"/>
  </sheetData>
  <sortState xmlns:xlrd2="http://schemas.microsoft.com/office/spreadsheetml/2017/richdata2" ref="C5:G9">
    <sortCondition ref="C5:C9"/>
  </sortState>
  <mergeCells count="2">
    <mergeCell ref="B11:D11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C48E-4289-4D3E-AD12-A9277E3EB2A7}">
  <dimension ref="B1:AS135"/>
  <sheetViews>
    <sheetView topLeftCell="A80" zoomScale="190" zoomScaleNormal="91" workbookViewId="0">
      <selection activeCell="H89" sqref="H89"/>
    </sheetView>
  </sheetViews>
  <sheetFormatPr defaultRowHeight="14.4" x14ac:dyDescent="0.3"/>
  <cols>
    <col min="1" max="1" width="8.88671875" style="35"/>
    <col min="2" max="2" width="12.6640625" style="35" bestFit="1" customWidth="1"/>
    <col min="3" max="3" width="12" style="35" bestFit="1" customWidth="1"/>
    <col min="4" max="4" width="10" style="35" bestFit="1" customWidth="1"/>
    <col min="5" max="5" width="10.88671875" style="35" customWidth="1"/>
    <col min="6" max="6" width="9.6640625" style="35" bestFit="1" customWidth="1"/>
    <col min="7" max="7" width="10.5546875" style="35" customWidth="1"/>
    <col min="8" max="8" width="10.33203125" style="35" bestFit="1" customWidth="1"/>
    <col min="9" max="9" width="10.5546875" style="35" bestFit="1" customWidth="1"/>
    <col min="10" max="10" width="10" style="35" bestFit="1" customWidth="1"/>
    <col min="11" max="11" width="8.44140625" style="35" bestFit="1" customWidth="1"/>
    <col min="12" max="12" width="8.77734375" style="35" customWidth="1"/>
    <col min="13" max="13" width="11.88671875" style="35" bestFit="1" customWidth="1"/>
    <col min="14" max="14" width="8.6640625" style="35" customWidth="1"/>
    <col min="15" max="15" width="8.88671875" style="35" customWidth="1"/>
    <col min="16" max="16" width="16.6640625" style="35" bestFit="1" customWidth="1"/>
    <col min="17" max="17" width="8.88671875" style="35"/>
    <col min="18" max="18" width="11" style="35" customWidth="1"/>
    <col min="19" max="20" width="8.88671875" style="35" customWidth="1"/>
    <col min="21" max="21" width="8.88671875" style="35"/>
    <col min="22" max="22" width="10.5546875" style="35" bestFit="1" customWidth="1"/>
    <col min="23" max="23" width="8.88671875" style="35"/>
    <col min="24" max="24" width="11.44140625" style="35" bestFit="1" customWidth="1"/>
    <col min="25" max="16384" width="8.88671875" style="35"/>
  </cols>
  <sheetData>
    <row r="1" spans="2:45" ht="15" thickBot="1" x14ac:dyDescent="0.35"/>
    <row r="2" spans="2:45" ht="17.399999999999999" thickBot="1" x14ac:dyDescent="0.4">
      <c r="B2" s="219" t="s">
        <v>81</v>
      </c>
      <c r="C2" s="221">
        <v>26</v>
      </c>
      <c r="E2" s="223" t="s">
        <v>83</v>
      </c>
      <c r="F2" s="226">
        <f>331.4+0.607*C2+0.08*C5</f>
        <v>349.19959999999998</v>
      </c>
      <c r="H2" s="95" t="s">
        <v>94</v>
      </c>
      <c r="I2" s="59">
        <f>F2+F3</f>
        <v>349.50309999999996</v>
      </c>
      <c r="L2" s="407" t="s">
        <v>6</v>
      </c>
      <c r="M2" s="408"/>
      <c r="N2" s="408"/>
      <c r="O2" s="408"/>
      <c r="P2" s="409"/>
      <c r="R2" s="407" t="s">
        <v>23</v>
      </c>
      <c r="S2" s="408"/>
      <c r="T2" s="408"/>
      <c r="U2" s="409"/>
      <c r="AS2"/>
    </row>
    <row r="3" spans="2:45" ht="17.399999999999999" thickBot="1" x14ac:dyDescent="0.4">
      <c r="B3" s="220" t="s">
        <v>82</v>
      </c>
      <c r="C3" s="222">
        <v>0.5</v>
      </c>
      <c r="E3" s="224" t="s">
        <v>84</v>
      </c>
      <c r="F3" s="225">
        <f>0.607*C3</f>
        <v>0.30349999999999999</v>
      </c>
      <c r="H3" s="97" t="s">
        <v>95</v>
      </c>
      <c r="I3" s="58">
        <f>F2-F3</f>
        <v>348.89609999999999</v>
      </c>
      <c r="L3" s="42" t="s">
        <v>7</v>
      </c>
      <c r="M3" s="43" t="s">
        <v>86</v>
      </c>
      <c r="N3" s="42" t="s">
        <v>87</v>
      </c>
      <c r="O3" s="42" t="s">
        <v>88</v>
      </c>
      <c r="P3" s="44" t="s">
        <v>89</v>
      </c>
      <c r="R3" s="45" t="s">
        <v>15</v>
      </c>
      <c r="S3" s="46">
        <f t="array" ref="S3:T5">LINEST(M4:M6,L4:L6,1,1)</f>
        <v>2661.4999999999995</v>
      </c>
      <c r="T3" s="47">
        <v>-1331.3333333333326</v>
      </c>
      <c r="U3" s="45" t="s">
        <v>12</v>
      </c>
    </row>
    <row r="4" spans="2:45" ht="16.2" thickBot="1" x14ac:dyDescent="0.4">
      <c r="L4" s="48">
        <v>1</v>
      </c>
      <c r="M4" s="26">
        <v>1337</v>
      </c>
      <c r="N4" s="49">
        <f>M4/(2*256)</f>
        <v>2.611328125</v>
      </c>
      <c r="O4" s="49">
        <f>S$3*L4+T$3</f>
        <v>1330.166666666667</v>
      </c>
      <c r="P4" s="50">
        <f>M4-O4</f>
        <v>6.8333333333330302</v>
      </c>
      <c r="R4" s="48" t="s">
        <v>16</v>
      </c>
      <c r="S4" s="51">
        <v>11.835680518387429</v>
      </c>
      <c r="T4" s="52">
        <v>25.567992142955482</v>
      </c>
      <c r="U4" s="48" t="s">
        <v>13</v>
      </c>
    </row>
    <row r="5" spans="2:45" ht="17.399999999999999" thickBot="1" x14ac:dyDescent="0.4">
      <c r="B5" s="9" t="s">
        <v>85</v>
      </c>
      <c r="C5" s="218">
        <v>25.22</v>
      </c>
      <c r="D5" s="35">
        <f>C3/C2*100</f>
        <v>1.9230769230769231</v>
      </c>
      <c r="L5" s="48">
        <v>2</v>
      </c>
      <c r="M5" s="24">
        <v>3978</v>
      </c>
      <c r="N5" s="49">
        <f t="shared" ref="N5:N6" si="0">M5/(2*256)</f>
        <v>7.76953125</v>
      </c>
      <c r="O5" s="49">
        <f>S$3*L5+T$3</f>
        <v>3991.6666666666665</v>
      </c>
      <c r="P5" s="53">
        <f>M5-O5</f>
        <v>-13.666666666666515</v>
      </c>
      <c r="R5" s="54" t="s">
        <v>11</v>
      </c>
      <c r="S5" s="55">
        <v>0.99998022461542935</v>
      </c>
      <c r="T5" s="56">
        <v>16.738179909018527</v>
      </c>
      <c r="U5" s="54" t="s">
        <v>14</v>
      </c>
      <c r="AS5"/>
    </row>
    <row r="6" spans="2:45" ht="15" thickBot="1" x14ac:dyDescent="0.35">
      <c r="L6" s="54">
        <v>3</v>
      </c>
      <c r="M6" s="25">
        <v>6660</v>
      </c>
      <c r="N6" s="57">
        <f t="shared" si="0"/>
        <v>13.0078125</v>
      </c>
      <c r="O6" s="57">
        <f>S$3*L6+T$3</f>
        <v>6653.1666666666661</v>
      </c>
      <c r="P6" s="58">
        <f>M6-O6</f>
        <v>6.8333333333339397</v>
      </c>
      <c r="AS6"/>
    </row>
    <row r="7" spans="2:45" ht="17.399999999999999" thickBot="1" x14ac:dyDescent="0.4">
      <c r="B7" s="9" t="s">
        <v>0</v>
      </c>
      <c r="C7" s="10" t="s">
        <v>69</v>
      </c>
      <c r="D7" s="9" t="s">
        <v>70</v>
      </c>
      <c r="E7" s="10" t="s">
        <v>71</v>
      </c>
      <c r="F7" s="9" t="s">
        <v>72</v>
      </c>
      <c r="G7" s="28" t="s">
        <v>73</v>
      </c>
      <c r="H7" s="28" t="s">
        <v>74</v>
      </c>
      <c r="R7" s="45" t="s">
        <v>75</v>
      </c>
      <c r="S7" s="59">
        <f>2*S3*(C8+G8)</f>
        <v>338.87211626666669</v>
      </c>
      <c r="U7" s="45" t="s">
        <v>44</v>
      </c>
    </row>
    <row r="8" spans="2:45" ht="17.399999999999999" thickBot="1" x14ac:dyDescent="0.4">
      <c r="B8" s="23">
        <v>1</v>
      </c>
      <c r="C8" s="11">
        <f>'Medidas dos tubos'!F14*10^-2</f>
        <v>6.0620000000000007E-2</v>
      </c>
      <c r="D8" s="12">
        <f>'Medidas dos tubos'!G14*10^-2</f>
        <v>1.1547005383793808E-5</v>
      </c>
      <c r="E8" s="13">
        <f>'Medidas dos tubos'!K14*10^-2</f>
        <v>9.9733333333333323E-3</v>
      </c>
      <c r="F8" s="12">
        <f>'Medidas dos tubos'!L14*10^-2</f>
        <v>8.1921371516296802E-5</v>
      </c>
      <c r="G8" s="323">
        <f>0.305*E8</f>
        <v>3.0418666666666662E-3</v>
      </c>
      <c r="H8" s="12">
        <f>0.305*F8</f>
        <v>2.4986018312470526E-5</v>
      </c>
      <c r="R8" s="48" t="s">
        <v>76</v>
      </c>
      <c r="S8" s="60">
        <f>2*SQRT(((C8+G8)*S4)^2+(S3*D8)^2)</f>
        <v>1.5082159940629052</v>
      </c>
      <c r="U8" s="57">
        <f>2*T5</f>
        <v>33.476359818037054</v>
      </c>
    </row>
    <row r="9" spans="2:45" ht="16.2" thickBot="1" x14ac:dyDescent="0.4">
      <c r="B9" s="112">
        <v>2</v>
      </c>
      <c r="C9" s="120">
        <f>'Medidas dos tubos'!F15*10^-2</f>
        <v>0.15038666666666667</v>
      </c>
      <c r="D9" s="121">
        <f>'Medidas dos tubos'!G15*10^-2</f>
        <v>6.6666666666629719E-6</v>
      </c>
      <c r="E9" s="122">
        <f>'Medidas dos tubos'!K15*10^-2</f>
        <v>1.042E-2</v>
      </c>
      <c r="F9" s="121">
        <f>'Medidas dos tubos'!L15*10^-2</f>
        <v>1.1015141094572214E-4</v>
      </c>
      <c r="G9" s="324">
        <f t="shared" ref="G9:G14" si="1">0.305*E9</f>
        <v>3.1781000000000001E-3</v>
      </c>
      <c r="H9" s="121">
        <f t="shared" ref="H9:H14" si="2">0.305*F9</f>
        <v>3.3596180338445249E-5</v>
      </c>
      <c r="R9" s="48" t="s">
        <v>31</v>
      </c>
      <c r="S9" s="63">
        <f>S8/S7*100</f>
        <v>0.44506937032141453</v>
      </c>
    </row>
    <row r="10" spans="2:45" ht="16.2" thickBot="1" x14ac:dyDescent="0.4">
      <c r="B10" s="14">
        <v>3</v>
      </c>
      <c r="C10" s="32">
        <f>'Medidas dos tubos'!F5*10^-2</f>
        <v>0.16883333333333334</v>
      </c>
      <c r="D10" s="15">
        <f>'Medidas dos tubos'!G5*10^-3</f>
        <v>1.6666666666665719E-5</v>
      </c>
      <c r="E10" s="16">
        <f>'Medidas dos tubos'!K16*10^-2</f>
        <v>9.7533333333333343E-3</v>
      </c>
      <c r="F10" s="15">
        <f>'Medidas dos tubos'!L16*10^-2</f>
        <v>1.7638342073763954E-5</v>
      </c>
      <c r="G10" s="29">
        <f t="shared" si="1"/>
        <v>2.974766666666667E-3</v>
      </c>
      <c r="H10" s="15">
        <f t="shared" si="2"/>
        <v>5.3796943324980059E-6</v>
      </c>
      <c r="R10" s="61" t="s">
        <v>32</v>
      </c>
      <c r="S10" s="62">
        <f>ABS(S7-F$2)/F$2*100</f>
        <v>2.9574729562500308</v>
      </c>
      <c r="U10" s="161" t="s">
        <v>45</v>
      </c>
    </row>
    <row r="11" spans="2:45" ht="15" thickBot="1" x14ac:dyDescent="0.35">
      <c r="B11" s="17">
        <v>4</v>
      </c>
      <c r="C11" s="33">
        <f>'Medidas dos tubos'!F6*10^-2</f>
        <v>0.17916666666666667</v>
      </c>
      <c r="D11" s="18">
        <f>'Medidas dos tubos'!G6*10^-3</f>
        <v>1.6666666666666901E-5</v>
      </c>
      <c r="E11" s="19">
        <f>'Medidas dos tubos'!K17*10^-2</f>
        <v>1.0113333333333332E-2</v>
      </c>
      <c r="F11" s="18">
        <f>'Medidas dos tubos'!L17*10^-2</f>
        <v>1.8342421989596823E-4</v>
      </c>
      <c r="G11" s="326">
        <f t="shared" si="1"/>
        <v>3.0845666666666663E-3</v>
      </c>
      <c r="H11" s="18">
        <f t="shared" si="2"/>
        <v>5.594438706827031E-5</v>
      </c>
      <c r="U11" s="57">
        <f>-2*T5</f>
        <v>-33.476359818037054</v>
      </c>
    </row>
    <row r="12" spans="2:45" ht="16.8" x14ac:dyDescent="0.35">
      <c r="B12" s="20">
        <v>5</v>
      </c>
      <c r="C12" s="34">
        <f>'Medidas dos tubos'!F7*10^-2</f>
        <v>0.21933333333333335</v>
      </c>
      <c r="D12" s="21">
        <f>'Medidas dos tubos'!G7*10^-3</f>
        <v>1.6666666666666905E-5</v>
      </c>
      <c r="E12" s="22">
        <f>'Medidas dos tubos'!K18*10^-2</f>
        <v>9.9066666666666678E-3</v>
      </c>
      <c r="F12" s="21">
        <f>'Medidas dos tubos'!L18*10^-2</f>
        <v>2.3247461032216944E-4</v>
      </c>
      <c r="G12" s="327">
        <f t="shared" si="1"/>
        <v>3.0215333333333334E-3</v>
      </c>
      <c r="H12" s="21">
        <f t="shared" si="2"/>
        <v>7.0904756148261678E-5</v>
      </c>
      <c r="R12" s="45" t="s">
        <v>77</v>
      </c>
      <c r="S12" s="59">
        <f>4*ABS(T3)*(C8+G8)</f>
        <v>339.02066062222207</v>
      </c>
    </row>
    <row r="13" spans="2:45" ht="16.8" x14ac:dyDescent="0.35">
      <c r="B13" s="133">
        <v>6</v>
      </c>
      <c r="C13" s="123">
        <f>'Medidas dos tubos'!F8*10^-2</f>
        <v>0.23933333333333334</v>
      </c>
      <c r="D13" s="124">
        <f>'Medidas dos tubos'!G8*10^-3</f>
        <v>1.6666666666666905E-5</v>
      </c>
      <c r="E13" s="123">
        <f>'Medidas dos tubos'!K19*10^-2</f>
        <v>1.0533333333333336E-2</v>
      </c>
      <c r="F13" s="124">
        <f>'Medidas dos tubos'!L19*10^-2</f>
        <v>6.6666666666666743E-6</v>
      </c>
      <c r="G13" s="125">
        <f t="shared" si="1"/>
        <v>3.2126666666666671E-3</v>
      </c>
      <c r="H13" s="124">
        <f t="shared" si="2"/>
        <v>2.0333333333333356E-6</v>
      </c>
      <c r="R13" s="48" t="s">
        <v>78</v>
      </c>
      <c r="S13" s="60">
        <f>4*SQRT(((C8+G8)*T4)^2+(T3*D8)^2)</f>
        <v>6.5111148002478174</v>
      </c>
    </row>
    <row r="14" spans="2:45" ht="16.2" thickBot="1" x14ac:dyDescent="0.4">
      <c r="B14" s="141">
        <v>7</v>
      </c>
      <c r="C14" s="142">
        <f>'Medidas dos tubos'!F9*10^-2</f>
        <v>0.25983333333333336</v>
      </c>
      <c r="D14" s="143">
        <f>'Medidas dos tubos'!G9*10^-3</f>
        <v>1.6666666666666905E-5</v>
      </c>
      <c r="E14" s="142">
        <f>'Medidas dos tubos'!K20*10^-2</f>
        <v>1.0406666666666666E-2</v>
      </c>
      <c r="F14" s="143">
        <f>'Medidas dos tubos'!L20*10^-2</f>
        <v>6.6666666666666743E-6</v>
      </c>
      <c r="G14" s="144">
        <f t="shared" si="1"/>
        <v>3.1740333333333333E-3</v>
      </c>
      <c r="H14" s="143">
        <f t="shared" si="2"/>
        <v>2.0333333333333356E-6</v>
      </c>
      <c r="R14" s="48" t="s">
        <v>34</v>
      </c>
      <c r="S14" s="49">
        <f>S13/S12*100</f>
        <v>1.9205657815360377</v>
      </c>
    </row>
    <row r="15" spans="2:45" ht="16.2" thickBot="1" x14ac:dyDescent="0.4">
      <c r="R15" s="61" t="s">
        <v>33</v>
      </c>
      <c r="S15" s="62">
        <f>ABS(S12-F$2)/F$2*100</f>
        <v>2.9149344322782467</v>
      </c>
    </row>
    <row r="16" spans="2:45" ht="15" thickBot="1" x14ac:dyDescent="0.35"/>
    <row r="17" spans="2:21" ht="15" thickBot="1" x14ac:dyDescent="0.35">
      <c r="L17" s="410" t="s">
        <v>17</v>
      </c>
      <c r="M17" s="411"/>
      <c r="N17" s="411"/>
      <c r="O17" s="411"/>
      <c r="P17" s="412"/>
      <c r="R17" s="410" t="s">
        <v>24</v>
      </c>
      <c r="S17" s="411"/>
      <c r="T17" s="411"/>
      <c r="U17" s="412"/>
    </row>
    <row r="18" spans="2:21" ht="16.2" thickBot="1" x14ac:dyDescent="0.4">
      <c r="L18" s="113" t="s">
        <v>7</v>
      </c>
      <c r="M18" s="114" t="s">
        <v>86</v>
      </c>
      <c r="N18" s="113" t="s">
        <v>87</v>
      </c>
      <c r="O18" s="113" t="s">
        <v>88</v>
      </c>
      <c r="P18" s="115" t="s">
        <v>89</v>
      </c>
      <c r="R18" s="118" t="s">
        <v>15</v>
      </c>
      <c r="S18" s="46">
        <f t="array" ref="S18:T20">LINEST(M19:M25,L19:L25,1,1)</f>
        <v>1130.3571428571427</v>
      </c>
      <c r="T18" s="47">
        <v>557.57142857142935</v>
      </c>
      <c r="U18" s="118" t="s">
        <v>12</v>
      </c>
    </row>
    <row r="19" spans="2:21" ht="15.6" x14ac:dyDescent="0.35">
      <c r="L19" s="116">
        <v>1</v>
      </c>
      <c r="M19" s="98">
        <v>1700</v>
      </c>
      <c r="N19" s="63">
        <f>M19/(2*1024)</f>
        <v>0.830078125</v>
      </c>
      <c r="O19" s="49">
        <f t="shared" ref="O19:O25" si="3">S$18*L19+T$18</f>
        <v>1687.928571428572</v>
      </c>
      <c r="P19" s="50">
        <f t="shared" ref="P19:P25" si="4">M19-O19</f>
        <v>12.071428571427987</v>
      </c>
      <c r="R19" s="116" t="s">
        <v>16</v>
      </c>
      <c r="S19" s="51">
        <v>4.8110205120479916</v>
      </c>
      <c r="T19" s="52">
        <v>21.515537812170308</v>
      </c>
      <c r="U19" s="116" t="s">
        <v>13</v>
      </c>
    </row>
    <row r="20" spans="2:21" ht="17.399999999999999" thickBot="1" x14ac:dyDescent="0.4">
      <c r="L20" s="116">
        <v>2</v>
      </c>
      <c r="M20" s="24">
        <v>2801</v>
      </c>
      <c r="N20" s="49">
        <f t="shared" ref="N20:N25" si="5">M20/(2*1024)</f>
        <v>1.36767578125</v>
      </c>
      <c r="O20" s="49">
        <f t="shared" si="3"/>
        <v>2818.2857142857147</v>
      </c>
      <c r="P20" s="53">
        <f t="shared" si="4"/>
        <v>-17.285714285714675</v>
      </c>
      <c r="R20" s="117" t="s">
        <v>11</v>
      </c>
      <c r="S20" s="55">
        <v>0.99990943222039619</v>
      </c>
      <c r="T20" s="56">
        <v>25.457527654619227</v>
      </c>
      <c r="U20" s="117" t="s">
        <v>14</v>
      </c>
    </row>
    <row r="21" spans="2:21" ht="15" thickBot="1" x14ac:dyDescent="0.35">
      <c r="L21" s="116">
        <v>3</v>
      </c>
      <c r="M21" s="24">
        <v>3947</v>
      </c>
      <c r="N21" s="49">
        <f t="shared" si="5"/>
        <v>1.92724609375</v>
      </c>
      <c r="O21" s="49">
        <f t="shared" si="3"/>
        <v>3948.6428571428573</v>
      </c>
      <c r="P21" s="53">
        <f t="shared" si="4"/>
        <v>-1.6428571428573377</v>
      </c>
    </row>
    <row r="22" spans="2:21" ht="16.8" x14ac:dyDescent="0.35">
      <c r="L22" s="116">
        <v>4</v>
      </c>
      <c r="M22" s="24">
        <v>5074</v>
      </c>
      <c r="N22" s="49">
        <f t="shared" si="5"/>
        <v>2.4775390625</v>
      </c>
      <c r="O22" s="49">
        <f t="shared" si="3"/>
        <v>5079</v>
      </c>
      <c r="P22" s="53">
        <f t="shared" si="4"/>
        <v>-5</v>
      </c>
      <c r="R22" s="118" t="s">
        <v>75</v>
      </c>
      <c r="S22" s="59">
        <f>2*S18*(C9+G9)</f>
        <v>347.16606178571419</v>
      </c>
      <c r="U22" s="118" t="s">
        <v>44</v>
      </c>
    </row>
    <row r="23" spans="2:21" ht="17.399999999999999" thickBot="1" x14ac:dyDescent="0.4">
      <c r="L23" s="116">
        <v>5</v>
      </c>
      <c r="M23" s="24">
        <v>6205</v>
      </c>
      <c r="N23" s="49">
        <f t="shared" si="5"/>
        <v>3.02978515625</v>
      </c>
      <c r="O23" s="49">
        <f t="shared" si="3"/>
        <v>6209.3571428571431</v>
      </c>
      <c r="P23" s="53">
        <f t="shared" si="4"/>
        <v>-4.357142857143117</v>
      </c>
      <c r="R23" s="116" t="s">
        <v>76</v>
      </c>
      <c r="S23" s="60">
        <f>2*SQRT(((C9+G9)*S19)^2+(S18*D9)^2)</f>
        <v>1.4776833462054222</v>
      </c>
      <c r="U23" s="57">
        <f>2*T20</f>
        <v>50.915055309238454</v>
      </c>
    </row>
    <row r="24" spans="2:21" ht="16.2" thickBot="1" x14ac:dyDescent="0.4">
      <c r="L24" s="116">
        <v>6</v>
      </c>
      <c r="M24" s="24">
        <v>7384</v>
      </c>
      <c r="N24" s="49">
        <f t="shared" si="5"/>
        <v>3.60546875</v>
      </c>
      <c r="O24" s="49">
        <f t="shared" si="3"/>
        <v>7339.7142857142853</v>
      </c>
      <c r="P24" s="53">
        <f t="shared" si="4"/>
        <v>44.285714285714675</v>
      </c>
      <c r="R24" s="116" t="s">
        <v>31</v>
      </c>
      <c r="S24" s="63">
        <f>S23/S22*100</f>
        <v>0.42564164786289271</v>
      </c>
    </row>
    <row r="25" spans="2:21" ht="16.2" thickBot="1" x14ac:dyDescent="0.4">
      <c r="L25" s="117">
        <v>7</v>
      </c>
      <c r="M25" s="25">
        <v>8442</v>
      </c>
      <c r="N25" s="57">
        <f t="shared" si="5"/>
        <v>4.1220703125</v>
      </c>
      <c r="O25" s="57">
        <f t="shared" si="3"/>
        <v>8470.0714285714275</v>
      </c>
      <c r="P25" s="58">
        <f t="shared" si="4"/>
        <v>-28.071428571427532</v>
      </c>
      <c r="R25" s="119" t="s">
        <v>32</v>
      </c>
      <c r="S25" s="62">
        <f>ABS(S22-F$2)/F$2*100</f>
        <v>0.58234265282256448</v>
      </c>
      <c r="U25" s="162" t="s">
        <v>45</v>
      </c>
    </row>
    <row r="26" spans="2:21" ht="15" thickBot="1" x14ac:dyDescent="0.35">
      <c r="U26" s="57">
        <f>-2*T20</f>
        <v>-50.915055309238454</v>
      </c>
    </row>
    <row r="27" spans="2:21" ht="16.8" x14ac:dyDescent="0.35">
      <c r="R27" s="118" t="s">
        <v>77</v>
      </c>
      <c r="S27" s="59">
        <f>4*T18*(C9+G9)</f>
        <v>342.49330531428615</v>
      </c>
    </row>
    <row r="28" spans="2:21" ht="16.8" x14ac:dyDescent="0.35">
      <c r="R28" s="116" t="s">
        <v>78</v>
      </c>
      <c r="S28" s="60">
        <f>4*SQRT(((C9+G9)*T19)^2+(T18*D9)^2)</f>
        <v>13.216122539153073</v>
      </c>
    </row>
    <row r="29" spans="2:21" ht="15.6" x14ac:dyDescent="0.35">
      <c r="R29" s="116" t="s">
        <v>34</v>
      </c>
      <c r="S29" s="49">
        <f>S28/S27*100</f>
        <v>3.8587973353305132</v>
      </c>
    </row>
    <row r="30" spans="2:21" ht="16.2" thickBot="1" x14ac:dyDescent="0.4">
      <c r="R30" s="119" t="s">
        <v>33</v>
      </c>
      <c r="S30" s="62">
        <f>ABS(S27-F$2)/F$2*100</f>
        <v>1.9204760502915321</v>
      </c>
    </row>
    <row r="31" spans="2:21" ht="15" thickBot="1" x14ac:dyDescent="0.35"/>
    <row r="32" spans="2:21" ht="15" thickBot="1" x14ac:dyDescent="0.35">
      <c r="B32"/>
      <c r="C32"/>
      <c r="L32" s="413" t="s">
        <v>18</v>
      </c>
      <c r="M32" s="414"/>
      <c r="N32" s="414"/>
      <c r="O32" s="414"/>
      <c r="P32" s="415"/>
      <c r="R32" s="413" t="s">
        <v>25</v>
      </c>
      <c r="S32" s="414"/>
      <c r="T32" s="414"/>
      <c r="U32" s="415"/>
    </row>
    <row r="33" spans="2:21" ht="16.2" thickBot="1" x14ac:dyDescent="0.4">
      <c r="L33" s="64" t="s">
        <v>7</v>
      </c>
      <c r="M33" s="65" t="s">
        <v>86</v>
      </c>
      <c r="N33" s="64" t="s">
        <v>87</v>
      </c>
      <c r="O33" s="64" t="s">
        <v>88</v>
      </c>
      <c r="P33" s="66" t="s">
        <v>89</v>
      </c>
      <c r="R33" s="67" t="s">
        <v>15</v>
      </c>
      <c r="S33" s="46">
        <f t="array" ref="S33:T35">LINEST(M34:M39,L34:L39,1,1)</f>
        <v>993.71428571428567</v>
      </c>
      <c r="T33" s="47">
        <v>459.66666666666652</v>
      </c>
      <c r="U33" s="67" t="s">
        <v>12</v>
      </c>
    </row>
    <row r="34" spans="2:21" ht="15.6" x14ac:dyDescent="0.35">
      <c r="L34" s="68">
        <v>1</v>
      </c>
      <c r="M34" s="24">
        <v>1449</v>
      </c>
      <c r="N34" s="49">
        <f>M34/(2*256)</f>
        <v>2.830078125</v>
      </c>
      <c r="O34" s="49">
        <f t="shared" ref="O34:O39" si="6">S$33*L34+T$33</f>
        <v>1453.3809523809523</v>
      </c>
      <c r="P34" s="53">
        <f t="shared" ref="P34:P39" si="7">M34-O34</f>
        <v>-4.3809523809522943</v>
      </c>
      <c r="R34" s="68" t="s">
        <v>16</v>
      </c>
      <c r="S34" s="51">
        <v>4.6289535409586078</v>
      </c>
      <c r="T34" s="52">
        <v>18.027184058508897</v>
      </c>
      <c r="U34" s="68" t="s">
        <v>13</v>
      </c>
    </row>
    <row r="35" spans="2:21" ht="17.399999999999999" thickBot="1" x14ac:dyDescent="0.4">
      <c r="L35" s="68">
        <v>2</v>
      </c>
      <c r="M35" s="24">
        <v>2467</v>
      </c>
      <c r="N35" s="49">
        <f t="shared" ref="N35:N39" si="8">M35/(2*256)</f>
        <v>4.818359375</v>
      </c>
      <c r="O35" s="49">
        <f t="shared" si="6"/>
        <v>2447.0952380952376</v>
      </c>
      <c r="P35" s="53">
        <f t="shared" si="7"/>
        <v>19.904761904762381</v>
      </c>
      <c r="R35" s="69" t="s">
        <v>11</v>
      </c>
      <c r="S35" s="55">
        <v>0.99991321096191021</v>
      </c>
      <c r="T35" s="56">
        <v>19.364301962017159</v>
      </c>
      <c r="U35" s="69" t="s">
        <v>14</v>
      </c>
    </row>
    <row r="36" spans="2:21" ht="15" thickBot="1" x14ac:dyDescent="0.35">
      <c r="L36" s="68">
        <v>3</v>
      </c>
      <c r="M36" s="24">
        <v>3441</v>
      </c>
      <c r="N36" s="49">
        <f t="shared" si="8"/>
        <v>6.720703125</v>
      </c>
      <c r="O36" s="49">
        <f t="shared" si="6"/>
        <v>3440.8095238095234</v>
      </c>
      <c r="P36" s="53">
        <f t="shared" si="7"/>
        <v>0.19047619047660191</v>
      </c>
    </row>
    <row r="37" spans="2:21" ht="16.8" x14ac:dyDescent="0.35">
      <c r="L37" s="68">
        <v>4</v>
      </c>
      <c r="M37" s="24">
        <v>4412</v>
      </c>
      <c r="N37" s="49">
        <f t="shared" si="8"/>
        <v>8.6171875</v>
      </c>
      <c r="O37" s="49">
        <f t="shared" si="6"/>
        <v>4434.5238095238092</v>
      </c>
      <c r="P37" s="53">
        <f t="shared" si="7"/>
        <v>-22.523809523809177</v>
      </c>
      <c r="R37" s="67" t="s">
        <v>75</v>
      </c>
      <c r="S37" s="59">
        <f>2*S33*(C10+G10)</f>
        <v>341.45632674285713</v>
      </c>
      <c r="U37" s="163" t="s">
        <v>44</v>
      </c>
    </row>
    <row r="38" spans="2:21" ht="17.399999999999999" thickBot="1" x14ac:dyDescent="0.4">
      <c r="L38" s="68">
        <v>5</v>
      </c>
      <c r="M38" s="24">
        <v>5415</v>
      </c>
      <c r="N38" s="49">
        <f t="shared" si="8"/>
        <v>10.576171875</v>
      </c>
      <c r="O38" s="49">
        <f t="shared" si="6"/>
        <v>5428.2380952380954</v>
      </c>
      <c r="P38" s="53">
        <f t="shared" si="7"/>
        <v>-13.238095238095411</v>
      </c>
      <c r="R38" s="68" t="s">
        <v>76</v>
      </c>
      <c r="S38" s="60">
        <f>2*SQRT(((C10+G10)*S34)^2+(S33*D10)^2)</f>
        <v>1.5909282890611061</v>
      </c>
      <c r="U38" s="57">
        <f>2*T35</f>
        <v>38.728603924034317</v>
      </c>
    </row>
    <row r="39" spans="2:21" ht="16.2" thickBot="1" x14ac:dyDescent="0.4">
      <c r="L39" s="69">
        <v>6</v>
      </c>
      <c r="M39" s="25">
        <v>6442</v>
      </c>
      <c r="N39" s="57">
        <f t="shared" si="8"/>
        <v>12.58203125</v>
      </c>
      <c r="O39" s="57">
        <f t="shared" si="6"/>
        <v>6421.9523809523798</v>
      </c>
      <c r="P39" s="58">
        <f t="shared" si="7"/>
        <v>20.047619047620174</v>
      </c>
      <c r="R39" s="68" t="s">
        <v>31</v>
      </c>
      <c r="S39" s="63">
        <f>S38/S37*100</f>
        <v>0.4659243846019574</v>
      </c>
    </row>
    <row r="40" spans="2:21" ht="16.2" thickBot="1" x14ac:dyDescent="0.4">
      <c r="R40" s="70" t="s">
        <v>32</v>
      </c>
      <c r="S40" s="62">
        <f>ABS(S37-F$2)/F$2*100</f>
        <v>2.2174347442387812</v>
      </c>
      <c r="U40" s="164" t="s">
        <v>45</v>
      </c>
    </row>
    <row r="41" spans="2:21" ht="15" thickBot="1" x14ac:dyDescent="0.35">
      <c r="U41" s="57">
        <f>-2*T35</f>
        <v>-38.728603924034317</v>
      </c>
    </row>
    <row r="42" spans="2:21" ht="16.8" x14ac:dyDescent="0.35">
      <c r="R42" s="67" t="s">
        <v>77</v>
      </c>
      <c r="S42" s="59">
        <f>4*T33*(C10+G10)</f>
        <v>315.89782653333322</v>
      </c>
    </row>
    <row r="43" spans="2:21" ht="16.8" x14ac:dyDescent="0.35">
      <c r="R43" s="68" t="s">
        <v>78</v>
      </c>
      <c r="S43" s="60">
        <f>4*SQRT(((C10+G10)*T34)^2+(T33*D10)^2)</f>
        <v>12.38890286595543</v>
      </c>
    </row>
    <row r="44" spans="2:21" ht="15.6" x14ac:dyDescent="0.35">
      <c r="R44" s="68" t="s">
        <v>34</v>
      </c>
      <c r="S44" s="49">
        <f>S43/S42*100</f>
        <v>3.9218069341949602</v>
      </c>
    </row>
    <row r="45" spans="2:21" ht="16.2" thickBot="1" x14ac:dyDescent="0.4">
      <c r="R45" s="70" t="s">
        <v>33</v>
      </c>
      <c r="S45" s="62">
        <f>ABS(S42-F$2)/F$2*100</f>
        <v>9.5366012637662703</v>
      </c>
    </row>
    <row r="46" spans="2:21" ht="15" thickBot="1" x14ac:dyDescent="0.35"/>
    <row r="47" spans="2:21" ht="15" thickBot="1" x14ac:dyDescent="0.35">
      <c r="C47"/>
      <c r="D47"/>
      <c r="E47"/>
      <c r="F47"/>
      <c r="G47"/>
      <c r="H47"/>
      <c r="I47"/>
      <c r="J47"/>
      <c r="K47"/>
      <c r="L47" s="419" t="s">
        <v>19</v>
      </c>
      <c r="M47" s="420"/>
      <c r="N47" s="420"/>
      <c r="O47" s="420"/>
      <c r="P47" s="421"/>
      <c r="R47" s="419" t="s">
        <v>26</v>
      </c>
      <c r="S47" s="420"/>
      <c r="T47" s="420"/>
      <c r="U47" s="421"/>
    </row>
    <row r="48" spans="2:21" ht="18" thickTop="1" thickBot="1" x14ac:dyDescent="0.4">
      <c r="B48" s="314" t="s">
        <v>0</v>
      </c>
      <c r="C48" s="368" t="s">
        <v>75</v>
      </c>
      <c r="D48" s="369" t="s">
        <v>76</v>
      </c>
      <c r="E48" s="369" t="s">
        <v>54</v>
      </c>
      <c r="F48" s="370" t="s">
        <v>50</v>
      </c>
      <c r="G48" s="368" t="s">
        <v>77</v>
      </c>
      <c r="H48" s="369" t="s">
        <v>78</v>
      </c>
      <c r="I48" s="369" t="s">
        <v>55</v>
      </c>
      <c r="J48" s="370" t="s">
        <v>51</v>
      </c>
      <c r="K48"/>
      <c r="L48" s="71" t="s">
        <v>7</v>
      </c>
      <c r="M48" s="72" t="s">
        <v>86</v>
      </c>
      <c r="N48" s="71" t="s">
        <v>87</v>
      </c>
      <c r="O48" s="71" t="s">
        <v>88</v>
      </c>
      <c r="P48" s="73" t="s">
        <v>89</v>
      </c>
      <c r="R48" s="74" t="s">
        <v>15</v>
      </c>
      <c r="S48" s="46">
        <f t="array" ref="S48:T50">LINEST(M49:M59,L49:L59,1,1)</f>
        <v>947.79090909090939</v>
      </c>
      <c r="T48" s="47">
        <v>472.79999999999836</v>
      </c>
      <c r="U48" s="74" t="s">
        <v>12</v>
      </c>
    </row>
    <row r="49" spans="2:21" ht="15.6" x14ac:dyDescent="0.35">
      <c r="B49" s="315">
        <v>1</v>
      </c>
      <c r="C49" s="371">
        <f>S7</f>
        <v>338.87211626666669</v>
      </c>
      <c r="D49" s="378">
        <f>S8</f>
        <v>1.5082159940629052</v>
      </c>
      <c r="E49" s="382">
        <f>D49/C49*100</f>
        <v>0.44506937032141453</v>
      </c>
      <c r="F49" s="385">
        <f>ABS(C49-F$2)/F$2*100</f>
        <v>2.9574729562500308</v>
      </c>
      <c r="G49" s="371">
        <f>S12</f>
        <v>339.02066062222207</v>
      </c>
      <c r="H49" s="378">
        <f>S13</f>
        <v>6.5111148002478174</v>
      </c>
      <c r="I49" s="378">
        <f>H49/G49*100</f>
        <v>1.9205657815360377</v>
      </c>
      <c r="J49" s="385">
        <f>ABS(G49-F$2)/F$2*100</f>
        <v>2.9149344322782467</v>
      </c>
      <c r="K49"/>
      <c r="L49" s="75">
        <v>1</v>
      </c>
      <c r="M49" s="98">
        <v>1412</v>
      </c>
      <c r="N49" s="63">
        <f>M49/(2*1024)</f>
        <v>0.689453125</v>
      </c>
      <c r="O49" s="49">
        <f t="shared" ref="O49:O59" si="9">S$48*L49+T$48</f>
        <v>1420.5909090909076</v>
      </c>
      <c r="P49" s="50">
        <f t="shared" ref="P49:P59" si="10">M49-O49</f>
        <v>-8.590909090907644</v>
      </c>
      <c r="R49" s="75" t="s">
        <v>16</v>
      </c>
      <c r="S49" s="51">
        <v>1.7528960688241697</v>
      </c>
      <c r="T49" s="52">
        <v>11.88871956488858</v>
      </c>
      <c r="U49" s="75" t="s">
        <v>13</v>
      </c>
    </row>
    <row r="50" spans="2:21" ht="17.399999999999999" thickBot="1" x14ac:dyDescent="0.4">
      <c r="B50" s="316">
        <v>2</v>
      </c>
      <c r="C50" s="372">
        <f>S22</f>
        <v>347.16606178571419</v>
      </c>
      <c r="D50" s="379">
        <f>S23</f>
        <v>1.4776833462054222</v>
      </c>
      <c r="E50" s="383">
        <f t="shared" ref="E50:E55" si="11">D50/C50*100</f>
        <v>0.42564164786289271</v>
      </c>
      <c r="F50" s="386">
        <f t="shared" ref="F50:F55" si="12">ABS(C50-F$2)/F$2*100</f>
        <v>0.58234265282256448</v>
      </c>
      <c r="G50" s="372">
        <f>S27</f>
        <v>342.49330531428615</v>
      </c>
      <c r="H50" s="379">
        <f>S28</f>
        <v>13.216122539153073</v>
      </c>
      <c r="I50" s="379">
        <f t="shared" ref="I50:I55" si="13">H50/G50*100</f>
        <v>3.8587973353305132</v>
      </c>
      <c r="J50" s="386">
        <f t="shared" ref="J50:J55" si="14">ABS(G50-F$2)/F$2*100</f>
        <v>1.9204760502915321</v>
      </c>
      <c r="K50"/>
      <c r="L50" s="75">
        <v>2</v>
      </c>
      <c r="M50" s="24">
        <v>2383</v>
      </c>
      <c r="N50" s="49">
        <f t="shared" ref="N50:N59" si="15">M50/(2*1024)</f>
        <v>1.16357421875</v>
      </c>
      <c r="O50" s="49">
        <f t="shared" si="9"/>
        <v>2368.3818181818169</v>
      </c>
      <c r="P50" s="53">
        <f t="shared" si="10"/>
        <v>14.618181818183075</v>
      </c>
      <c r="R50" s="76" t="s">
        <v>11</v>
      </c>
      <c r="S50" s="55">
        <v>0.99996921661338634</v>
      </c>
      <c r="T50" s="56">
        <v>18.38452906905464</v>
      </c>
      <c r="U50" s="76" t="s">
        <v>14</v>
      </c>
    </row>
    <row r="51" spans="2:21" ht="15" thickBot="1" x14ac:dyDescent="0.35">
      <c r="B51" s="317">
        <v>3</v>
      </c>
      <c r="C51" s="373">
        <f>S37</f>
        <v>341.45632674285713</v>
      </c>
      <c r="D51" s="340">
        <f>S38</f>
        <v>1.5909282890611061</v>
      </c>
      <c r="E51" s="341">
        <f t="shared" si="11"/>
        <v>0.4659243846019574</v>
      </c>
      <c r="F51" s="387">
        <f t="shared" si="12"/>
        <v>2.2174347442387812</v>
      </c>
      <c r="G51" s="373">
        <f>S42</f>
        <v>315.89782653333322</v>
      </c>
      <c r="H51" s="340">
        <f>S43</f>
        <v>12.38890286595543</v>
      </c>
      <c r="I51" s="340">
        <f t="shared" si="13"/>
        <v>3.9218069341949602</v>
      </c>
      <c r="J51" s="387">
        <f t="shared" si="14"/>
        <v>9.5366012637662703</v>
      </c>
      <c r="K51"/>
      <c r="L51" s="75">
        <v>3</v>
      </c>
      <c r="M51" s="24">
        <v>3315</v>
      </c>
      <c r="N51" s="49">
        <f t="shared" si="15"/>
        <v>1.61865234375</v>
      </c>
      <c r="O51" s="49">
        <f t="shared" si="9"/>
        <v>3316.1727272727267</v>
      </c>
      <c r="P51" s="53">
        <f t="shared" si="10"/>
        <v>-1.1727272727266609</v>
      </c>
    </row>
    <row r="52" spans="2:21" ht="16.8" x14ac:dyDescent="0.35">
      <c r="B52" s="318">
        <v>4</v>
      </c>
      <c r="C52" s="374">
        <f>S52</f>
        <v>345.47212424787892</v>
      </c>
      <c r="D52" s="345">
        <f>S53</f>
        <v>0.63971554480285553</v>
      </c>
      <c r="E52" s="345">
        <f t="shared" si="11"/>
        <v>0.18517139297289717</v>
      </c>
      <c r="F52" s="388">
        <f t="shared" si="12"/>
        <v>1.0674341414254347</v>
      </c>
      <c r="G52" s="393">
        <f>S57</f>
        <v>344.67353247999881</v>
      </c>
      <c r="H52" s="347">
        <f>S58</f>
        <v>8.6669925297624584</v>
      </c>
      <c r="I52" s="347">
        <f t="shared" si="13"/>
        <v>2.514551223994955</v>
      </c>
      <c r="J52" s="388">
        <f t="shared" si="14"/>
        <v>1.2961262040395132</v>
      </c>
      <c r="K52"/>
      <c r="L52" s="75">
        <v>4</v>
      </c>
      <c r="M52" s="24">
        <v>4250</v>
      </c>
      <c r="N52" s="49">
        <f t="shared" si="15"/>
        <v>2.0751953125</v>
      </c>
      <c r="O52" s="49">
        <f t="shared" si="9"/>
        <v>4263.9636363636364</v>
      </c>
      <c r="P52" s="53">
        <f t="shared" si="10"/>
        <v>-13.963636363636397</v>
      </c>
      <c r="R52" s="74" t="s">
        <v>75</v>
      </c>
      <c r="S52" s="77">
        <f>2*S48*(C11+G11)</f>
        <v>345.47212424787892</v>
      </c>
      <c r="U52" s="74" t="s">
        <v>44</v>
      </c>
    </row>
    <row r="53" spans="2:21" ht="17.399999999999999" thickBot="1" x14ac:dyDescent="0.4">
      <c r="B53" s="319">
        <v>5</v>
      </c>
      <c r="C53" s="375">
        <f>S67</f>
        <v>346.26476319841271</v>
      </c>
      <c r="D53" s="350">
        <f>S68</f>
        <v>2.0242015672783489</v>
      </c>
      <c r="E53" s="384">
        <f t="shared" si="11"/>
        <v>0.58458202578310392</v>
      </c>
      <c r="F53" s="389">
        <f t="shared" si="12"/>
        <v>0.8404467821805256</v>
      </c>
      <c r="G53" s="375">
        <f>S72</f>
        <v>316.88744998095234</v>
      </c>
      <c r="H53" s="350">
        <f>S73</f>
        <v>20.441766960758475</v>
      </c>
      <c r="I53" s="350">
        <f t="shared" si="13"/>
        <v>6.4507972663439963</v>
      </c>
      <c r="J53" s="389">
        <f t="shared" si="14"/>
        <v>9.2532036173717369</v>
      </c>
      <c r="K53"/>
      <c r="L53" s="75">
        <v>5</v>
      </c>
      <c r="M53" s="24">
        <v>5222</v>
      </c>
      <c r="N53" s="49">
        <f t="shared" si="15"/>
        <v>2.5498046875</v>
      </c>
      <c r="O53" s="49">
        <f t="shared" si="9"/>
        <v>5211.7545454545452</v>
      </c>
      <c r="P53" s="53">
        <f t="shared" si="10"/>
        <v>10.245454545454777</v>
      </c>
      <c r="R53" s="75" t="s">
        <v>76</v>
      </c>
      <c r="S53" s="78">
        <f>2*SQRT(((C11+G11)*S49)^2+(S48*D11)^2)</f>
        <v>0.63971554480285553</v>
      </c>
      <c r="U53" s="57">
        <f>2*T50</f>
        <v>36.76905813810928</v>
      </c>
    </row>
    <row r="54" spans="2:21" ht="16.2" thickBot="1" x14ac:dyDescent="0.4">
      <c r="B54" s="320">
        <v>6</v>
      </c>
      <c r="C54" s="376">
        <f>S82</f>
        <v>344.45059941818187</v>
      </c>
      <c r="D54" s="380">
        <f>S83</f>
        <v>0.5800265511234669</v>
      </c>
      <c r="E54" s="380">
        <f t="shared" si="11"/>
        <v>0.16839179612495983</v>
      </c>
      <c r="F54" s="390">
        <f t="shared" si="12"/>
        <v>1.3599673601625286</v>
      </c>
      <c r="G54" s="392">
        <f>S87</f>
        <v>314.71004989090875</v>
      </c>
      <c r="H54" s="361">
        <f>S88</f>
        <v>7.8613391545416063</v>
      </c>
      <c r="I54" s="361">
        <f t="shared" si="13"/>
        <v>2.4979625395714766</v>
      </c>
      <c r="J54" s="390">
        <f t="shared" si="14"/>
        <v>9.8767438763077706</v>
      </c>
      <c r="K54"/>
      <c r="L54" s="75">
        <v>6</v>
      </c>
      <c r="M54" s="24">
        <v>6146</v>
      </c>
      <c r="N54" s="49">
        <f t="shared" si="15"/>
        <v>3.0009765625</v>
      </c>
      <c r="O54" s="49">
        <f t="shared" si="9"/>
        <v>6159.545454545455</v>
      </c>
      <c r="P54" s="53">
        <f t="shared" si="10"/>
        <v>-13.545454545454959</v>
      </c>
      <c r="R54" s="75" t="s">
        <v>31</v>
      </c>
      <c r="S54" s="63">
        <f>S53/S52*100</f>
        <v>0.18517139297289717</v>
      </c>
    </row>
    <row r="55" spans="2:21" ht="16.2" thickBot="1" x14ac:dyDescent="0.4">
      <c r="B55" s="321">
        <v>7</v>
      </c>
      <c r="C55" s="377">
        <f>S127</f>
        <v>348.28098936006012</v>
      </c>
      <c r="D55" s="381">
        <f>S128</f>
        <v>0.67278664562596191</v>
      </c>
      <c r="E55" s="381">
        <f t="shared" si="11"/>
        <v>0.19317351970951854</v>
      </c>
      <c r="F55" s="391">
        <f t="shared" si="12"/>
        <v>0.26306176752202953</v>
      </c>
      <c r="G55" s="394">
        <f>S132</f>
        <v>327.36124124924856</v>
      </c>
      <c r="H55" s="365">
        <f>S133</f>
        <v>9.1212338795939676</v>
      </c>
      <c r="I55" s="365">
        <f t="shared" si="13"/>
        <v>2.7862901071569373</v>
      </c>
      <c r="J55" s="391">
        <f t="shared" si="14"/>
        <v>6.2538326936088744</v>
      </c>
      <c r="K55"/>
      <c r="L55" s="75">
        <v>7</v>
      </c>
      <c r="M55" s="24">
        <v>7116</v>
      </c>
      <c r="N55" s="49">
        <f t="shared" si="15"/>
        <v>3.474609375</v>
      </c>
      <c r="O55" s="49">
        <f t="shared" si="9"/>
        <v>7107.3363636363638</v>
      </c>
      <c r="P55" s="53">
        <f t="shared" si="10"/>
        <v>8.6636363636362148</v>
      </c>
      <c r="R55" s="79" t="s">
        <v>32</v>
      </c>
      <c r="S55" s="62">
        <f>ABS(S52-F$2)/F$2*100</f>
        <v>1.0674341414254347</v>
      </c>
      <c r="U55" s="165" t="s">
        <v>45</v>
      </c>
    </row>
    <row r="56" spans="2:21" ht="15.6" thickTop="1" thickBot="1" x14ac:dyDescent="0.35">
      <c r="L56" s="75">
        <v>8</v>
      </c>
      <c r="M56" s="24">
        <v>8052</v>
      </c>
      <c r="N56" s="49">
        <f t="shared" si="15"/>
        <v>3.931640625</v>
      </c>
      <c r="O56" s="49">
        <f t="shared" si="9"/>
        <v>8055.1272727272735</v>
      </c>
      <c r="P56" s="53">
        <f t="shared" si="10"/>
        <v>-3.127272727273521</v>
      </c>
      <c r="U56" s="57">
        <f>-2*T50</f>
        <v>-36.76905813810928</v>
      </c>
    </row>
    <row r="57" spans="2:21" ht="16.8" x14ac:dyDescent="0.35">
      <c r="B57" s="95" t="s">
        <v>90</v>
      </c>
      <c r="C57" s="59">
        <f>AVERAGE(C49:C55)</f>
        <v>344.56614014568169</v>
      </c>
      <c r="E57" s="95" t="s">
        <v>94</v>
      </c>
      <c r="F57" s="59">
        <f>C57+C58</f>
        <v>347.08032886617093</v>
      </c>
      <c r="L57" s="75">
        <v>9</v>
      </c>
      <c r="M57" s="24">
        <v>9007</v>
      </c>
      <c r="N57" s="49">
        <f t="shared" si="15"/>
        <v>4.39794921875</v>
      </c>
      <c r="O57" s="49">
        <f t="shared" si="9"/>
        <v>9002.9181818181823</v>
      </c>
      <c r="P57" s="53">
        <f t="shared" si="10"/>
        <v>4.0818181818176527</v>
      </c>
      <c r="R57" s="74" t="s">
        <v>77</v>
      </c>
      <c r="S57" s="59">
        <f>4*T48*(C11+G11)</f>
        <v>344.67353247999881</v>
      </c>
    </row>
    <row r="58" spans="2:21" ht="17.399999999999999" thickBot="1" x14ac:dyDescent="0.4">
      <c r="B58" s="96" t="s">
        <v>91</v>
      </c>
      <c r="C58" s="53">
        <f>_xlfn.STDEV.S(C49:C55)/SQRT(7)*2</f>
        <v>2.5141887204892632</v>
      </c>
      <c r="E58" s="97" t="s">
        <v>95</v>
      </c>
      <c r="F58" s="58">
        <f>C57-C58</f>
        <v>342.05195142519244</v>
      </c>
      <c r="L58" s="75">
        <v>10</v>
      </c>
      <c r="M58" s="24">
        <v>9985</v>
      </c>
      <c r="N58" s="49">
        <f t="shared" si="15"/>
        <v>4.87548828125</v>
      </c>
      <c r="O58" s="49">
        <f t="shared" si="9"/>
        <v>9950.7090909090912</v>
      </c>
      <c r="P58" s="53">
        <f t="shared" si="10"/>
        <v>34.290909090908826</v>
      </c>
      <c r="R58" s="75" t="s">
        <v>78</v>
      </c>
      <c r="S58" s="60">
        <f>4*SQRT(((C11+G11)*T49)^2+(T48*D11)^2)</f>
        <v>8.6669925297624584</v>
      </c>
    </row>
    <row r="59" spans="2:21" ht="16.2" thickBot="1" x14ac:dyDescent="0.4">
      <c r="B59" s="96" t="s">
        <v>92</v>
      </c>
      <c r="C59" s="398">
        <f>C58/C57*100</f>
        <v>0.72966795850174682</v>
      </c>
      <c r="L59" s="76">
        <v>11</v>
      </c>
      <c r="M59" s="25">
        <v>10867</v>
      </c>
      <c r="N59" s="57">
        <f t="shared" si="15"/>
        <v>5.30615234375</v>
      </c>
      <c r="O59" s="57">
        <f t="shared" si="9"/>
        <v>10898.5</v>
      </c>
      <c r="P59" s="58">
        <f t="shared" si="10"/>
        <v>-31.5</v>
      </c>
      <c r="R59" s="75" t="s">
        <v>34</v>
      </c>
      <c r="S59" s="49">
        <f>S58/S57*100</f>
        <v>2.514551223994955</v>
      </c>
    </row>
    <row r="60" spans="2:21" ht="16.2" thickBot="1" x14ac:dyDescent="0.4">
      <c r="B60" s="97" t="s">
        <v>93</v>
      </c>
      <c r="C60" s="399">
        <f>ABS(C57-F2)/F2*100</f>
        <v>1.3268800578002635</v>
      </c>
      <c r="R60" s="79" t="s">
        <v>33</v>
      </c>
      <c r="S60" s="62">
        <f>ABS(S57-F$2)/F$2*100</f>
        <v>1.2961262040395132</v>
      </c>
    </row>
    <row r="61" spans="2:21" ht="15" thickBot="1" x14ac:dyDescent="0.35"/>
    <row r="62" spans="2:21" ht="15" thickBot="1" x14ac:dyDescent="0.35">
      <c r="L62" s="416" t="s">
        <v>20</v>
      </c>
      <c r="M62" s="417"/>
      <c r="N62" s="417"/>
      <c r="O62" s="417"/>
      <c r="P62" s="418"/>
      <c r="R62" s="416" t="s">
        <v>27</v>
      </c>
      <c r="S62" s="417"/>
      <c r="T62" s="417"/>
      <c r="U62" s="418"/>
    </row>
    <row r="63" spans="2:21" ht="16.2" thickBot="1" x14ac:dyDescent="0.4">
      <c r="L63" s="80" t="s">
        <v>7</v>
      </c>
      <c r="M63" s="81" t="s">
        <v>86</v>
      </c>
      <c r="N63" s="80" t="s">
        <v>87</v>
      </c>
      <c r="O63" s="80" t="s">
        <v>88</v>
      </c>
      <c r="P63" s="82" t="s">
        <v>89</v>
      </c>
      <c r="R63" s="83" t="s">
        <v>15</v>
      </c>
      <c r="S63" s="46">
        <f t="array" ref="S63:T65">LINEST(M64:M71,L64:L71,1,1)</f>
        <v>778.63095238095241</v>
      </c>
      <c r="T63" s="47">
        <v>356.28571428571422</v>
      </c>
      <c r="U63" s="83" t="s">
        <v>12</v>
      </c>
    </row>
    <row r="64" spans="2:21" ht="15.6" x14ac:dyDescent="0.35">
      <c r="L64" s="84">
        <v>1</v>
      </c>
      <c r="M64" s="24">
        <v>1108</v>
      </c>
      <c r="N64" s="49">
        <f>M64/(2*256)</f>
        <v>2.1640625</v>
      </c>
      <c r="O64" s="49">
        <f t="shared" ref="O64:O71" si="16">S$63*L64+T$63</f>
        <v>1134.9166666666665</v>
      </c>
      <c r="P64" s="53">
        <f t="shared" ref="P64:P71" si="17">M64-O64</f>
        <v>-26.916666666666515</v>
      </c>
      <c r="R64" s="84" t="s">
        <v>16</v>
      </c>
      <c r="S64" s="51">
        <v>4.5513624167745883</v>
      </c>
      <c r="T64" s="52">
        <v>22.983253602245256</v>
      </c>
      <c r="U64" s="84" t="s">
        <v>13</v>
      </c>
    </row>
    <row r="65" spans="2:21" ht="17.399999999999999" thickBot="1" x14ac:dyDescent="0.4">
      <c r="L65" s="84">
        <v>2</v>
      </c>
      <c r="M65" s="24">
        <v>1937</v>
      </c>
      <c r="N65" s="49">
        <f t="shared" ref="N65:N71" si="18">M65/(2*256)</f>
        <v>3.783203125</v>
      </c>
      <c r="O65" s="49">
        <f t="shared" si="16"/>
        <v>1913.547619047619</v>
      </c>
      <c r="P65" s="53">
        <f t="shared" si="17"/>
        <v>23.452380952380963</v>
      </c>
      <c r="R65" s="85" t="s">
        <v>11</v>
      </c>
      <c r="S65" s="86">
        <v>0.99979503404248049</v>
      </c>
      <c r="T65" s="56">
        <v>29.496199647595031</v>
      </c>
      <c r="U65" s="85" t="s">
        <v>14</v>
      </c>
    </row>
    <row r="66" spans="2:21" ht="15" thickBot="1" x14ac:dyDescent="0.35">
      <c r="L66" s="84">
        <v>3</v>
      </c>
      <c r="M66" s="24">
        <v>2709</v>
      </c>
      <c r="N66" s="49">
        <f t="shared" si="18"/>
        <v>5.291015625</v>
      </c>
      <c r="O66" s="49">
        <f t="shared" si="16"/>
        <v>2692.1785714285716</v>
      </c>
      <c r="P66" s="53">
        <f t="shared" si="17"/>
        <v>16.821428571428442</v>
      </c>
    </row>
    <row r="67" spans="2:21" ht="16.8" x14ac:dyDescent="0.35">
      <c r="L67" s="84">
        <v>4</v>
      </c>
      <c r="M67" s="24">
        <v>3497</v>
      </c>
      <c r="N67" s="49">
        <f t="shared" si="18"/>
        <v>6.830078125</v>
      </c>
      <c r="O67" s="49">
        <f t="shared" si="16"/>
        <v>3470.8095238095239</v>
      </c>
      <c r="P67" s="53">
        <f t="shared" si="17"/>
        <v>26.190476190476147</v>
      </c>
      <c r="R67" s="83" t="s">
        <v>75</v>
      </c>
      <c r="S67" s="59">
        <f>2*S63*(C12+G12)</f>
        <v>346.26476319841271</v>
      </c>
      <c r="U67" s="83" t="s">
        <v>44</v>
      </c>
    </row>
    <row r="68" spans="2:21" ht="17.399999999999999" thickBot="1" x14ac:dyDescent="0.4">
      <c r="L68" s="84">
        <v>5</v>
      </c>
      <c r="M68" s="24">
        <v>4217</v>
      </c>
      <c r="N68" s="49">
        <f t="shared" si="18"/>
        <v>8.236328125</v>
      </c>
      <c r="O68" s="49">
        <f t="shared" si="16"/>
        <v>4249.4404761904761</v>
      </c>
      <c r="P68" s="53">
        <f t="shared" si="17"/>
        <v>-32.440476190476147</v>
      </c>
      <c r="R68" s="84" t="s">
        <v>76</v>
      </c>
      <c r="S68" s="60">
        <f>2*SQRT(((C12+G12)*S64)^2+(S63*D12)^2)</f>
        <v>2.0242015672783489</v>
      </c>
      <c r="U68" s="57">
        <f>2*T65</f>
        <v>58.992399295190062</v>
      </c>
    </row>
    <row r="69" spans="2:21" ht="16.2" thickBot="1" x14ac:dyDescent="0.4">
      <c r="L69" s="84">
        <v>6</v>
      </c>
      <c r="M69" s="24">
        <v>4993</v>
      </c>
      <c r="N69" s="49">
        <f t="shared" si="18"/>
        <v>9.751953125</v>
      </c>
      <c r="O69" s="49">
        <f t="shared" si="16"/>
        <v>5028.0714285714294</v>
      </c>
      <c r="P69" s="53">
        <f t="shared" si="17"/>
        <v>-35.071428571429351</v>
      </c>
      <c r="R69" s="84" t="s">
        <v>31</v>
      </c>
      <c r="S69" s="63">
        <f>S68/S67*100</f>
        <v>0.58458202578310392</v>
      </c>
    </row>
    <row r="70" spans="2:21" ht="16.2" thickBot="1" x14ac:dyDescent="0.4">
      <c r="L70" s="84">
        <v>7</v>
      </c>
      <c r="M70" s="24">
        <v>5833</v>
      </c>
      <c r="N70" s="49">
        <f t="shared" si="18"/>
        <v>11.392578125</v>
      </c>
      <c r="O70" s="49">
        <f t="shared" si="16"/>
        <v>5806.7023809523816</v>
      </c>
      <c r="P70" s="53">
        <f t="shared" si="17"/>
        <v>26.297619047618355</v>
      </c>
      <c r="R70" s="87" t="s">
        <v>32</v>
      </c>
      <c r="S70" s="62">
        <f>ABS(S67-F$2)/F$2*100</f>
        <v>0.8404467821805256</v>
      </c>
      <c r="U70" s="166" t="s">
        <v>45</v>
      </c>
    </row>
    <row r="71" spans="2:21" ht="15" thickBot="1" x14ac:dyDescent="0.35">
      <c r="L71" s="85">
        <v>8</v>
      </c>
      <c r="M71" s="25">
        <v>6587</v>
      </c>
      <c r="N71" s="57">
        <f t="shared" si="18"/>
        <v>12.865234375</v>
      </c>
      <c r="O71" s="57">
        <f t="shared" si="16"/>
        <v>6585.3333333333339</v>
      </c>
      <c r="P71" s="58">
        <f t="shared" si="17"/>
        <v>1.6666666666660603</v>
      </c>
      <c r="U71" s="57">
        <f>-2*T65</f>
        <v>-58.992399295190062</v>
      </c>
    </row>
    <row r="72" spans="2:21" ht="16.8" x14ac:dyDescent="0.35">
      <c r="R72" s="83" t="s">
        <v>77</v>
      </c>
      <c r="S72" s="59">
        <f>4*T63*(C12+G12)</f>
        <v>316.88744998095234</v>
      </c>
    </row>
    <row r="73" spans="2:21" ht="16.8" x14ac:dyDescent="0.35">
      <c r="R73" s="84" t="s">
        <v>78</v>
      </c>
      <c r="S73" s="60">
        <f>4*SQRT(((C12+G12)*T64)^2+(T63*D12)^2)</f>
        <v>20.441766960758475</v>
      </c>
    </row>
    <row r="74" spans="2:21" ht="15.6" x14ac:dyDescent="0.35">
      <c r="R74" s="84" t="s">
        <v>34</v>
      </c>
      <c r="S74" s="49">
        <f>S73/S72*100</f>
        <v>6.4507972663439963</v>
      </c>
    </row>
    <row r="75" spans="2:21" ht="16.2" thickBot="1" x14ac:dyDescent="0.4">
      <c r="R75" s="87" t="s">
        <v>33</v>
      </c>
      <c r="S75" s="62">
        <f>ABS(S72-F$2)/F$2*100</f>
        <v>9.2532036173717369</v>
      </c>
    </row>
    <row r="76" spans="2:21" ht="16.8" thickBot="1" x14ac:dyDescent="0.35">
      <c r="B76" s="95" t="s">
        <v>90</v>
      </c>
      <c r="C76" s="59">
        <f>AVERAGE(C52:C55,C50)</f>
        <v>346.32690760204957</v>
      </c>
      <c r="E76" s="95" t="s">
        <v>94</v>
      </c>
      <c r="F76" s="59">
        <f>C76+2*C77</f>
        <v>347.65187282206637</v>
      </c>
    </row>
    <row r="77" spans="2:21" ht="16.8" thickBot="1" x14ac:dyDescent="0.35">
      <c r="B77" s="96" t="s">
        <v>91</v>
      </c>
      <c r="C77" s="53">
        <f>_xlfn.STDEV.S(C52:C55,C50)/SQRT(5)</f>
        <v>0.66248261000840447</v>
      </c>
      <c r="E77" s="97" t="s">
        <v>95</v>
      </c>
      <c r="F77" s="58">
        <f>C76-2*C77</f>
        <v>345.00194238203278</v>
      </c>
      <c r="L77" s="425" t="s">
        <v>21</v>
      </c>
      <c r="M77" s="426"/>
      <c r="N77" s="426"/>
      <c r="O77" s="426"/>
      <c r="P77" s="427"/>
      <c r="R77" s="425" t="s">
        <v>28</v>
      </c>
      <c r="S77" s="426"/>
      <c r="T77" s="426"/>
      <c r="U77" s="427"/>
    </row>
    <row r="78" spans="2:21" ht="16.2" thickBot="1" x14ac:dyDescent="0.4">
      <c r="B78" s="96" t="s">
        <v>92</v>
      </c>
      <c r="C78" s="398">
        <f>C77/C76*100</f>
        <v>0.19128822955034055</v>
      </c>
      <c r="L78" s="130" t="s">
        <v>7</v>
      </c>
      <c r="M78" s="131" t="s">
        <v>86</v>
      </c>
      <c r="N78" s="130" t="s">
        <v>87</v>
      </c>
      <c r="O78" s="130" t="s">
        <v>88</v>
      </c>
      <c r="P78" s="132" t="s">
        <v>89</v>
      </c>
      <c r="R78" s="128" t="s">
        <v>15</v>
      </c>
      <c r="S78" s="46">
        <f t="array" ref="S78:T80">LINEST(M79:M89,L79:L89,1,1)</f>
        <v>710.07272727272732</v>
      </c>
      <c r="T78" s="47">
        <v>324.38181818181783</v>
      </c>
      <c r="U78" s="128" t="s">
        <v>12</v>
      </c>
    </row>
    <row r="79" spans="2:21" ht="16.2" thickBot="1" x14ac:dyDescent="0.4">
      <c r="B79" s="97" t="s">
        <v>93</v>
      </c>
      <c r="C79" s="399">
        <f>ABS(C76-F2)/F2*100</f>
        <v>0.82265054082261335</v>
      </c>
      <c r="L79" s="126">
        <v>1</v>
      </c>
      <c r="M79" s="24">
        <v>1025</v>
      </c>
      <c r="N79" s="49">
        <f>M79/(2*512)</f>
        <v>1.0009765625</v>
      </c>
      <c r="O79" s="49">
        <f t="shared" ref="O79:O89" si="19">S$78*L79+T$78</f>
        <v>1034.454545454545</v>
      </c>
      <c r="P79" s="53">
        <f t="shared" ref="P79:P89" si="20">M79-O79</f>
        <v>-9.4545454545450411</v>
      </c>
      <c r="R79" s="126" t="s">
        <v>16</v>
      </c>
      <c r="S79" s="51">
        <v>1.1947082588194891</v>
      </c>
      <c r="T79" s="52">
        <v>8.1029056448788026</v>
      </c>
      <c r="U79" s="126" t="s">
        <v>13</v>
      </c>
    </row>
    <row r="80" spans="2:21" ht="17.399999999999999" thickBot="1" x14ac:dyDescent="0.4">
      <c r="L80" s="126">
        <v>2</v>
      </c>
      <c r="M80" s="24">
        <v>1765</v>
      </c>
      <c r="N80" s="49">
        <f t="shared" ref="N80:N89" si="21">M80/(2*512)</f>
        <v>1.7236328125</v>
      </c>
      <c r="O80" s="49">
        <f t="shared" si="19"/>
        <v>1744.5272727272725</v>
      </c>
      <c r="P80" s="53">
        <f t="shared" si="20"/>
        <v>20.472727272727525</v>
      </c>
      <c r="R80" s="127" t="s">
        <v>11</v>
      </c>
      <c r="S80" s="55">
        <v>0.99997452292815991</v>
      </c>
      <c r="T80" s="56">
        <v>12.530205928318354</v>
      </c>
      <c r="U80" s="127" t="s">
        <v>14</v>
      </c>
    </row>
    <row r="81" spans="12:21" ht="15" thickBot="1" x14ac:dyDescent="0.35">
      <c r="L81" s="126">
        <v>3</v>
      </c>
      <c r="M81" s="24">
        <v>2464</v>
      </c>
      <c r="N81" s="49">
        <f t="shared" si="21"/>
        <v>2.40625</v>
      </c>
      <c r="O81" s="49">
        <f t="shared" si="19"/>
        <v>2454.6</v>
      </c>
      <c r="P81" s="53">
        <f t="shared" si="20"/>
        <v>9.4000000000000909</v>
      </c>
    </row>
    <row r="82" spans="12:21" ht="16.8" x14ac:dyDescent="0.35">
      <c r="L82" s="126">
        <v>4</v>
      </c>
      <c r="M82" s="24">
        <v>3153</v>
      </c>
      <c r="N82" s="49">
        <f t="shared" si="21"/>
        <v>3.0791015625</v>
      </c>
      <c r="O82" s="49">
        <f t="shared" si="19"/>
        <v>3164.6727272727271</v>
      </c>
      <c r="P82" s="53">
        <f t="shared" si="20"/>
        <v>-11.672727272727116</v>
      </c>
      <c r="R82" s="128" t="s">
        <v>75</v>
      </c>
      <c r="S82" s="77">
        <f>2*S78*(C13+G13)</f>
        <v>344.45059941818187</v>
      </c>
      <c r="U82" s="128" t="s">
        <v>44</v>
      </c>
    </row>
    <row r="83" spans="12:21" ht="17.399999999999999" thickBot="1" x14ac:dyDescent="0.4">
      <c r="L83" s="126">
        <v>5</v>
      </c>
      <c r="M83" s="24">
        <v>3878</v>
      </c>
      <c r="N83" s="49">
        <f t="shared" si="21"/>
        <v>3.787109375</v>
      </c>
      <c r="O83" s="49">
        <f t="shared" si="19"/>
        <v>3874.7454545454543</v>
      </c>
      <c r="P83" s="53">
        <f t="shared" si="20"/>
        <v>3.2545454545456778</v>
      </c>
      <c r="R83" s="126" t="s">
        <v>76</v>
      </c>
      <c r="S83" s="78">
        <f>2*SQRT(((C13+G13)*S79)^2+(S78*D13)^2)</f>
        <v>0.5800265511234669</v>
      </c>
      <c r="U83" s="57">
        <f>2*T80</f>
        <v>25.060411856636708</v>
      </c>
    </row>
    <row r="84" spans="12:21" ht="16.2" thickBot="1" x14ac:dyDescent="0.4">
      <c r="L84" s="126">
        <v>6</v>
      </c>
      <c r="M84" s="24">
        <v>4575</v>
      </c>
      <c r="N84" s="49">
        <f t="shared" si="21"/>
        <v>4.4677734375</v>
      </c>
      <c r="O84" s="49">
        <f t="shared" si="19"/>
        <v>4584.818181818182</v>
      </c>
      <c r="P84" s="53">
        <f t="shared" si="20"/>
        <v>-9.8181818181819835</v>
      </c>
      <c r="R84" s="126" t="s">
        <v>31</v>
      </c>
      <c r="S84" s="63">
        <f>S83/S82*100</f>
        <v>0.16839179612495983</v>
      </c>
    </row>
    <row r="85" spans="12:21" ht="16.2" thickBot="1" x14ac:dyDescent="0.4">
      <c r="L85" s="126">
        <v>7</v>
      </c>
      <c r="M85" s="24">
        <v>5291</v>
      </c>
      <c r="N85" s="49">
        <f t="shared" si="21"/>
        <v>5.1669921875</v>
      </c>
      <c r="O85" s="49">
        <f t="shared" si="19"/>
        <v>5294.8909090909092</v>
      </c>
      <c r="P85" s="53">
        <f t="shared" si="20"/>
        <v>-3.8909090909091901</v>
      </c>
      <c r="R85" s="129" t="s">
        <v>32</v>
      </c>
      <c r="S85" s="62">
        <f>ABS(S82-F$2)/F$2*100</f>
        <v>1.3599673601625286</v>
      </c>
      <c r="U85" s="167" t="s">
        <v>45</v>
      </c>
    </row>
    <row r="86" spans="12:21" ht="15" thickBot="1" x14ac:dyDescent="0.35">
      <c r="L86" s="126">
        <v>8</v>
      </c>
      <c r="M86" s="24">
        <v>5990</v>
      </c>
      <c r="N86" s="49">
        <f t="shared" si="21"/>
        <v>5.849609375</v>
      </c>
      <c r="O86" s="49">
        <f t="shared" si="19"/>
        <v>6004.9636363636364</v>
      </c>
      <c r="P86" s="53">
        <f t="shared" si="20"/>
        <v>-14.963636363636397</v>
      </c>
      <c r="U86" s="57">
        <f>-2*T80</f>
        <v>-25.060411856636708</v>
      </c>
    </row>
    <row r="87" spans="12:21" ht="16.8" x14ac:dyDescent="0.35">
      <c r="L87" s="126">
        <v>9</v>
      </c>
      <c r="M87" s="24">
        <v>6710</v>
      </c>
      <c r="N87" s="49">
        <f t="shared" si="21"/>
        <v>6.552734375</v>
      </c>
      <c r="O87" s="49">
        <f t="shared" si="19"/>
        <v>6715.0363636363636</v>
      </c>
      <c r="P87" s="53">
        <f t="shared" si="20"/>
        <v>-5.0363636363636033</v>
      </c>
      <c r="R87" s="128" t="s">
        <v>77</v>
      </c>
      <c r="S87" s="59">
        <f>4*T78*(C13+G13)</f>
        <v>314.71004989090875</v>
      </c>
    </row>
    <row r="88" spans="12:21" ht="16.8" x14ac:dyDescent="0.35">
      <c r="L88" s="126">
        <v>10</v>
      </c>
      <c r="M88" s="24">
        <v>7442</v>
      </c>
      <c r="N88" s="49">
        <f t="shared" si="21"/>
        <v>7.267578125</v>
      </c>
      <c r="O88" s="49">
        <f t="shared" si="19"/>
        <v>7425.1090909090908</v>
      </c>
      <c r="P88" s="53">
        <f t="shared" si="20"/>
        <v>16.89090909090919</v>
      </c>
      <c r="R88" s="126" t="s">
        <v>78</v>
      </c>
      <c r="S88" s="60">
        <f>4*SQRT(((C13+G13)*T79)^2+(T78*D13)^2)</f>
        <v>7.8613391545416063</v>
      </c>
    </row>
    <row r="89" spans="12:21" ht="16.2" thickBot="1" x14ac:dyDescent="0.4">
      <c r="L89" s="127">
        <v>11</v>
      </c>
      <c r="M89" s="25">
        <v>8140</v>
      </c>
      <c r="N89" s="57">
        <f t="shared" si="21"/>
        <v>7.94921875</v>
      </c>
      <c r="O89" s="57">
        <f t="shared" si="19"/>
        <v>8135.181818181818</v>
      </c>
      <c r="P89" s="58">
        <f t="shared" si="20"/>
        <v>4.8181818181819835</v>
      </c>
      <c r="R89" s="126" t="s">
        <v>34</v>
      </c>
      <c r="S89" s="49">
        <f>S88/S87*100</f>
        <v>2.4979625395714766</v>
      </c>
    </row>
    <row r="90" spans="12:21" ht="16.2" thickBot="1" x14ac:dyDescent="0.4">
      <c r="R90" s="129" t="s">
        <v>33</v>
      </c>
      <c r="S90" s="62">
        <f>ABS(S87-F$2)/F$2*100</f>
        <v>9.8767438763077706</v>
      </c>
    </row>
    <row r="91" spans="12:21" ht="15" thickBot="1" x14ac:dyDescent="0.35"/>
    <row r="92" spans="12:21" ht="15" thickBot="1" x14ac:dyDescent="0.35">
      <c r="L92" s="422" t="s">
        <v>22</v>
      </c>
      <c r="M92" s="423"/>
      <c r="N92" s="423"/>
      <c r="O92" s="423"/>
      <c r="P92" s="424"/>
      <c r="R92" s="422" t="s">
        <v>29</v>
      </c>
      <c r="S92" s="423"/>
      <c r="T92" s="423"/>
      <c r="U92" s="424"/>
    </row>
    <row r="93" spans="12:21" ht="16.2" thickBot="1" x14ac:dyDescent="0.4">
      <c r="L93" s="138" t="s">
        <v>7</v>
      </c>
      <c r="M93" s="139" t="s">
        <v>86</v>
      </c>
      <c r="N93" s="138" t="s">
        <v>87</v>
      </c>
      <c r="O93" s="138" t="s">
        <v>88</v>
      </c>
      <c r="P93" s="140" t="s">
        <v>89</v>
      </c>
      <c r="R93" s="134" t="s">
        <v>15</v>
      </c>
      <c r="S93" s="46">
        <f t="array" ref="S93:T95">LINEST(M94:M103,L94:L103,1,1)</f>
        <v>645.8484848484851</v>
      </c>
      <c r="T93" s="47">
        <v>432.93333333333203</v>
      </c>
      <c r="U93" s="134" t="s">
        <v>12</v>
      </c>
    </row>
    <row r="94" spans="12:21" ht="15.6" x14ac:dyDescent="0.35">
      <c r="L94" s="88">
        <v>1</v>
      </c>
      <c r="M94" s="27">
        <v>1259</v>
      </c>
      <c r="N94" s="89">
        <f>M94/(2*256)</f>
        <v>2.458984375</v>
      </c>
      <c r="O94" s="89">
        <f t="shared" ref="O94:O103" si="22">S$93*L94+T$93</f>
        <v>1078.781818181817</v>
      </c>
      <c r="P94" s="90">
        <f t="shared" ref="P94:P103" si="23">M94-O94</f>
        <v>180.21818181818298</v>
      </c>
      <c r="R94" s="135" t="s">
        <v>16</v>
      </c>
      <c r="S94" s="51">
        <v>8.8174247305948796</v>
      </c>
      <c r="T94" s="52">
        <v>54.710681652385645</v>
      </c>
      <c r="U94" s="135" t="s">
        <v>13</v>
      </c>
    </row>
    <row r="95" spans="12:21" ht="17.399999999999999" thickBot="1" x14ac:dyDescent="0.4">
      <c r="L95" s="135">
        <v>2</v>
      </c>
      <c r="M95" s="24">
        <v>1638</v>
      </c>
      <c r="N95" s="49">
        <f t="shared" ref="N95:N103" si="24">M95/(2*256)</f>
        <v>3.19921875</v>
      </c>
      <c r="O95" s="49">
        <f t="shared" si="22"/>
        <v>1724.6303030303022</v>
      </c>
      <c r="P95" s="53">
        <f t="shared" si="23"/>
        <v>-86.63030303030223</v>
      </c>
      <c r="R95" s="137" t="s">
        <v>11</v>
      </c>
      <c r="S95" s="86">
        <v>0.9985111014169098</v>
      </c>
      <c r="T95" s="56">
        <v>80.088237323440694</v>
      </c>
      <c r="U95" s="137" t="s">
        <v>14</v>
      </c>
    </row>
    <row r="96" spans="12:21" ht="15" thickBot="1" x14ac:dyDescent="0.35">
      <c r="L96" s="135">
        <v>3</v>
      </c>
      <c r="M96" s="24">
        <v>2296</v>
      </c>
      <c r="N96" s="49">
        <f t="shared" si="24"/>
        <v>4.484375</v>
      </c>
      <c r="O96" s="49">
        <f t="shared" si="22"/>
        <v>2370.4787878787874</v>
      </c>
      <c r="P96" s="53">
        <f t="shared" si="23"/>
        <v>-74.478787878787443</v>
      </c>
    </row>
    <row r="97" spans="2:21" x14ac:dyDescent="0.3">
      <c r="L97" s="135">
        <v>4</v>
      </c>
      <c r="M97" s="24">
        <v>2997</v>
      </c>
      <c r="N97" s="49">
        <f t="shared" si="24"/>
        <v>5.853515625</v>
      </c>
      <c r="O97" s="49">
        <f t="shared" si="22"/>
        <v>3016.3272727272724</v>
      </c>
      <c r="P97" s="53">
        <f t="shared" si="23"/>
        <v>-19.32727272727243</v>
      </c>
      <c r="R97"/>
      <c r="S97"/>
      <c r="U97" s="134" t="s">
        <v>44</v>
      </c>
    </row>
    <row r="98" spans="2:21" ht="15" thickBot="1" x14ac:dyDescent="0.35">
      <c r="L98" s="135">
        <v>5</v>
      </c>
      <c r="M98" s="24">
        <v>3616</v>
      </c>
      <c r="N98" s="49">
        <f t="shared" si="24"/>
        <v>7.0625</v>
      </c>
      <c r="O98" s="49">
        <f t="shared" si="22"/>
        <v>3662.1757575757574</v>
      </c>
      <c r="P98" s="53">
        <f t="shared" si="23"/>
        <v>-46.175757575757416</v>
      </c>
      <c r="R98"/>
      <c r="S98"/>
      <c r="U98" s="57">
        <f>2*T95</f>
        <v>160.17647464688139</v>
      </c>
    </row>
    <row r="99" spans="2:21" ht="15" thickBot="1" x14ac:dyDescent="0.35">
      <c r="L99" s="135">
        <v>6</v>
      </c>
      <c r="M99" s="24">
        <v>4283</v>
      </c>
      <c r="N99" s="49">
        <f t="shared" si="24"/>
        <v>8.365234375</v>
      </c>
      <c r="O99" s="49">
        <f t="shared" si="22"/>
        <v>4308.0242424242424</v>
      </c>
      <c r="P99" s="53">
        <f t="shared" si="23"/>
        <v>-25.024242424242402</v>
      </c>
      <c r="R99"/>
      <c r="S99"/>
    </row>
    <row r="100" spans="2:21" ht="15" thickBot="1" x14ac:dyDescent="0.35">
      <c r="L100" s="135">
        <v>7</v>
      </c>
      <c r="M100" s="24">
        <v>4961</v>
      </c>
      <c r="N100" s="49">
        <f t="shared" si="24"/>
        <v>9.689453125</v>
      </c>
      <c r="O100" s="49">
        <f t="shared" si="22"/>
        <v>4953.8727272727283</v>
      </c>
      <c r="P100" s="53">
        <f t="shared" si="23"/>
        <v>7.127272727271702</v>
      </c>
      <c r="R100"/>
      <c r="S100"/>
      <c r="U100" s="168" t="s">
        <v>45</v>
      </c>
    </row>
    <row r="101" spans="2:21" ht="15" thickBot="1" x14ac:dyDescent="0.35">
      <c r="B101" s="109"/>
      <c r="C101" s="174"/>
      <c r="D101" s="110"/>
      <c r="E101" s="186"/>
      <c r="F101" s="187"/>
      <c r="L101" s="135">
        <v>8</v>
      </c>
      <c r="M101" s="24">
        <v>5593</v>
      </c>
      <c r="N101" s="49">
        <f t="shared" si="24"/>
        <v>10.923828125</v>
      </c>
      <c r="O101" s="49">
        <f t="shared" si="22"/>
        <v>5599.7212121212124</v>
      </c>
      <c r="P101" s="53">
        <f t="shared" si="23"/>
        <v>-6.7212121212123748</v>
      </c>
      <c r="R101"/>
      <c r="S101"/>
      <c r="U101" s="57">
        <f>-2*T95</f>
        <v>-160.17647464688139</v>
      </c>
    </row>
    <row r="102" spans="2:21" x14ac:dyDescent="0.3">
      <c r="B102" s="175"/>
      <c r="C102" s="176"/>
      <c r="D102" s="188"/>
      <c r="E102" s="169"/>
      <c r="F102" s="189"/>
      <c r="L102" s="135">
        <v>9</v>
      </c>
      <c r="M102" s="24">
        <v>6277</v>
      </c>
      <c r="N102" s="49">
        <f t="shared" si="24"/>
        <v>12.259765625</v>
      </c>
      <c r="O102" s="49">
        <f t="shared" si="22"/>
        <v>6245.5696969696983</v>
      </c>
      <c r="P102" s="53">
        <f t="shared" si="23"/>
        <v>31.430303030301729</v>
      </c>
      <c r="R102"/>
      <c r="S102"/>
    </row>
    <row r="103" spans="2:21" ht="15" thickBot="1" x14ac:dyDescent="0.35">
      <c r="B103" s="177"/>
      <c r="C103" s="178"/>
      <c r="D103" s="190"/>
      <c r="E103" s="170"/>
      <c r="F103" s="191"/>
      <c r="L103" s="137">
        <v>10</v>
      </c>
      <c r="M103" s="25">
        <v>6931</v>
      </c>
      <c r="N103" s="57">
        <f t="shared" si="24"/>
        <v>13.537109375</v>
      </c>
      <c r="O103" s="57">
        <f t="shared" si="22"/>
        <v>6891.4181818181823</v>
      </c>
      <c r="P103" s="58">
        <f t="shared" si="23"/>
        <v>39.581818181817653</v>
      </c>
      <c r="R103"/>
      <c r="S103"/>
    </row>
    <row r="104" spans="2:21" x14ac:dyDescent="0.3">
      <c r="B104" s="179"/>
      <c r="C104" s="180"/>
      <c r="D104" s="192"/>
      <c r="E104" s="171"/>
      <c r="F104" s="193"/>
      <c r="R104"/>
      <c r="S104"/>
    </row>
    <row r="105" spans="2:21" x14ac:dyDescent="0.3">
      <c r="B105" s="181"/>
      <c r="C105" s="182"/>
      <c r="D105" s="194"/>
      <c r="E105" s="172"/>
      <c r="F105" s="195"/>
      <c r="R105"/>
      <c r="S105"/>
    </row>
    <row r="106" spans="2:21" ht="15" thickBot="1" x14ac:dyDescent="0.35">
      <c r="B106" s="183"/>
      <c r="C106" s="184"/>
      <c r="D106" s="196"/>
      <c r="E106" s="173"/>
      <c r="F106" s="197"/>
    </row>
    <row r="107" spans="2:21" ht="15" thickBot="1" x14ac:dyDescent="0.35">
      <c r="B107" s="185"/>
      <c r="C107" s="145"/>
      <c r="D107" s="198"/>
      <c r="E107" s="199"/>
      <c r="F107" s="111"/>
      <c r="L107" s="422" t="s">
        <v>22</v>
      </c>
      <c r="M107" s="423"/>
      <c r="N107" s="423"/>
      <c r="O107" s="423"/>
      <c r="P107" s="424"/>
      <c r="R107" s="422" t="s">
        <v>30</v>
      </c>
      <c r="S107" s="423"/>
      <c r="T107" s="423"/>
      <c r="U107" s="424"/>
    </row>
    <row r="108" spans="2:21" ht="16.2" thickBot="1" x14ac:dyDescent="0.4">
      <c r="L108" s="138" t="s">
        <v>7</v>
      </c>
      <c r="M108" s="139" t="s">
        <v>86</v>
      </c>
      <c r="N108" s="138" t="s">
        <v>87</v>
      </c>
      <c r="O108" s="138" t="s">
        <v>88</v>
      </c>
      <c r="P108" s="140" t="s">
        <v>89</v>
      </c>
      <c r="R108" s="134" t="s">
        <v>15</v>
      </c>
      <c r="S108" s="46">
        <f t="array" ref="S108:T110">LINEST(M109:M117,L109:L117,1,1)</f>
        <v>660.86666666666656</v>
      </c>
      <c r="T108" s="47">
        <v>322.80000000000064</v>
      </c>
      <c r="U108" s="134" t="s">
        <v>12</v>
      </c>
    </row>
    <row r="109" spans="2:21" ht="15.6" x14ac:dyDescent="0.35">
      <c r="L109" s="135">
        <v>2</v>
      </c>
      <c r="M109" s="24">
        <v>1638</v>
      </c>
      <c r="N109" s="49">
        <f>M109/(2*256)</f>
        <v>3.19921875</v>
      </c>
      <c r="O109" s="49">
        <f t="shared" ref="O109:O117" si="25">S$108*L109+T$108</f>
        <v>1644.5333333333338</v>
      </c>
      <c r="P109" s="53">
        <f t="shared" ref="P109:P117" si="26">M109-O109</f>
        <v>-6.5333333333337578</v>
      </c>
      <c r="R109" s="135" t="s">
        <v>16</v>
      </c>
      <c r="S109" s="51">
        <v>2.0076836530672901</v>
      </c>
      <c r="T109" s="52">
        <v>13.114134706511434</v>
      </c>
      <c r="U109" s="135" t="s">
        <v>13</v>
      </c>
    </row>
    <row r="110" spans="2:21" ht="17.399999999999999" thickBot="1" x14ac:dyDescent="0.4">
      <c r="L110" s="135">
        <v>3</v>
      </c>
      <c r="M110" s="24">
        <v>2296</v>
      </c>
      <c r="N110" s="49">
        <f t="shared" ref="N110:N117" si="27">M110/(2*256)</f>
        <v>4.484375</v>
      </c>
      <c r="O110" s="49">
        <f t="shared" si="25"/>
        <v>2305.4000000000005</v>
      </c>
      <c r="P110" s="53">
        <f t="shared" si="26"/>
        <v>-9.4000000000005457</v>
      </c>
      <c r="R110" s="137" t="s">
        <v>11</v>
      </c>
      <c r="S110" s="55">
        <v>0.99993539994983915</v>
      </c>
      <c r="T110" s="56">
        <v>15.551450705564969</v>
      </c>
      <c r="U110" s="137" t="s">
        <v>14</v>
      </c>
    </row>
    <row r="111" spans="2:21" ht="15" thickBot="1" x14ac:dyDescent="0.35">
      <c r="L111" s="88">
        <v>4</v>
      </c>
      <c r="M111" s="27">
        <v>2997</v>
      </c>
      <c r="N111" s="89">
        <f t="shared" si="27"/>
        <v>5.853515625</v>
      </c>
      <c r="O111" s="89">
        <f t="shared" si="25"/>
        <v>2966.2666666666669</v>
      </c>
      <c r="P111" s="90">
        <f t="shared" si="26"/>
        <v>30.733333333333121</v>
      </c>
    </row>
    <row r="112" spans="2:21" x14ac:dyDescent="0.3">
      <c r="L112" s="135">
        <v>5</v>
      </c>
      <c r="M112" s="24">
        <v>3616</v>
      </c>
      <c r="N112" s="49">
        <f t="shared" si="27"/>
        <v>7.0625</v>
      </c>
      <c r="O112" s="49">
        <f t="shared" si="25"/>
        <v>3627.1333333333337</v>
      </c>
      <c r="P112" s="53">
        <f t="shared" si="26"/>
        <v>-11.133333333333667</v>
      </c>
      <c r="R112"/>
      <c r="S112"/>
      <c r="U112" s="134" t="s">
        <v>44</v>
      </c>
    </row>
    <row r="113" spans="12:21" ht="15" thickBot="1" x14ac:dyDescent="0.35">
      <c r="L113" s="135">
        <v>6</v>
      </c>
      <c r="M113" s="24">
        <v>4283</v>
      </c>
      <c r="N113" s="49">
        <f t="shared" si="27"/>
        <v>8.365234375</v>
      </c>
      <c r="O113" s="49">
        <f t="shared" si="25"/>
        <v>4288</v>
      </c>
      <c r="P113" s="53">
        <f t="shared" si="26"/>
        <v>-5</v>
      </c>
      <c r="R113"/>
      <c r="S113"/>
      <c r="U113" s="57">
        <f>2*T110</f>
        <v>31.102901411129938</v>
      </c>
    </row>
    <row r="114" spans="12:21" ht="15" thickBot="1" x14ac:dyDescent="0.35">
      <c r="L114" s="135">
        <v>7</v>
      </c>
      <c r="M114" s="24">
        <v>4961</v>
      </c>
      <c r="N114" s="49">
        <f t="shared" si="27"/>
        <v>9.689453125</v>
      </c>
      <c r="O114" s="49">
        <f t="shared" si="25"/>
        <v>4948.8666666666668</v>
      </c>
      <c r="P114" s="53">
        <f t="shared" si="26"/>
        <v>12.133333333333212</v>
      </c>
      <c r="R114"/>
      <c r="S114"/>
    </row>
    <row r="115" spans="12:21" x14ac:dyDescent="0.3">
      <c r="L115" s="135">
        <v>8</v>
      </c>
      <c r="M115" s="24">
        <v>5593</v>
      </c>
      <c r="N115" s="49">
        <f t="shared" si="27"/>
        <v>10.923828125</v>
      </c>
      <c r="O115" s="49">
        <f t="shared" si="25"/>
        <v>5609.7333333333336</v>
      </c>
      <c r="P115" s="53">
        <f t="shared" si="26"/>
        <v>-16.733333333333576</v>
      </c>
      <c r="R115"/>
      <c r="S115"/>
      <c r="U115" s="168" t="s">
        <v>45</v>
      </c>
    </row>
    <row r="116" spans="12:21" ht="15" thickBot="1" x14ac:dyDescent="0.35">
      <c r="L116" s="135">
        <v>9</v>
      </c>
      <c r="M116" s="24">
        <v>6277</v>
      </c>
      <c r="N116" s="49">
        <f t="shared" si="27"/>
        <v>12.259765625</v>
      </c>
      <c r="O116" s="49">
        <f t="shared" si="25"/>
        <v>6270.6</v>
      </c>
      <c r="P116" s="53">
        <f t="shared" si="26"/>
        <v>6.3999999999996362</v>
      </c>
      <c r="R116"/>
      <c r="S116"/>
      <c r="U116" s="57">
        <f>-2*T110</f>
        <v>-31.102901411129938</v>
      </c>
    </row>
    <row r="117" spans="12:21" ht="15" thickBot="1" x14ac:dyDescent="0.35">
      <c r="L117" s="137">
        <v>10</v>
      </c>
      <c r="M117" s="25">
        <v>6931</v>
      </c>
      <c r="N117" s="57">
        <f t="shared" si="27"/>
        <v>13.537109375</v>
      </c>
      <c r="O117" s="57">
        <f t="shared" si="25"/>
        <v>6931.4666666666672</v>
      </c>
      <c r="P117" s="58">
        <f t="shared" si="26"/>
        <v>-0.46666666666715173</v>
      </c>
      <c r="R117"/>
      <c r="S117"/>
    </row>
    <row r="118" spans="12:21" x14ac:dyDescent="0.3">
      <c r="R118"/>
      <c r="S118"/>
    </row>
    <row r="119" spans="12:21" x14ac:dyDescent="0.3">
      <c r="R119"/>
      <c r="S119"/>
    </row>
    <row r="120" spans="12:21" x14ac:dyDescent="0.3">
      <c r="R120"/>
      <c r="S120"/>
    </row>
    <row r="121" spans="12:21" ht="15" thickBot="1" x14ac:dyDescent="0.35"/>
    <row r="122" spans="12:21" ht="15" thickBot="1" x14ac:dyDescent="0.35">
      <c r="L122" s="422" t="s">
        <v>22</v>
      </c>
      <c r="M122" s="423"/>
      <c r="N122" s="423"/>
      <c r="O122" s="423"/>
      <c r="P122" s="424"/>
      <c r="R122" s="422" t="s">
        <v>41</v>
      </c>
      <c r="S122" s="423"/>
      <c r="T122" s="423"/>
      <c r="U122" s="424"/>
    </row>
    <row r="123" spans="12:21" ht="16.2" thickBot="1" x14ac:dyDescent="0.4">
      <c r="L123" s="138" t="s">
        <v>7</v>
      </c>
      <c r="M123" s="139" t="s">
        <v>86</v>
      </c>
      <c r="N123" s="138" t="s">
        <v>87</v>
      </c>
      <c r="O123" s="138" t="s">
        <v>88</v>
      </c>
      <c r="P123" s="140" t="s">
        <v>89</v>
      </c>
      <c r="R123" s="134" t="s">
        <v>15</v>
      </c>
      <c r="S123" s="46">
        <f t="array" ref="S123:T125">LINEST(M124:M131,L124:L131,1,1)</f>
        <v>662.11261261261268</v>
      </c>
      <c r="T123" s="47">
        <v>311.1711711711705</v>
      </c>
      <c r="U123" s="134" t="s">
        <v>12</v>
      </c>
    </row>
    <row r="124" spans="12:21" ht="15.6" x14ac:dyDescent="0.35">
      <c r="L124" s="135">
        <v>2</v>
      </c>
      <c r="M124" s="24">
        <v>1638</v>
      </c>
      <c r="N124" s="49">
        <f>M124/(2*256)</f>
        <v>3.19921875</v>
      </c>
      <c r="O124" s="49">
        <f t="shared" ref="O124:O131" si="28">S$123*L124+T$123</f>
        <v>1635.3963963963959</v>
      </c>
      <c r="P124" s="53">
        <f t="shared" ref="P124:P125" si="29">M124-O124</f>
        <v>2.6036036036041423</v>
      </c>
      <c r="R124" s="135" t="s">
        <v>16</v>
      </c>
      <c r="S124" s="51">
        <v>1.2783378509512642</v>
      </c>
      <c r="T124" s="52">
        <v>8.67010913507068</v>
      </c>
      <c r="U124" s="135" t="s">
        <v>13</v>
      </c>
    </row>
    <row r="125" spans="12:21" ht="17.399999999999999" thickBot="1" x14ac:dyDescent="0.4">
      <c r="L125" s="135">
        <v>3</v>
      </c>
      <c r="M125" s="24">
        <v>2296</v>
      </c>
      <c r="N125" s="49">
        <f t="shared" ref="N125" si="30">M125/(2*256)</f>
        <v>4.484375</v>
      </c>
      <c r="O125" s="49">
        <f t="shared" si="28"/>
        <v>2297.5090090090084</v>
      </c>
      <c r="P125" s="53">
        <f t="shared" si="29"/>
        <v>-1.5090090090084232</v>
      </c>
      <c r="R125" s="137" t="s">
        <v>11</v>
      </c>
      <c r="S125" s="55">
        <v>0.99997763498919767</v>
      </c>
      <c r="T125" s="56">
        <v>9.523402500954985</v>
      </c>
      <c r="U125" s="137" t="s">
        <v>14</v>
      </c>
    </row>
    <row r="126" spans="12:21" ht="15" thickBot="1" x14ac:dyDescent="0.35">
      <c r="L126" s="135">
        <v>5</v>
      </c>
      <c r="M126" s="24">
        <v>3616</v>
      </c>
      <c r="N126" s="49">
        <f t="shared" ref="N126:N131" si="31">M126/(2*256)</f>
        <v>7.0625</v>
      </c>
      <c r="O126" s="49">
        <f t="shared" si="28"/>
        <v>3621.734234234234</v>
      </c>
      <c r="P126" s="53">
        <f t="shared" ref="P126:P131" si="32">M126-O126</f>
        <v>-5.7342342342340089</v>
      </c>
    </row>
    <row r="127" spans="12:21" ht="16.8" x14ac:dyDescent="0.35">
      <c r="L127" s="135">
        <v>6</v>
      </c>
      <c r="M127" s="24">
        <v>4283</v>
      </c>
      <c r="N127" s="49">
        <f t="shared" si="31"/>
        <v>8.365234375</v>
      </c>
      <c r="O127" s="49">
        <f t="shared" si="28"/>
        <v>4283.8468468468463</v>
      </c>
      <c r="P127" s="53">
        <f t="shared" si="32"/>
        <v>-0.84684684684634703</v>
      </c>
      <c r="R127" s="134" t="s">
        <v>75</v>
      </c>
      <c r="S127" s="77">
        <f>2*S123*(C14+G14)</f>
        <v>348.28098936006012</v>
      </c>
      <c r="U127" s="134" t="s">
        <v>44</v>
      </c>
    </row>
    <row r="128" spans="12:21" ht="17.399999999999999" thickBot="1" x14ac:dyDescent="0.4">
      <c r="L128" s="135">
        <v>7</v>
      </c>
      <c r="M128" s="24">
        <v>4961</v>
      </c>
      <c r="N128" s="49">
        <f t="shared" si="31"/>
        <v>9.689453125</v>
      </c>
      <c r="O128" s="49">
        <f t="shared" si="28"/>
        <v>4945.9594594594591</v>
      </c>
      <c r="P128" s="53">
        <f t="shared" si="32"/>
        <v>15.04054054054086</v>
      </c>
      <c r="R128" s="135" t="s">
        <v>76</v>
      </c>
      <c r="S128" s="78">
        <f>2*SQRT(((C14+G14)*S124)^2+(S123*D14)^2)</f>
        <v>0.67278664562596191</v>
      </c>
      <c r="U128" s="57">
        <f>2*T125</f>
        <v>19.04680500190997</v>
      </c>
    </row>
    <row r="129" spans="12:21" ht="16.2" thickBot="1" x14ac:dyDescent="0.4">
      <c r="L129" s="135">
        <v>8</v>
      </c>
      <c r="M129" s="24">
        <v>5593</v>
      </c>
      <c r="N129" s="49">
        <f t="shared" si="31"/>
        <v>10.923828125</v>
      </c>
      <c r="O129" s="49">
        <f t="shared" si="28"/>
        <v>5608.0720720720719</v>
      </c>
      <c r="P129" s="53">
        <f t="shared" si="32"/>
        <v>-15.072072072071933</v>
      </c>
      <c r="R129" s="135" t="s">
        <v>31</v>
      </c>
      <c r="S129" s="63">
        <f>S128/S127*100</f>
        <v>0.19317351970951854</v>
      </c>
    </row>
    <row r="130" spans="12:21" ht="16.2" thickBot="1" x14ac:dyDescent="0.4">
      <c r="L130" s="135">
        <v>9</v>
      </c>
      <c r="M130" s="24">
        <v>6277</v>
      </c>
      <c r="N130" s="49">
        <f t="shared" si="31"/>
        <v>12.259765625</v>
      </c>
      <c r="O130" s="49">
        <f t="shared" si="28"/>
        <v>6270.1846846846847</v>
      </c>
      <c r="P130" s="53">
        <f t="shared" si="32"/>
        <v>6.8153153153152743</v>
      </c>
      <c r="R130" s="136" t="s">
        <v>32</v>
      </c>
      <c r="S130" s="62">
        <f>ABS(S127-F$2)/F$2*100</f>
        <v>0.26306176752202953</v>
      </c>
      <c r="U130" s="168" t="s">
        <v>45</v>
      </c>
    </row>
    <row r="131" spans="12:21" ht="15" thickBot="1" x14ac:dyDescent="0.35">
      <c r="L131" s="137">
        <v>10</v>
      </c>
      <c r="M131" s="25">
        <v>6931</v>
      </c>
      <c r="N131" s="57">
        <f t="shared" si="31"/>
        <v>13.537109375</v>
      </c>
      <c r="O131" s="57">
        <f t="shared" si="28"/>
        <v>6932.2972972972975</v>
      </c>
      <c r="P131" s="58">
        <f t="shared" si="32"/>
        <v>-1.2972972972975185</v>
      </c>
      <c r="U131" s="57">
        <f>-2*T125</f>
        <v>-19.04680500190997</v>
      </c>
    </row>
    <row r="132" spans="12:21" ht="16.8" x14ac:dyDescent="0.35">
      <c r="R132" s="134" t="s">
        <v>77</v>
      </c>
      <c r="S132" s="59">
        <f>4*T123*(C14+G14)</f>
        <v>327.36124124924856</v>
      </c>
    </row>
    <row r="133" spans="12:21" ht="16.8" x14ac:dyDescent="0.35">
      <c r="R133" s="135" t="s">
        <v>78</v>
      </c>
      <c r="S133" s="60">
        <f>4*SQRT(((C14+G14)*T124)^2+(T123*D14)^2)</f>
        <v>9.1212338795939676</v>
      </c>
    </row>
    <row r="134" spans="12:21" ht="15.6" x14ac:dyDescent="0.35">
      <c r="R134" s="135" t="s">
        <v>34</v>
      </c>
      <c r="S134" s="49">
        <f>S133/S132*100</f>
        <v>2.7862901071569373</v>
      </c>
    </row>
    <row r="135" spans="12:21" ht="16.2" thickBot="1" x14ac:dyDescent="0.4">
      <c r="R135" s="136" t="s">
        <v>33</v>
      </c>
      <c r="S135" s="62">
        <f>ABS(S132-F$2)/F$2*100</f>
        <v>6.2538326936088744</v>
      </c>
    </row>
  </sheetData>
  <mergeCells count="18">
    <mergeCell ref="L122:P122"/>
    <mergeCell ref="R122:U122"/>
    <mergeCell ref="R107:U107"/>
    <mergeCell ref="R92:U92"/>
    <mergeCell ref="R77:U77"/>
    <mergeCell ref="L2:P2"/>
    <mergeCell ref="L107:P107"/>
    <mergeCell ref="L92:P92"/>
    <mergeCell ref="L77:P77"/>
    <mergeCell ref="L62:P62"/>
    <mergeCell ref="L47:P47"/>
    <mergeCell ref="L32:P32"/>
    <mergeCell ref="L17:P17"/>
    <mergeCell ref="R2:U2"/>
    <mergeCell ref="R17:U17"/>
    <mergeCell ref="R32:U32"/>
    <mergeCell ref="R62:U62"/>
    <mergeCell ref="R47:U47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7280-B381-4DC2-9692-33B0B4A27178}">
  <dimension ref="B4:P101"/>
  <sheetViews>
    <sheetView topLeftCell="B94" zoomScale="103" zoomScaleNormal="103" workbookViewId="0">
      <selection activeCell="I105" sqref="I105"/>
    </sheetView>
  </sheetViews>
  <sheetFormatPr defaultRowHeight="16.2" customHeight="1" x14ac:dyDescent="0.3"/>
  <cols>
    <col min="3" max="3" width="9.6640625" customWidth="1"/>
    <col min="4" max="4" width="13" customWidth="1"/>
    <col min="5" max="5" width="11.21875" bestFit="1" customWidth="1"/>
    <col min="6" max="6" width="9.5546875" bestFit="1" customWidth="1"/>
    <col min="8" max="8" width="12.21875" customWidth="1"/>
    <col min="10" max="10" width="13.33203125" customWidth="1"/>
    <col min="11" max="11" width="15.21875" bestFit="1" customWidth="1"/>
    <col min="12" max="12" width="8.6640625" customWidth="1"/>
    <col min="13" max="13" width="10.6640625" bestFit="1" customWidth="1"/>
  </cols>
  <sheetData>
    <row r="4" spans="2:16" ht="16.2" customHeight="1" thickBot="1" x14ac:dyDescent="0.35"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2:16" ht="16.2" customHeight="1" thickTop="1" thickBot="1" x14ac:dyDescent="0.4">
      <c r="B5" s="38" t="s">
        <v>7</v>
      </c>
      <c r="C5" s="40" t="s">
        <v>0</v>
      </c>
      <c r="D5" s="41" t="s">
        <v>69</v>
      </c>
      <c r="E5" s="41" t="s">
        <v>70</v>
      </c>
      <c r="F5" s="41" t="s">
        <v>86</v>
      </c>
      <c r="G5" s="41" t="s">
        <v>87</v>
      </c>
      <c r="H5" s="41" t="s">
        <v>103</v>
      </c>
      <c r="I5" s="41" t="s">
        <v>104</v>
      </c>
      <c r="J5" s="41" t="s">
        <v>105</v>
      </c>
      <c r="K5" s="8" t="s">
        <v>106</v>
      </c>
      <c r="M5" s="428" t="s">
        <v>40</v>
      </c>
      <c r="N5" s="429"/>
      <c r="O5" s="429"/>
      <c r="P5" s="430"/>
    </row>
    <row r="6" spans="2:16" ht="16.2" customHeight="1" thickBot="1" x14ac:dyDescent="0.35">
      <c r="B6" s="39">
        <v>1</v>
      </c>
      <c r="C6" s="329">
        <v>2</v>
      </c>
      <c r="D6" s="330">
        <f>'1 extremo fechado - f(n)'!C9</f>
        <v>0.15038666666666667</v>
      </c>
      <c r="E6" s="331">
        <f>'1 extremo fechado - f(n)'!D9</f>
        <v>6.6666666666629719E-6</v>
      </c>
      <c r="F6" s="332">
        <f>'1 extremo fechado - f(n)'!M19</f>
        <v>1700</v>
      </c>
      <c r="G6" s="333">
        <f>'1 extremo fechado - f(n)'!N19</f>
        <v>0.830078125</v>
      </c>
      <c r="H6" s="334">
        <f>1/F6</f>
        <v>5.8823529411764701E-4</v>
      </c>
      <c r="I6" s="331">
        <f>G6/F6^2</f>
        <v>2.8722426470588233E-7</v>
      </c>
      <c r="J6" s="335">
        <f>N$6*H6+O$6</f>
        <v>0.14915478485788949</v>
      </c>
      <c r="K6" s="336">
        <f>D6-J6</f>
        <v>1.2318818087771743E-3</v>
      </c>
      <c r="M6" s="95" t="s">
        <v>15</v>
      </c>
      <c r="N6" s="46">
        <f t="array" ref="N6:O8">LINEST(D6:D10,H6:H10,1,1)</f>
        <v>228.77074485485522</v>
      </c>
      <c r="O6" s="92">
        <v>1.4583758472680564E-2</v>
      </c>
      <c r="P6" s="95" t="s">
        <v>12</v>
      </c>
    </row>
    <row r="7" spans="2:16" ht="16.2" customHeight="1" thickTop="1" x14ac:dyDescent="0.35">
      <c r="B7" s="35"/>
      <c r="C7" s="338">
        <v>3</v>
      </c>
      <c r="D7" s="339">
        <f>'1 extremo fechado - f(n)'!C10</f>
        <v>0.16883333333333334</v>
      </c>
      <c r="E7" s="15">
        <f>'1 extremo fechado - f(n)'!D10</f>
        <v>1.6666666666665719E-5</v>
      </c>
      <c r="F7" s="341">
        <f>'1 extremo fechado - f(n)'!M34</f>
        <v>1449</v>
      </c>
      <c r="G7" s="341">
        <f>'1 extremo fechado - f(n)'!N34</f>
        <v>2.830078125</v>
      </c>
      <c r="H7" s="325">
        <f t="shared" ref="H7:H9" si="0">1/F7</f>
        <v>6.9013112491373362E-4</v>
      </c>
      <c r="I7" s="15">
        <f t="shared" ref="I7:I10" si="1">G7/F7^2</f>
        <v>1.347912353347136E-6</v>
      </c>
      <c r="J7" s="325">
        <f t="shared" ref="J7:J10" si="2">N$6*H7+O$6</f>
        <v>0.17246556996671453</v>
      </c>
      <c r="K7" s="342">
        <f t="shared" ref="K7:K10" si="3">D7-J7</f>
        <v>-3.6322366333811917E-3</v>
      </c>
      <c r="M7" s="96" t="s">
        <v>16</v>
      </c>
      <c r="N7" s="51">
        <v>9.2907098848503153</v>
      </c>
      <c r="O7" s="93">
        <v>7.303987353779527E-3</v>
      </c>
      <c r="P7" s="96" t="s">
        <v>13</v>
      </c>
    </row>
    <row r="8" spans="2:16" ht="16.2" customHeight="1" thickBot="1" x14ac:dyDescent="0.4">
      <c r="B8" s="35"/>
      <c r="C8" s="343">
        <v>4</v>
      </c>
      <c r="D8" s="344">
        <f>'1 extremo fechado - f(n)'!C11</f>
        <v>0.17916666666666667</v>
      </c>
      <c r="E8" s="18">
        <f>'1 extremo fechado - f(n)'!D11</f>
        <v>1.6666666666666901E-5</v>
      </c>
      <c r="F8" s="345">
        <f>'1 extremo fechado - f(n)'!M49</f>
        <v>1412</v>
      </c>
      <c r="G8" s="345">
        <f>'1 extremo fechado - f(n)'!N49</f>
        <v>0.689453125</v>
      </c>
      <c r="H8" s="30">
        <f t="shared" si="0"/>
        <v>7.0821529745042496E-4</v>
      </c>
      <c r="I8" s="18">
        <f t="shared" si="1"/>
        <v>3.4580825070821531E-7</v>
      </c>
      <c r="J8" s="326">
        <f t="shared" si="2"/>
        <v>0.17660269958801714</v>
      </c>
      <c r="K8" s="346">
        <f t="shared" si="3"/>
        <v>2.5639670786495317E-3</v>
      </c>
      <c r="M8" s="97" t="s">
        <v>11</v>
      </c>
      <c r="N8" s="91">
        <v>0.99507649314459756</v>
      </c>
      <c r="O8" s="94">
        <v>2.9821625241781757E-3</v>
      </c>
      <c r="P8" s="97" t="s">
        <v>14</v>
      </c>
    </row>
    <row r="9" spans="2:16" ht="16.2" customHeight="1" thickBot="1" x14ac:dyDescent="0.35">
      <c r="B9" s="35"/>
      <c r="C9" s="348">
        <v>5</v>
      </c>
      <c r="D9" s="349">
        <f>'1 extremo fechado - f(n)'!C12</f>
        <v>0.21933333333333335</v>
      </c>
      <c r="E9" s="21">
        <f>'1 extremo fechado - f(n)'!D12</f>
        <v>1.6666666666666905E-5</v>
      </c>
      <c r="F9" s="84">
        <f>'1 extremo fechado - f(n)'!M64</f>
        <v>1108</v>
      </c>
      <c r="G9" s="350">
        <f>'1 extremo fechado - f(n)'!N64</f>
        <v>2.1640625</v>
      </c>
      <c r="H9" s="327">
        <f t="shared" si="0"/>
        <v>9.025270758122744E-4</v>
      </c>
      <c r="I9" s="21">
        <f t="shared" si="1"/>
        <v>1.7627481949458484E-6</v>
      </c>
      <c r="J9" s="327">
        <f t="shared" si="2"/>
        <v>0.22105554985792897</v>
      </c>
      <c r="K9" s="351">
        <f t="shared" si="3"/>
        <v>-1.7222165245956156E-3</v>
      </c>
    </row>
    <row r="10" spans="2:16" ht="16.2" customHeight="1" thickBot="1" x14ac:dyDescent="0.4">
      <c r="B10" s="35"/>
      <c r="C10" s="353">
        <v>6</v>
      </c>
      <c r="D10" s="354">
        <f>'1 extremo fechado - f(n)'!C13</f>
        <v>0.23933333333333334</v>
      </c>
      <c r="E10" s="355">
        <f>'1 extremo fechado - f(n)'!D13</f>
        <v>1.6666666666666905E-5</v>
      </c>
      <c r="F10" s="356">
        <f>'1 extremo fechado - f(n)'!M79</f>
        <v>1025</v>
      </c>
      <c r="G10" s="357">
        <f>'1 extremo fechado - f(n)'!N79</f>
        <v>1.0009765625</v>
      </c>
      <c r="H10" s="358">
        <f>1/F10</f>
        <v>9.7560975609756097E-4</v>
      </c>
      <c r="I10" s="355">
        <f t="shared" si="1"/>
        <v>9.5274390243902439E-7</v>
      </c>
      <c r="J10" s="358">
        <f t="shared" si="2"/>
        <v>0.23777472906278321</v>
      </c>
      <c r="K10" s="359">
        <f t="shared" si="3"/>
        <v>1.5586042705501291E-3</v>
      </c>
      <c r="M10" s="95" t="s">
        <v>52</v>
      </c>
      <c r="N10" s="59">
        <f>4*N6/(2*B6+1)</f>
        <v>305.02765980647365</v>
      </c>
    </row>
    <row r="11" spans="2:16" ht="16.2" customHeight="1" thickTop="1" x14ac:dyDescent="0.35">
      <c r="M11" s="96" t="s">
        <v>53</v>
      </c>
      <c r="N11" s="60">
        <f>4*N7/(2*B6+1)</f>
        <v>12.38761317980042</v>
      </c>
    </row>
    <row r="12" spans="2:16" ht="16.2" customHeight="1" x14ac:dyDescent="0.35">
      <c r="M12" s="96" t="s">
        <v>57</v>
      </c>
      <c r="N12" s="49">
        <f>N11/N10*100</f>
        <v>4.0611442213666145</v>
      </c>
    </row>
    <row r="13" spans="2:16" ht="16.2" customHeight="1" thickBot="1" x14ac:dyDescent="0.4">
      <c r="M13" s="395" t="s">
        <v>58</v>
      </c>
      <c r="N13" s="62">
        <f>ABS(N10-'1 extremo fechado - f(n)'!F$2)/'1 extremo fechado - f(n)'!F$2*100</f>
        <v>12.649481899041787</v>
      </c>
    </row>
    <row r="19" spans="2:16" ht="16.2" customHeight="1" thickBot="1" x14ac:dyDescent="0.35"/>
    <row r="20" spans="2:16" ht="16.2" customHeight="1" thickTop="1" thickBot="1" x14ac:dyDescent="0.4">
      <c r="B20" s="38" t="s">
        <v>7</v>
      </c>
      <c r="C20" s="40" t="s">
        <v>0</v>
      </c>
      <c r="D20" s="41" t="s">
        <v>69</v>
      </c>
      <c r="E20" s="41" t="s">
        <v>70</v>
      </c>
      <c r="F20" s="41" t="s">
        <v>86</v>
      </c>
      <c r="G20" s="41" t="s">
        <v>87</v>
      </c>
      <c r="H20" s="41" t="s">
        <v>103</v>
      </c>
      <c r="I20" s="41" t="s">
        <v>104</v>
      </c>
      <c r="J20" s="41" t="s">
        <v>105</v>
      </c>
      <c r="K20" s="8" t="s">
        <v>106</v>
      </c>
      <c r="M20" s="428" t="s">
        <v>48</v>
      </c>
      <c r="N20" s="429"/>
      <c r="O20" s="429"/>
      <c r="P20" s="430"/>
    </row>
    <row r="21" spans="2:16" ht="16.2" customHeight="1" thickBot="1" x14ac:dyDescent="0.35">
      <c r="B21" s="39">
        <v>2</v>
      </c>
      <c r="C21" s="329">
        <v>2</v>
      </c>
      <c r="D21" s="330">
        <f>'1 extremo fechado - f(n)'!C9</f>
        <v>0.15038666666666667</v>
      </c>
      <c r="E21" s="331">
        <f>'1 extremo fechado - f(n)'!D9</f>
        <v>6.6666666666629719E-6</v>
      </c>
      <c r="F21" s="332">
        <f>'1 extremo fechado - f(n)'!M20</f>
        <v>2801</v>
      </c>
      <c r="G21" s="333">
        <f>'1 extremo fechado - f(n)'!N20</f>
        <v>1.36767578125</v>
      </c>
      <c r="H21" s="334">
        <f>1/F21</f>
        <v>3.570153516601214E-4</v>
      </c>
      <c r="I21" s="331">
        <f>G21/F21^2</f>
        <v>1.7432390217779365E-7</v>
      </c>
      <c r="J21" s="335">
        <f>N$21*H21+O$21</f>
        <v>0.15017485677491785</v>
      </c>
      <c r="K21" s="336">
        <f>D21-J21</f>
        <v>2.1180989174882092E-4</v>
      </c>
      <c r="M21" s="95" t="s">
        <v>15</v>
      </c>
      <c r="N21" s="46">
        <f t="array" ref="N21:O23">LINEST(D21:D26,H21:H26,1,1)</f>
        <v>430.73760478074109</v>
      </c>
      <c r="O21" s="92">
        <v>-3.605080669116828E-3</v>
      </c>
      <c r="P21" s="95" t="s">
        <v>12</v>
      </c>
    </row>
    <row r="22" spans="2:16" ht="16.2" customHeight="1" thickTop="1" x14ac:dyDescent="0.35">
      <c r="B22" s="35"/>
      <c r="C22" s="338">
        <v>3</v>
      </c>
      <c r="D22" s="339">
        <f>'1 extremo fechado - f(n)'!C10</f>
        <v>0.16883333333333334</v>
      </c>
      <c r="E22" s="15">
        <f>'1 extremo fechado - f(n)'!D10</f>
        <v>1.6666666666665719E-5</v>
      </c>
      <c r="F22" s="68">
        <f>'1 extremo fechado - f(n)'!M35</f>
        <v>2467</v>
      </c>
      <c r="G22" s="340">
        <f>'1 extremo fechado - f(n)'!N35</f>
        <v>4.818359375</v>
      </c>
      <c r="H22" s="29">
        <f t="shared" ref="H22:H24" si="4">1/F22</f>
        <v>4.0535062829347385E-4</v>
      </c>
      <c r="I22" s="15">
        <f t="shared" ref="I22:I24" si="5">G22/F22^2</f>
        <v>7.9170044588569111E-7</v>
      </c>
      <c r="J22" s="325">
        <f t="shared" ref="J22:J26" si="6">N$21*H22+O$21</f>
        <v>0.17099467805838259</v>
      </c>
      <c r="K22" s="342">
        <f t="shared" ref="K22:K26" si="7">D22-J22</f>
        <v>-2.1613447250492523E-3</v>
      </c>
      <c r="M22" s="96" t="s">
        <v>16</v>
      </c>
      <c r="N22" s="51">
        <v>7.2504152293224111</v>
      </c>
      <c r="O22" s="93">
        <v>3.5372663609940752E-3</v>
      </c>
      <c r="P22" s="96" t="s">
        <v>13</v>
      </c>
    </row>
    <row r="23" spans="2:16" ht="16.2" customHeight="1" thickBot="1" x14ac:dyDescent="0.4">
      <c r="B23" s="35"/>
      <c r="C23" s="343">
        <v>4</v>
      </c>
      <c r="D23" s="344">
        <f>'1 extremo fechado - f(n)'!C11</f>
        <v>0.17916666666666667</v>
      </c>
      <c r="E23" s="18">
        <f>'1 extremo fechado - f(n)'!D11</f>
        <v>1.6666666666666901E-5</v>
      </c>
      <c r="F23" s="75">
        <f>'1 extremo fechado - f(n)'!M50</f>
        <v>2383</v>
      </c>
      <c r="G23" s="347">
        <f>'1 extremo fechado - f(n)'!N50</f>
        <v>1.16357421875</v>
      </c>
      <c r="H23" s="30">
        <f t="shared" si="4"/>
        <v>4.1963911036508602E-4</v>
      </c>
      <c r="I23" s="18">
        <f t="shared" si="5"/>
        <v>2.0490190935795216E-7</v>
      </c>
      <c r="J23" s="326">
        <f t="shared" si="6"/>
        <v>0.17714926460186139</v>
      </c>
      <c r="K23" s="346">
        <f t="shared" si="7"/>
        <v>2.0174020648052737E-3</v>
      </c>
      <c r="M23" s="97" t="s">
        <v>11</v>
      </c>
      <c r="N23" s="86">
        <v>0.99886794312183202</v>
      </c>
      <c r="O23" s="94">
        <v>1.6241202613866623E-3</v>
      </c>
      <c r="P23" s="97" t="s">
        <v>14</v>
      </c>
    </row>
    <row r="24" spans="2:16" ht="16.2" customHeight="1" thickBot="1" x14ac:dyDescent="0.35">
      <c r="B24" s="35"/>
      <c r="C24" s="348">
        <v>5</v>
      </c>
      <c r="D24" s="349">
        <f>'1 extremo fechado - f(n)'!C12</f>
        <v>0.21933333333333335</v>
      </c>
      <c r="E24" s="21">
        <f>'1 extremo fechado - f(n)'!D12</f>
        <v>1.6666666666666905E-5</v>
      </c>
      <c r="F24" s="84">
        <f>'1 extremo fechado - f(n)'!M65</f>
        <v>1937</v>
      </c>
      <c r="G24" s="350">
        <f>'1 extremo fechado - f(n)'!N65</f>
        <v>3.783203125</v>
      </c>
      <c r="H24" s="327">
        <f t="shared" si="4"/>
        <v>5.1626226122870422E-4</v>
      </c>
      <c r="I24" s="21">
        <f t="shared" si="5"/>
        <v>1.0083247289623129E-6</v>
      </c>
      <c r="J24" s="327">
        <f t="shared" si="6"/>
        <v>0.21876848917122449</v>
      </c>
      <c r="K24" s="351">
        <f t="shared" si="7"/>
        <v>5.648441621088629E-4</v>
      </c>
    </row>
    <row r="25" spans="2:16" ht="16.2" customHeight="1" x14ac:dyDescent="0.35">
      <c r="B25" s="35"/>
      <c r="C25" s="352">
        <v>6</v>
      </c>
      <c r="D25" s="360">
        <f>'1 extremo fechado - f(n)'!C13</f>
        <v>0.23933333333333334</v>
      </c>
      <c r="E25" s="124">
        <f>'1 extremo fechado - f(n)'!D13</f>
        <v>1.6666666666666905E-5</v>
      </c>
      <c r="F25" s="126">
        <f>'1 extremo fechado - f(n)'!M80</f>
        <v>1765</v>
      </c>
      <c r="G25" s="361">
        <f>'1 extremo fechado - f(n)'!N80</f>
        <v>1.7236328125</v>
      </c>
      <c r="H25" s="125">
        <f t="shared" ref="H25" si="8">1/F25</f>
        <v>5.6657223796033991E-4</v>
      </c>
      <c r="I25" s="124">
        <f t="shared" ref="I25" si="9">G25/F25^2</f>
        <v>5.5329320113314444E-7</v>
      </c>
      <c r="J25" s="328">
        <f t="shared" si="6"/>
        <v>0.24043888804518407</v>
      </c>
      <c r="K25" s="400">
        <f t="shared" si="7"/>
        <v>-1.1055547118507258E-3</v>
      </c>
      <c r="M25" s="95" t="s">
        <v>52</v>
      </c>
      <c r="N25" s="59">
        <f>4*N21/(2*B21+1)</f>
        <v>344.59008382459285</v>
      </c>
    </row>
    <row r="26" spans="2:16" ht="16.2" customHeight="1" thickBot="1" x14ac:dyDescent="0.4">
      <c r="C26" s="362">
        <v>7</v>
      </c>
      <c r="D26" s="363">
        <f>'1 extremo fechado - f(n)'!C14</f>
        <v>0.25983333333333336</v>
      </c>
      <c r="E26" s="364">
        <f>'1 extremo fechado - f(n)'!D14</f>
        <v>1.6666666666666905E-5</v>
      </c>
      <c r="F26" s="322">
        <f>'1 extremo fechado - f(n)'!M95</f>
        <v>1638</v>
      </c>
      <c r="G26" s="365">
        <f>'1 extremo fechado - f(n)'!N95</f>
        <v>3.19921875</v>
      </c>
      <c r="H26" s="366">
        <f>1/F26</f>
        <v>6.105006105006105E-4</v>
      </c>
      <c r="I26" s="364">
        <f>G26/F26^2</f>
        <v>1.1923840048840049E-6</v>
      </c>
      <c r="J26" s="366">
        <f t="shared" si="6"/>
        <v>0.25936049001509631</v>
      </c>
      <c r="K26" s="401">
        <f t="shared" si="7"/>
        <v>4.7284331823704839E-4</v>
      </c>
      <c r="M26" s="96" t="s">
        <v>53</v>
      </c>
      <c r="N26" s="60">
        <f>4*N22/(2*B21+1)</f>
        <v>5.8003321834579289</v>
      </c>
    </row>
    <row r="27" spans="2:16" ht="16.2" customHeight="1" thickTop="1" x14ac:dyDescent="0.35">
      <c r="M27" s="96" t="s">
        <v>57</v>
      </c>
      <c r="N27" s="49">
        <f>N26/N25*100</f>
        <v>1.6832556871864253</v>
      </c>
    </row>
    <row r="28" spans="2:16" ht="16.2" customHeight="1" thickBot="1" x14ac:dyDescent="0.4">
      <c r="M28" s="395" t="s">
        <v>58</v>
      </c>
      <c r="N28" s="62">
        <f>ABS(N25-'1 extremo fechado - f(n)'!F$2)/'1 extremo fechado - f(n)'!F$2*100</f>
        <v>1.3200233263174193</v>
      </c>
    </row>
    <row r="34" spans="2:16" ht="16.2" customHeight="1" thickBot="1" x14ac:dyDescent="0.35"/>
    <row r="35" spans="2:16" ht="16.2" customHeight="1" thickTop="1" thickBot="1" x14ac:dyDescent="0.4">
      <c r="B35" s="38" t="s">
        <v>7</v>
      </c>
      <c r="C35" s="40" t="s">
        <v>0</v>
      </c>
      <c r="D35" s="41" t="s">
        <v>69</v>
      </c>
      <c r="E35" s="41" t="s">
        <v>70</v>
      </c>
      <c r="F35" s="41" t="s">
        <v>86</v>
      </c>
      <c r="G35" s="41" t="s">
        <v>87</v>
      </c>
      <c r="H35" s="41" t="s">
        <v>103</v>
      </c>
      <c r="I35" s="41" t="s">
        <v>104</v>
      </c>
      <c r="J35" s="41" t="s">
        <v>105</v>
      </c>
      <c r="K35" s="8" t="s">
        <v>106</v>
      </c>
      <c r="M35" s="428" t="s">
        <v>49</v>
      </c>
      <c r="N35" s="429"/>
      <c r="O35" s="429"/>
      <c r="P35" s="430"/>
    </row>
    <row r="36" spans="2:16" ht="16.2" customHeight="1" thickBot="1" x14ac:dyDescent="0.35">
      <c r="B36" s="39">
        <v>3</v>
      </c>
      <c r="C36" s="329">
        <v>2</v>
      </c>
      <c r="D36" s="330">
        <f>'1 extremo fechado - f(n)'!C9</f>
        <v>0.15038666666666667</v>
      </c>
      <c r="E36" s="331">
        <f>'1 extremo fechado - f(n)'!D9</f>
        <v>6.6666666666629719E-6</v>
      </c>
      <c r="F36" s="332">
        <f>'1 extremo fechado - f(n)'!M21</f>
        <v>3947</v>
      </c>
      <c r="G36" s="333">
        <f>'1 extremo fechado - f(n)'!N21</f>
        <v>1.92724609375</v>
      </c>
      <c r="H36" s="334">
        <f>1/F36</f>
        <v>2.533569799847986E-4</v>
      </c>
      <c r="I36" s="331">
        <f>G36/F36^2</f>
        <v>1.2370946288320244E-7</v>
      </c>
      <c r="J36" s="335">
        <f>N$36*H36+O$36</f>
        <v>0.14903993486823303</v>
      </c>
      <c r="K36" s="336">
        <f>D36-J36</f>
        <v>1.3467317984336424E-3</v>
      </c>
      <c r="M36" s="95" t="s">
        <v>15</v>
      </c>
      <c r="N36" s="46">
        <f t="array" ref="N36:O38">LINEST(D36:D41,H36:H41,1,1)</f>
        <v>601.94049599347534</v>
      </c>
      <c r="O36" s="92">
        <v>-3.4658913272256342E-3</v>
      </c>
      <c r="P36" s="95" t="s">
        <v>12</v>
      </c>
    </row>
    <row r="37" spans="2:16" ht="16.2" customHeight="1" thickTop="1" x14ac:dyDescent="0.35">
      <c r="B37" s="35"/>
      <c r="C37" s="338">
        <v>3</v>
      </c>
      <c r="D37" s="339">
        <f>'1 extremo fechado - f(n)'!C10</f>
        <v>0.16883333333333334</v>
      </c>
      <c r="E37" s="15">
        <f>'1 extremo fechado - f(n)'!D10</f>
        <v>1.6666666666665719E-5</v>
      </c>
      <c r="F37" s="68">
        <f>'1 extremo fechado - f(n)'!M36</f>
        <v>3441</v>
      </c>
      <c r="G37" s="340">
        <f>'1 extremo fechado - f(n)'!N36</f>
        <v>6.720703125</v>
      </c>
      <c r="H37" s="29">
        <f t="shared" ref="H37:H40" si="10">1/F37</f>
        <v>2.906131938390003E-4</v>
      </c>
      <c r="I37" s="15">
        <f t="shared" ref="I37:I40" si="11">G37/F37^2</f>
        <v>5.6760389421679747E-7</v>
      </c>
      <c r="J37" s="325">
        <f t="shared" ref="J37:J41" si="12">N$36*H37+O$36</f>
        <v>0.17146595871447021</v>
      </c>
      <c r="K37" s="342">
        <f t="shared" ref="K37:K41" si="13">D37-J37</f>
        <v>-2.6326253811368716E-3</v>
      </c>
      <c r="M37" s="96" t="s">
        <v>16</v>
      </c>
      <c r="N37" s="51">
        <v>11.55625065063863</v>
      </c>
      <c r="O37" s="93">
        <v>4.0317706436444655E-3</v>
      </c>
      <c r="P37" s="96" t="s">
        <v>13</v>
      </c>
    </row>
    <row r="38" spans="2:16" ht="16.2" customHeight="1" thickBot="1" x14ac:dyDescent="0.4">
      <c r="B38" s="35"/>
      <c r="C38" s="343">
        <v>4</v>
      </c>
      <c r="D38" s="344">
        <f>'1 extremo fechado - f(n)'!C11</f>
        <v>0.17916666666666667</v>
      </c>
      <c r="E38" s="18">
        <f>'1 extremo fechado - f(n)'!D11</f>
        <v>1.6666666666666901E-5</v>
      </c>
      <c r="F38" s="75">
        <f>'1 extremo fechado - f(n)'!M51</f>
        <v>3315</v>
      </c>
      <c r="G38" s="347">
        <f>'1 extremo fechado - f(n)'!N51</f>
        <v>1.61865234375</v>
      </c>
      <c r="H38" s="30">
        <f t="shared" si="10"/>
        <v>3.0165912518853697E-4</v>
      </c>
      <c r="I38" s="18">
        <f t="shared" si="11"/>
        <v>1.4729449472096532E-7</v>
      </c>
      <c r="J38" s="326">
        <f t="shared" si="12"/>
        <v>0.17811495210972017</v>
      </c>
      <c r="K38" s="346">
        <f t="shared" si="13"/>
        <v>1.0517145569464981E-3</v>
      </c>
      <c r="M38" s="97" t="s">
        <v>11</v>
      </c>
      <c r="N38" s="86">
        <v>0.99852786728700127</v>
      </c>
      <c r="O38" s="94">
        <v>1.8520706190168206E-3</v>
      </c>
      <c r="P38" s="97" t="s">
        <v>14</v>
      </c>
    </row>
    <row r="39" spans="2:16" ht="16.2" customHeight="1" thickBot="1" x14ac:dyDescent="0.35">
      <c r="B39" s="35"/>
      <c r="C39" s="348">
        <v>5</v>
      </c>
      <c r="D39" s="349">
        <f>'1 extremo fechado - f(n)'!C12</f>
        <v>0.21933333333333335</v>
      </c>
      <c r="E39" s="21">
        <f>'1 extremo fechado - f(n)'!D12</f>
        <v>1.6666666666666905E-5</v>
      </c>
      <c r="F39" s="84">
        <f>'1 extremo fechado - f(n)'!M66</f>
        <v>2709</v>
      </c>
      <c r="G39" s="350">
        <f>'1 extremo fechado - f(n)'!N66</f>
        <v>5.291015625</v>
      </c>
      <c r="H39" s="31">
        <f t="shared" si="10"/>
        <v>3.6913990402362494E-4</v>
      </c>
      <c r="I39" s="21">
        <f t="shared" si="11"/>
        <v>7.2097637504614246E-7</v>
      </c>
      <c r="J39" s="327">
        <f t="shared" si="12"/>
        <v>0.21873436559173903</v>
      </c>
      <c r="K39" s="351">
        <f t="shared" si="13"/>
        <v>5.9896774159431954E-4</v>
      </c>
    </row>
    <row r="40" spans="2:16" ht="16.2" customHeight="1" x14ac:dyDescent="0.35">
      <c r="B40" s="35"/>
      <c r="C40" s="352">
        <v>6</v>
      </c>
      <c r="D40" s="360">
        <f>'1 extremo fechado - f(n)'!C13</f>
        <v>0.23933333333333334</v>
      </c>
      <c r="E40" s="124">
        <f>'1 extremo fechado - f(n)'!D13</f>
        <v>1.6666666666666905E-5</v>
      </c>
      <c r="F40" s="126">
        <f>'1 extremo fechado - f(n)'!M81</f>
        <v>2464</v>
      </c>
      <c r="G40" s="361">
        <f>'1 extremo fechado - f(n)'!N81</f>
        <v>2.40625</v>
      </c>
      <c r="H40" s="125">
        <f t="shared" si="10"/>
        <v>4.0584415584415587E-4</v>
      </c>
      <c r="I40" s="124">
        <f t="shared" si="11"/>
        <v>3.9633218344155847E-7</v>
      </c>
      <c r="J40" s="328">
        <f t="shared" si="12"/>
        <v>0.24082814113765885</v>
      </c>
      <c r="K40" s="400">
        <f t="shared" si="13"/>
        <v>-1.4948078043255097E-3</v>
      </c>
      <c r="M40" s="95" t="s">
        <v>52</v>
      </c>
      <c r="N40" s="59">
        <f>4*N36/(2*B36+1)</f>
        <v>343.96599771055736</v>
      </c>
    </row>
    <row r="41" spans="2:16" ht="16.2" customHeight="1" thickBot="1" x14ac:dyDescent="0.4">
      <c r="C41" s="362">
        <v>7</v>
      </c>
      <c r="D41" s="363">
        <f>'1 extremo fechado - f(n)'!C14</f>
        <v>0.25983333333333336</v>
      </c>
      <c r="E41" s="364">
        <f>'1 extremo fechado - f(n)'!D14</f>
        <v>1.6666666666666905E-5</v>
      </c>
      <c r="F41" s="322">
        <f>'1 extremo fechado - f(n)'!M96</f>
        <v>2296</v>
      </c>
      <c r="G41" s="365">
        <f>'1 extremo fechado - f(n)'!N96</f>
        <v>4.484375</v>
      </c>
      <c r="H41" s="367">
        <f>1/F41</f>
        <v>4.3554006968641115E-4</v>
      </c>
      <c r="I41" s="364">
        <f>G41/F41^2</f>
        <v>8.5066419860627178E-7</v>
      </c>
      <c r="J41" s="366">
        <f t="shared" si="12"/>
        <v>0.25870331424484549</v>
      </c>
      <c r="K41" s="401">
        <f t="shared" si="13"/>
        <v>1.1300190884878658E-3</v>
      </c>
      <c r="M41" s="96" t="s">
        <v>53</v>
      </c>
      <c r="N41" s="60">
        <f>4*N37/(2*B36+1)</f>
        <v>6.6035718003649313</v>
      </c>
    </row>
    <row r="42" spans="2:16" ht="16.2" customHeight="1" thickTop="1" x14ac:dyDescent="0.35">
      <c r="M42" s="96" t="s">
        <v>57</v>
      </c>
      <c r="N42" s="49">
        <f>N41/N40*100</f>
        <v>1.9198327289087875</v>
      </c>
    </row>
    <row r="43" spans="2:16" ht="16.2" customHeight="1" thickBot="1" x14ac:dyDescent="0.4">
      <c r="M43" s="395" t="s">
        <v>58</v>
      </c>
      <c r="N43" s="62">
        <f>ABS(N40-'1 extremo fechado - f(n)'!F$2)/'1 extremo fechado - f(n)'!F$2*100</f>
        <v>1.4987423494879764</v>
      </c>
    </row>
    <row r="49" spans="2:16" ht="16.2" customHeight="1" thickBot="1" x14ac:dyDescent="0.35"/>
    <row r="50" spans="2:16" ht="16.2" customHeight="1" thickTop="1" thickBot="1" x14ac:dyDescent="0.4">
      <c r="B50" s="38" t="s">
        <v>7</v>
      </c>
      <c r="C50" s="40" t="s">
        <v>0</v>
      </c>
      <c r="D50" s="41" t="s">
        <v>69</v>
      </c>
      <c r="E50" s="41" t="s">
        <v>70</v>
      </c>
      <c r="F50" s="41" t="s">
        <v>86</v>
      </c>
      <c r="G50" s="41" t="s">
        <v>87</v>
      </c>
      <c r="H50" s="41" t="s">
        <v>103</v>
      </c>
      <c r="I50" s="41" t="s">
        <v>104</v>
      </c>
      <c r="J50" s="41" t="s">
        <v>105</v>
      </c>
      <c r="K50" s="8" t="s">
        <v>106</v>
      </c>
      <c r="M50" s="428" t="s">
        <v>96</v>
      </c>
      <c r="N50" s="429"/>
      <c r="O50" s="429"/>
      <c r="P50" s="430"/>
    </row>
    <row r="51" spans="2:16" ht="16.2" customHeight="1" thickBot="1" x14ac:dyDescent="0.35">
      <c r="B51" s="39">
        <v>4</v>
      </c>
      <c r="C51" s="329">
        <v>2</v>
      </c>
      <c r="D51" s="330">
        <f>'1 extremo fechado - f(n)'!C9</f>
        <v>0.15038666666666667</v>
      </c>
      <c r="E51" s="331">
        <f>'1 extremo fechado - f(n)'!D9</f>
        <v>6.6666666666629719E-6</v>
      </c>
      <c r="F51" s="332">
        <f>'1 extremo fechado - f(n)'!M22</f>
        <v>5074</v>
      </c>
      <c r="G51" s="333">
        <f>'1 extremo fechado - f(n)'!N22</f>
        <v>2.4775390625</v>
      </c>
      <c r="H51" s="334">
        <f>1/F51</f>
        <v>1.9708316909735908E-4</v>
      </c>
      <c r="I51" s="331">
        <f>G51/F51^2</f>
        <v>9.6232016160819862E-8</v>
      </c>
      <c r="J51" s="335">
        <f>N$51*H51+O$51</f>
        <v>0.14833378170257569</v>
      </c>
      <c r="K51" s="336">
        <f>D51-J51</f>
        <v>2.0528849640909785E-3</v>
      </c>
      <c r="M51" s="95" t="s">
        <v>15</v>
      </c>
      <c r="N51" s="46">
        <f t="array" ref="N51:O53">LINEST(D51:D56,H51:H56,1,1)</f>
        <v>790.87861314301438</v>
      </c>
      <c r="O51" s="92">
        <v>-7.5350817469738429E-3</v>
      </c>
      <c r="P51" s="95" t="s">
        <v>12</v>
      </c>
    </row>
    <row r="52" spans="2:16" ht="16.2" customHeight="1" thickTop="1" x14ac:dyDescent="0.35">
      <c r="B52" s="35"/>
      <c r="C52" s="338">
        <v>3</v>
      </c>
      <c r="D52" s="339">
        <f>'1 extremo fechado - f(n)'!C10</f>
        <v>0.16883333333333334</v>
      </c>
      <c r="E52" s="15">
        <f>'1 extremo fechado - f(n)'!D10</f>
        <v>1.6666666666665719E-5</v>
      </c>
      <c r="F52" s="68">
        <f>'1 extremo fechado - f(n)'!M37</f>
        <v>4412</v>
      </c>
      <c r="G52" s="340">
        <f>'1 extremo fechado - f(n)'!N37</f>
        <v>8.6171875</v>
      </c>
      <c r="H52" s="29">
        <f t="shared" ref="H52:H55" si="14">1/F52</f>
        <v>2.2665457842248413E-4</v>
      </c>
      <c r="I52" s="15">
        <f t="shared" ref="I52:I55" si="15">G52/F52^2</f>
        <v>4.4268472348141432E-7</v>
      </c>
      <c r="J52" s="325">
        <f t="shared" ref="J52:J56" si="16">N$51*H52+O$51</f>
        <v>0.17172117689831501</v>
      </c>
      <c r="K52" s="342">
        <f t="shared" ref="K52:K56" si="17">D52-J52</f>
        <v>-2.8878435649816736E-3</v>
      </c>
      <c r="M52" s="96" t="s">
        <v>16</v>
      </c>
      <c r="N52" s="51">
        <v>26.367229448193356</v>
      </c>
      <c r="O52" s="93">
        <v>7.1343798328506441E-3</v>
      </c>
      <c r="P52" s="96" t="s">
        <v>13</v>
      </c>
    </row>
    <row r="53" spans="2:16" ht="16.2" customHeight="1" thickBot="1" x14ac:dyDescent="0.4">
      <c r="B53" s="35"/>
      <c r="C53" s="343">
        <v>4</v>
      </c>
      <c r="D53" s="344">
        <f>'1 extremo fechado - f(n)'!C11</f>
        <v>0.17916666666666667</v>
      </c>
      <c r="E53" s="18">
        <f>'1 extremo fechado - f(n)'!D11</f>
        <v>1.6666666666666901E-5</v>
      </c>
      <c r="F53" s="75">
        <f>'1 extremo fechado - f(n)'!M52</f>
        <v>4250</v>
      </c>
      <c r="G53" s="347">
        <f>'1 extremo fechado - f(n)'!N51</f>
        <v>1.61865234375</v>
      </c>
      <c r="H53" s="344">
        <f t="shared" si="14"/>
        <v>2.3529411764705883E-4</v>
      </c>
      <c r="I53" s="18">
        <f t="shared" si="15"/>
        <v>8.96139705882353E-8</v>
      </c>
      <c r="J53" s="326">
        <f t="shared" si="16"/>
        <v>0.17855400369844132</v>
      </c>
      <c r="K53" s="346">
        <f t="shared" si="17"/>
        <v>6.1266296822534705E-4</v>
      </c>
      <c r="M53" s="97" t="s">
        <v>11</v>
      </c>
      <c r="N53" s="86">
        <v>0.99557368077332498</v>
      </c>
      <c r="O53" s="94">
        <v>3.211481514369981E-3</v>
      </c>
      <c r="P53" s="97" t="s">
        <v>14</v>
      </c>
    </row>
    <row r="54" spans="2:16" ht="16.2" customHeight="1" thickBot="1" x14ac:dyDescent="0.35">
      <c r="B54" s="35"/>
      <c r="C54" s="348">
        <v>5</v>
      </c>
      <c r="D54" s="349">
        <f>'1 extremo fechado - f(n)'!C12</f>
        <v>0.21933333333333335</v>
      </c>
      <c r="E54" s="21">
        <f>'1 extremo fechado - f(n)'!D12</f>
        <v>1.6666666666666905E-5</v>
      </c>
      <c r="F54" s="84">
        <f>'1 extremo fechado - f(n)'!M67</f>
        <v>3497</v>
      </c>
      <c r="G54" s="350">
        <f>'1 extremo fechado - f(n)'!N67</f>
        <v>6.830078125</v>
      </c>
      <c r="H54" s="31">
        <f t="shared" si="14"/>
        <v>2.8595939376608524E-4</v>
      </c>
      <c r="I54" s="21">
        <f t="shared" si="15"/>
        <v>5.5851444094938523E-7</v>
      </c>
      <c r="J54" s="327">
        <f t="shared" si="16"/>
        <v>0.2186240870099648</v>
      </c>
      <c r="K54" s="351">
        <f t="shared" si="17"/>
        <v>7.0924632336855087E-4</v>
      </c>
    </row>
    <row r="55" spans="2:16" ht="16.2" customHeight="1" x14ac:dyDescent="0.35">
      <c r="B55" s="35"/>
      <c r="C55" s="352">
        <v>6</v>
      </c>
      <c r="D55" s="360">
        <f>'1 extremo fechado - f(n)'!C13</f>
        <v>0.23933333333333334</v>
      </c>
      <c r="E55" s="124">
        <f>'1 extremo fechado - f(n)'!D13</f>
        <v>1.6666666666666905E-5</v>
      </c>
      <c r="F55" s="126">
        <f>'1 extremo fechado - f(n)'!M82</f>
        <v>3153</v>
      </c>
      <c r="G55" s="361">
        <f>'1 extremo fechado - f(n)'!N82</f>
        <v>3.0791015625</v>
      </c>
      <c r="H55" s="125">
        <f t="shared" si="14"/>
        <v>3.1715826197272439E-4</v>
      </c>
      <c r="I55" s="124">
        <f t="shared" si="15"/>
        <v>3.0972486520773866E-7</v>
      </c>
      <c r="J55" s="328">
        <f t="shared" si="16"/>
        <v>0.24329860462886324</v>
      </c>
      <c r="K55" s="400">
        <f t="shared" si="17"/>
        <v>-3.9652712955298985E-3</v>
      </c>
      <c r="M55" s="95" t="s">
        <v>52</v>
      </c>
      <c r="N55" s="59">
        <f>4*N51/(2*B51+1)</f>
        <v>351.50160584133971</v>
      </c>
    </row>
    <row r="56" spans="2:16" ht="16.2" customHeight="1" thickBot="1" x14ac:dyDescent="0.4">
      <c r="C56" s="362">
        <v>7</v>
      </c>
      <c r="D56" s="363">
        <f>'1 extremo fechado - f(n)'!C14</f>
        <v>0.25983333333333336</v>
      </c>
      <c r="E56" s="364">
        <f>'1 extremo fechado - f(n)'!D14</f>
        <v>1.6666666666666905E-5</v>
      </c>
      <c r="F56" s="322">
        <f>'1 extremo fechado - f(n)'!M97</f>
        <v>2997</v>
      </c>
      <c r="G56" s="365">
        <f>'1 extremo fechado - f(n)'!N97</f>
        <v>5.853515625</v>
      </c>
      <c r="H56" s="367">
        <f>1/F56</f>
        <v>3.3366700033366702E-4</v>
      </c>
      <c r="I56" s="364">
        <f>G56/F56^2</f>
        <v>6.5169336002669339E-7</v>
      </c>
      <c r="J56" s="366">
        <f t="shared" si="16"/>
        <v>0.25635501272850647</v>
      </c>
      <c r="K56" s="401">
        <f t="shared" si="17"/>
        <v>3.47832060482689E-3</v>
      </c>
      <c r="M56" s="96" t="s">
        <v>53</v>
      </c>
      <c r="N56" s="60">
        <f>4*N52/(2*B51+1)</f>
        <v>11.718768643641491</v>
      </c>
    </row>
    <row r="57" spans="2:16" ht="16.2" customHeight="1" thickTop="1" x14ac:dyDescent="0.35">
      <c r="M57" s="96" t="s">
        <v>57</v>
      </c>
      <c r="N57" s="49">
        <f>N56/N55*100</f>
        <v>3.3339161041930181</v>
      </c>
    </row>
    <row r="58" spans="2:16" ht="16.2" customHeight="1" thickBot="1" x14ac:dyDescent="0.4">
      <c r="M58" s="395" t="s">
        <v>58</v>
      </c>
      <c r="N58" s="62">
        <f>ABS(N55-'1 extremo fechado - f(n)'!F$2)/'1 extremo fechado - f(n)'!F$2*100</f>
        <v>0.65922350464884127</v>
      </c>
    </row>
    <row r="64" spans="2:16" ht="16.2" customHeight="1" thickBot="1" x14ac:dyDescent="0.35"/>
    <row r="65" spans="2:16" ht="16.2" customHeight="1" thickTop="1" thickBot="1" x14ac:dyDescent="0.4">
      <c r="B65" s="38" t="s">
        <v>7</v>
      </c>
      <c r="C65" s="40" t="s">
        <v>0</v>
      </c>
      <c r="D65" s="41" t="s">
        <v>69</v>
      </c>
      <c r="E65" s="41" t="s">
        <v>70</v>
      </c>
      <c r="F65" s="41" t="s">
        <v>86</v>
      </c>
      <c r="G65" s="41" t="s">
        <v>87</v>
      </c>
      <c r="H65" s="41" t="s">
        <v>103</v>
      </c>
      <c r="I65" s="41" t="s">
        <v>104</v>
      </c>
      <c r="J65" s="41" t="s">
        <v>105</v>
      </c>
      <c r="K65" s="8" t="s">
        <v>106</v>
      </c>
      <c r="M65" s="428" t="s">
        <v>97</v>
      </c>
      <c r="N65" s="429"/>
      <c r="O65" s="429"/>
      <c r="P65" s="430"/>
    </row>
    <row r="66" spans="2:16" ht="16.2" customHeight="1" thickBot="1" x14ac:dyDescent="0.35">
      <c r="B66" s="39">
        <v>5</v>
      </c>
      <c r="C66" s="329">
        <v>2</v>
      </c>
      <c r="D66" s="330">
        <f>'1 extremo fechado - f(n)'!C9</f>
        <v>0.15038666666666667</v>
      </c>
      <c r="E66" s="331">
        <f>'1 extremo fechado - f(n)'!D9</f>
        <v>6.6666666666629719E-6</v>
      </c>
      <c r="F66" s="332">
        <f>'1 extremo fechado - f(n)'!M23</f>
        <v>6205</v>
      </c>
      <c r="G66" s="333">
        <f>'1 extremo fechado - f(n)'!N23</f>
        <v>3.02978515625</v>
      </c>
      <c r="H66" s="337">
        <f>1/F66</f>
        <v>1.6116035455278002E-4</v>
      </c>
      <c r="I66" s="331">
        <f>G66/F66^2</f>
        <v>7.8691579371474619E-8</v>
      </c>
      <c r="J66" s="335">
        <f>N$66*H66+O$66</f>
        <v>0.1489847084450541</v>
      </c>
      <c r="K66" s="336">
        <f>D66-J66</f>
        <v>1.4019582216125703E-3</v>
      </c>
      <c r="M66" s="95" t="s">
        <v>15</v>
      </c>
      <c r="N66" s="46">
        <f t="array" ref="N66:O68">LINEST(D66:D71,H66:H71,1,1)</f>
        <v>944.6108563957074</v>
      </c>
      <c r="O66" s="92">
        <v>-3.2491120860832778E-3</v>
      </c>
      <c r="P66" s="95" t="s">
        <v>12</v>
      </c>
    </row>
    <row r="67" spans="2:16" ht="16.2" customHeight="1" thickTop="1" x14ac:dyDescent="0.35">
      <c r="B67" s="35"/>
      <c r="C67" s="338">
        <v>3</v>
      </c>
      <c r="D67" s="339">
        <f>'1 extremo fechado - f(n)'!C10</f>
        <v>0.16883333333333334</v>
      </c>
      <c r="E67" s="15">
        <f>'1 extremo fechado - f(n)'!D10</f>
        <v>1.6666666666665719E-5</v>
      </c>
      <c r="F67" s="68">
        <f>'1 extremo fechado - f(n)'!M38</f>
        <v>5415</v>
      </c>
      <c r="G67" s="340">
        <f>'1 extremo fechado - f(n)'!N38</f>
        <v>10.576171875</v>
      </c>
      <c r="H67" s="29">
        <f t="shared" ref="H67:H70" si="18">1/F67</f>
        <v>1.8467220683287164E-4</v>
      </c>
      <c r="I67" s="15">
        <f t="shared" ref="I67:I70" si="19">G67/F67^2</f>
        <v>3.6068790397045242E-7</v>
      </c>
      <c r="J67" s="325">
        <f t="shared" ref="J67:J71" si="20">N$66*H67+O$66</f>
        <v>0.1711942593628008</v>
      </c>
      <c r="K67" s="342">
        <f t="shared" ref="K67:K71" si="21">D67-J67</f>
        <v>-2.3609260294674694E-3</v>
      </c>
      <c r="M67" s="96" t="s">
        <v>16</v>
      </c>
      <c r="N67" s="51">
        <v>19.771503020540603</v>
      </c>
      <c r="O67" s="93">
        <v>4.3911320091893332E-3</v>
      </c>
      <c r="P67" s="96" t="s">
        <v>13</v>
      </c>
    </row>
    <row r="68" spans="2:16" ht="16.2" customHeight="1" thickBot="1" x14ac:dyDescent="0.4">
      <c r="B68" s="35"/>
      <c r="C68" s="343">
        <v>4</v>
      </c>
      <c r="D68" s="344">
        <f>'1 extremo fechado - f(n)'!C11</f>
        <v>0.17916666666666667</v>
      </c>
      <c r="E68" s="18">
        <f>'1 extremo fechado - f(n)'!D11</f>
        <v>1.6666666666666901E-5</v>
      </c>
      <c r="F68" s="75">
        <f>'1 extremo fechado - f(n)'!M53</f>
        <v>5222</v>
      </c>
      <c r="G68" s="347">
        <f>'1 extremo fechado - f(n)'!N53</f>
        <v>2.5498046875</v>
      </c>
      <c r="H68" s="344">
        <f t="shared" si="18"/>
        <v>1.9149751053236308E-4</v>
      </c>
      <c r="I68" s="18">
        <f t="shared" si="19"/>
        <v>9.3504643814630408E-8</v>
      </c>
      <c r="J68" s="326">
        <f t="shared" si="20"/>
        <v>0.17764151533553821</v>
      </c>
      <c r="K68" s="346">
        <f t="shared" si="21"/>
        <v>1.5251513311284604E-3</v>
      </c>
      <c r="M68" s="97" t="s">
        <v>11</v>
      </c>
      <c r="N68" s="86">
        <v>0.99825066451852895</v>
      </c>
      <c r="O68" s="94">
        <v>2.0189269853844631E-3</v>
      </c>
      <c r="P68" s="97" t="s">
        <v>14</v>
      </c>
    </row>
    <row r="69" spans="2:16" ht="16.2" customHeight="1" thickBot="1" x14ac:dyDescent="0.35">
      <c r="B69" s="35"/>
      <c r="C69" s="348">
        <v>5</v>
      </c>
      <c r="D69" s="349">
        <f>'1 extremo fechado - f(n)'!C12</f>
        <v>0.21933333333333335</v>
      </c>
      <c r="E69" s="21">
        <f>'1 extremo fechado - f(n)'!D12</f>
        <v>1.6666666666666905E-5</v>
      </c>
      <c r="F69" s="84">
        <f>'1 extremo fechado - f(n)'!M68</f>
        <v>4217</v>
      </c>
      <c r="G69" s="350">
        <f>'1 extremo fechado - f(n)'!N68</f>
        <v>8.236328125</v>
      </c>
      <c r="H69" s="31">
        <f t="shared" si="18"/>
        <v>2.3713540431586437E-4</v>
      </c>
      <c r="I69" s="21">
        <f t="shared" si="19"/>
        <v>4.631550865544226E-7</v>
      </c>
      <c r="J69" s="327">
        <f t="shared" si="20"/>
        <v>0.22075156526646769</v>
      </c>
      <c r="K69" s="351">
        <f t="shared" si="21"/>
        <v>-1.4182319331343396E-3</v>
      </c>
    </row>
    <row r="70" spans="2:16" ht="16.2" customHeight="1" x14ac:dyDescent="0.35">
      <c r="B70" s="35"/>
      <c r="C70" s="352">
        <v>6</v>
      </c>
      <c r="D70" s="360">
        <f>'1 extremo fechado - f(n)'!C13</f>
        <v>0.23933333333333334</v>
      </c>
      <c r="E70" s="124">
        <f>'1 extremo fechado - f(n)'!D13</f>
        <v>1.6666666666666905E-5</v>
      </c>
      <c r="F70" s="126">
        <f>'1 extremo fechado - f(n)'!M83</f>
        <v>3878</v>
      </c>
      <c r="G70" s="361">
        <f>'1 extremo fechado - f(n)'!N83</f>
        <v>3.787109375</v>
      </c>
      <c r="H70" s="125">
        <f t="shared" si="18"/>
        <v>2.5786487880350697E-4</v>
      </c>
      <c r="I70" s="124">
        <f t="shared" si="19"/>
        <v>2.5182117070654978E-7</v>
      </c>
      <c r="J70" s="328">
        <f t="shared" si="20"/>
        <v>0.24033285191487275</v>
      </c>
      <c r="K70" s="400">
        <f t="shared" si="21"/>
        <v>-9.9951858153940476E-4</v>
      </c>
      <c r="M70" s="95" t="s">
        <v>52</v>
      </c>
      <c r="N70" s="59">
        <f>4*N66/(2*B66+1)</f>
        <v>343.49485687116635</v>
      </c>
    </row>
    <row r="71" spans="2:16" ht="16.2" customHeight="1" thickBot="1" x14ac:dyDescent="0.4">
      <c r="C71" s="362">
        <v>7</v>
      </c>
      <c r="D71" s="363">
        <f>'1 extremo fechado - f(n)'!C14</f>
        <v>0.25983333333333336</v>
      </c>
      <c r="E71" s="364">
        <f>'1 extremo fechado - f(n)'!D14</f>
        <v>1.6666666666666905E-5</v>
      </c>
      <c r="F71" s="322">
        <f>'1 extremo fechado - f(n)'!M98</f>
        <v>3616</v>
      </c>
      <c r="G71" s="365">
        <f>'1 extremo fechado - f(n)'!N98</f>
        <v>7.0625</v>
      </c>
      <c r="H71" s="367">
        <f>1/F71</f>
        <v>2.7654867256637168E-4</v>
      </c>
      <c r="I71" s="364">
        <f>G71/F71^2</f>
        <v>5.4013412610619468E-7</v>
      </c>
      <c r="J71" s="366">
        <f t="shared" si="20"/>
        <v>0.25798176634193315</v>
      </c>
      <c r="K71" s="401">
        <f t="shared" si="21"/>
        <v>1.8515669914002109E-3</v>
      </c>
      <c r="M71" s="96" t="s">
        <v>53</v>
      </c>
      <c r="N71" s="60">
        <f>4*N67/(2*B66+1)</f>
        <v>7.1896374620147645</v>
      </c>
    </row>
    <row r="72" spans="2:16" ht="16.2" customHeight="1" thickTop="1" x14ac:dyDescent="0.35">
      <c r="M72" s="96" t="s">
        <v>57</v>
      </c>
      <c r="N72" s="49">
        <f>N71/N70*100</f>
        <v>2.0930844576550274</v>
      </c>
    </row>
    <row r="73" spans="2:16" ht="16.2" customHeight="1" thickBot="1" x14ac:dyDescent="0.4">
      <c r="M73" s="395" t="s">
        <v>58</v>
      </c>
      <c r="N73" s="62">
        <f>ABS(N70-'1 extremo fechado - f(n)'!F$2)/'1 extremo fechado - f(n)'!F$2*100</f>
        <v>1.6336625611351292</v>
      </c>
    </row>
    <row r="79" spans="2:16" ht="16.2" customHeight="1" thickBot="1" x14ac:dyDescent="0.35"/>
    <row r="80" spans="2:16" ht="16.2" customHeight="1" thickTop="1" thickBot="1" x14ac:dyDescent="0.4">
      <c r="B80" s="38" t="s">
        <v>7</v>
      </c>
      <c r="C80" s="40" t="s">
        <v>0</v>
      </c>
      <c r="D80" s="41" t="s">
        <v>69</v>
      </c>
      <c r="E80" s="41" t="s">
        <v>70</v>
      </c>
      <c r="F80" s="41" t="s">
        <v>86</v>
      </c>
      <c r="G80" s="41" t="s">
        <v>87</v>
      </c>
      <c r="H80" s="41" t="s">
        <v>103</v>
      </c>
      <c r="I80" s="41" t="s">
        <v>104</v>
      </c>
      <c r="J80" s="41" t="s">
        <v>105</v>
      </c>
      <c r="K80" s="8" t="s">
        <v>106</v>
      </c>
      <c r="M80" s="428" t="s">
        <v>98</v>
      </c>
      <c r="N80" s="429"/>
      <c r="O80" s="429"/>
      <c r="P80" s="430"/>
    </row>
    <row r="81" spans="2:16" ht="16.2" customHeight="1" thickBot="1" x14ac:dyDescent="0.35">
      <c r="B81" s="39">
        <v>6</v>
      </c>
      <c r="C81" s="329">
        <v>2</v>
      </c>
      <c r="D81" s="330">
        <f>'1 extremo fechado - f(n)'!C9</f>
        <v>0.15038666666666667</v>
      </c>
      <c r="E81" s="331">
        <f>'1 extremo fechado - f(n)'!D9</f>
        <v>6.6666666666629719E-6</v>
      </c>
      <c r="F81" s="332">
        <f>'1 extremo fechado - f(n)'!M24</f>
        <v>7384</v>
      </c>
      <c r="G81" s="333">
        <f>'1 extremo fechado - f(n)'!N24</f>
        <v>3.60546875</v>
      </c>
      <c r="H81" s="337">
        <f>1/F81</f>
        <v>1.3542795232936077E-4</v>
      </c>
      <c r="I81" s="331">
        <f>G81/F81^2</f>
        <v>6.612692984832069E-8</v>
      </c>
      <c r="J81" s="335">
        <f>N$81*H81+O$81</f>
        <v>0.14857441867739585</v>
      </c>
      <c r="K81" s="336">
        <f>D81-J81</f>
        <v>1.812247989270821E-3</v>
      </c>
      <c r="M81" s="95" t="s">
        <v>15</v>
      </c>
      <c r="N81" s="46">
        <f t="array" ref="N81:O83">LINEST(D81:D86,H81:H86,1,1)</f>
        <v>1110.1874785707432</v>
      </c>
      <c r="O81" s="92">
        <v>-1.775998247136007E-3</v>
      </c>
      <c r="P81" s="95" t="s">
        <v>12</v>
      </c>
    </row>
    <row r="82" spans="2:16" ht="16.2" customHeight="1" thickTop="1" x14ac:dyDescent="0.35">
      <c r="B82" s="35"/>
      <c r="C82" s="338">
        <v>3</v>
      </c>
      <c r="D82" s="339">
        <f>'1 extremo fechado - f(n)'!C10</f>
        <v>0.16883333333333334</v>
      </c>
      <c r="E82" s="15">
        <f>'1 extremo fechado - f(n)'!D10</f>
        <v>1.6666666666665719E-5</v>
      </c>
      <c r="F82" s="68">
        <f>'1 extremo fechado - f(n)'!M39</f>
        <v>6442</v>
      </c>
      <c r="G82" s="340">
        <f>'1 extremo fechado - f(n)'!N39</f>
        <v>12.58203125</v>
      </c>
      <c r="H82" s="29">
        <f t="shared" ref="H82:H85" si="22">1/F82</f>
        <v>1.552312946289972E-4</v>
      </c>
      <c r="I82" s="15">
        <f t="shared" ref="I82:I85" si="23">G82/F82^2</f>
        <v>3.0318612232226016E-7</v>
      </c>
      <c r="J82" s="325">
        <f t="shared" ref="J82:J86" si="24">N$81*H82+O$81</f>
        <v>0.17055984133230256</v>
      </c>
      <c r="K82" s="342">
        <f t="shared" ref="K82:K86" si="25">D82-J82</f>
        <v>-1.7265079989692289E-3</v>
      </c>
      <c r="M82" s="96" t="s">
        <v>16</v>
      </c>
      <c r="N82" s="51">
        <v>23.075867652700516</v>
      </c>
      <c r="O82" s="93">
        <v>4.3305826797671969E-3</v>
      </c>
      <c r="P82" s="96" t="s">
        <v>13</v>
      </c>
    </row>
    <row r="83" spans="2:16" ht="16.2" customHeight="1" thickBot="1" x14ac:dyDescent="0.4">
      <c r="B83" s="35"/>
      <c r="C83" s="343">
        <v>4</v>
      </c>
      <c r="D83" s="344">
        <f>'1 extremo fechado - f(n)'!C11</f>
        <v>0.17916666666666667</v>
      </c>
      <c r="E83" s="18">
        <f>'1 extremo fechado - f(n)'!D11</f>
        <v>1.6666666666666901E-5</v>
      </c>
      <c r="F83" s="75">
        <f>'1 extremo fechado - f(n)'!M54</f>
        <v>6146</v>
      </c>
      <c r="G83" s="347">
        <f>'1 extremo fechado - f(n)'!N54</f>
        <v>3.0009765625</v>
      </c>
      <c r="H83" s="344">
        <f t="shared" si="22"/>
        <v>1.6270745200130165E-4</v>
      </c>
      <c r="I83" s="18">
        <f t="shared" si="23"/>
        <v>7.944699804751057E-8</v>
      </c>
      <c r="J83" s="326">
        <f t="shared" si="24"/>
        <v>0.1788597776348593</v>
      </c>
      <c r="K83" s="346">
        <f t="shared" si="25"/>
        <v>3.0688903180736693E-4</v>
      </c>
      <c r="M83" s="97" t="s">
        <v>11</v>
      </c>
      <c r="N83" s="86">
        <v>0.99827482347836161</v>
      </c>
      <c r="O83" s="94">
        <v>2.0049374590272459E-3</v>
      </c>
      <c r="P83" s="97" t="s">
        <v>14</v>
      </c>
    </row>
    <row r="84" spans="2:16" ht="16.2" customHeight="1" thickBot="1" x14ac:dyDescent="0.35">
      <c r="B84" s="35"/>
      <c r="C84" s="348">
        <v>5</v>
      </c>
      <c r="D84" s="349">
        <f>'1 extremo fechado - f(n)'!C12</f>
        <v>0.21933333333333335</v>
      </c>
      <c r="E84" s="21">
        <f>'1 extremo fechado - f(n)'!D12</f>
        <v>1.6666666666666905E-5</v>
      </c>
      <c r="F84" s="84">
        <f>'1 extremo fechado - f(n)'!M69</f>
        <v>4993</v>
      </c>
      <c r="G84" s="350">
        <f>'1 extremo fechado - f(n)'!N69</f>
        <v>9.751953125</v>
      </c>
      <c r="H84" s="31">
        <f t="shared" si="22"/>
        <v>2.002803925495694E-4</v>
      </c>
      <c r="I84" s="21">
        <f t="shared" si="23"/>
        <v>3.9117264169837774E-7</v>
      </c>
      <c r="J84" s="327">
        <f t="shared" si="24"/>
        <v>0.2205727857646291</v>
      </c>
      <c r="K84" s="351">
        <f t="shared" si="25"/>
        <v>-1.2394524312957511E-3</v>
      </c>
    </row>
    <row r="85" spans="2:16" ht="16.2" customHeight="1" x14ac:dyDescent="0.35">
      <c r="B85" s="35"/>
      <c r="C85" s="352">
        <v>6</v>
      </c>
      <c r="D85" s="360">
        <f>'1 extremo fechado - f(n)'!C13</f>
        <v>0.23933333333333334</v>
      </c>
      <c r="E85" s="124">
        <f>'1 extremo fechado - f(n)'!D13</f>
        <v>1.6666666666666905E-5</v>
      </c>
      <c r="F85" s="126">
        <f>'1 extremo fechado - f(n)'!M84</f>
        <v>4575</v>
      </c>
      <c r="G85" s="361">
        <f>'1 extremo fechado - f(n)'!N84</f>
        <v>4.4677734375</v>
      </c>
      <c r="H85" s="125">
        <f t="shared" si="22"/>
        <v>2.185792349726776E-4</v>
      </c>
      <c r="I85" s="124">
        <f t="shared" si="23"/>
        <v>2.1345628415300546E-7</v>
      </c>
      <c r="J85" s="328">
        <f t="shared" si="24"/>
        <v>0.24088793149510296</v>
      </c>
      <c r="K85" s="400">
        <f t="shared" si="25"/>
        <v>-1.5545981617696158E-3</v>
      </c>
      <c r="M85" s="95" t="s">
        <v>52</v>
      </c>
      <c r="N85" s="59">
        <f>4*N81/(2*B81+1)</f>
        <v>341.59614725253635</v>
      </c>
    </row>
    <row r="86" spans="2:16" ht="16.2" customHeight="1" thickBot="1" x14ac:dyDescent="0.4">
      <c r="C86" s="362">
        <v>7</v>
      </c>
      <c r="D86" s="363">
        <f>'1 extremo fechado - f(n)'!C14</f>
        <v>0.25983333333333336</v>
      </c>
      <c r="E86" s="364">
        <f>'1 extremo fechado - f(n)'!D14</f>
        <v>1.6666666666666905E-5</v>
      </c>
      <c r="F86" s="322">
        <f>'1 extremo fechado - f(n)'!M99</f>
        <v>4283</v>
      </c>
      <c r="G86" s="365">
        <f>'1 extremo fechado - f(n)'!N99</f>
        <v>8.365234375</v>
      </c>
      <c r="H86" s="367">
        <f>1/F86</f>
        <v>2.3348120476301658E-4</v>
      </c>
      <c r="I86" s="364">
        <f>G86/F86^2</f>
        <v>4.5601797805276676E-7</v>
      </c>
      <c r="J86" s="366">
        <f t="shared" si="24"/>
        <v>0.25743191176237679</v>
      </c>
      <c r="K86" s="401">
        <f t="shared" si="25"/>
        <v>2.4014215709565745E-3</v>
      </c>
      <c r="M86" s="96" t="s">
        <v>53</v>
      </c>
      <c r="N86" s="60">
        <f>4*N82/(2*B81+1)</f>
        <v>7.1002669700616972</v>
      </c>
    </row>
    <row r="87" spans="2:16" ht="16.2" customHeight="1" thickTop="1" x14ac:dyDescent="0.35">
      <c r="M87" s="96" t="s">
        <v>57</v>
      </c>
      <c r="N87" s="49">
        <f>N86/N85*100</f>
        <v>2.0785559284462853</v>
      </c>
    </row>
    <row r="88" spans="2:16" ht="16.2" customHeight="1" thickBot="1" x14ac:dyDescent="0.4">
      <c r="M88" s="395" t="s">
        <v>58</v>
      </c>
      <c r="N88" s="62">
        <f>ABS(N85-'1 extremo fechado - f(n)'!F$2)/'1 extremo fechado - f(n)'!F$2*100</f>
        <v>2.1773944607793427</v>
      </c>
    </row>
    <row r="94" spans="2:16" ht="16.2" customHeight="1" thickBot="1" x14ac:dyDescent="0.35"/>
    <row r="95" spans="2:16" ht="16.2" customHeight="1" thickBot="1" x14ac:dyDescent="0.4">
      <c r="C95" s="9" t="s">
        <v>7</v>
      </c>
      <c r="D95" s="9" t="s">
        <v>79</v>
      </c>
      <c r="E95" s="9" t="s">
        <v>80</v>
      </c>
      <c r="F95" s="9" t="s">
        <v>57</v>
      </c>
      <c r="G95" s="9" t="s">
        <v>58</v>
      </c>
    </row>
    <row r="96" spans="2:16" ht="16.2" customHeight="1" x14ac:dyDescent="0.3">
      <c r="C96" s="405">
        <v>1</v>
      </c>
      <c r="D96" s="37">
        <f>N10</f>
        <v>305.02765980647365</v>
      </c>
      <c r="E96" s="37">
        <f>N11</f>
        <v>12.38761317980042</v>
      </c>
      <c r="F96" s="37">
        <f>N12</f>
        <v>4.0611442213666145</v>
      </c>
      <c r="G96" s="402">
        <f>N13</f>
        <v>12.649481899041787</v>
      </c>
    </row>
    <row r="97" spans="3:7" ht="16.2" customHeight="1" x14ac:dyDescent="0.3">
      <c r="C97" s="396">
        <v>2</v>
      </c>
      <c r="D97" s="49">
        <f>N25</f>
        <v>344.59008382459285</v>
      </c>
      <c r="E97" s="49">
        <f>N26</f>
        <v>5.8003321834579289</v>
      </c>
      <c r="F97" s="49">
        <f>N27</f>
        <v>1.6832556871864253</v>
      </c>
      <c r="G97" s="403">
        <f>N28</f>
        <v>1.3200233263174193</v>
      </c>
    </row>
    <row r="98" spans="3:7" ht="16.2" customHeight="1" x14ac:dyDescent="0.3">
      <c r="C98" s="396">
        <v>3</v>
      </c>
      <c r="D98" s="49">
        <f>N40</f>
        <v>343.96599771055736</v>
      </c>
      <c r="E98" s="49">
        <f>N41</f>
        <v>6.6035718003649313</v>
      </c>
      <c r="F98" s="49">
        <f>N42</f>
        <v>1.9198327289087875</v>
      </c>
      <c r="G98" s="403">
        <f>N43</f>
        <v>1.4987423494879764</v>
      </c>
    </row>
    <row r="99" spans="3:7" ht="16.2" customHeight="1" x14ac:dyDescent="0.3">
      <c r="C99" s="396">
        <v>4</v>
      </c>
      <c r="D99" s="49">
        <f>N55</f>
        <v>351.50160584133971</v>
      </c>
      <c r="E99" s="49">
        <f>N56</f>
        <v>11.718768643641491</v>
      </c>
      <c r="F99" s="49">
        <f>N57</f>
        <v>3.3339161041930181</v>
      </c>
      <c r="G99" s="403">
        <f>N58</f>
        <v>0.65922350464884127</v>
      </c>
    </row>
    <row r="100" spans="3:7" ht="16.2" customHeight="1" x14ac:dyDescent="0.3">
      <c r="C100" s="396">
        <v>5</v>
      </c>
      <c r="D100" s="49">
        <f>N70</f>
        <v>343.49485687116635</v>
      </c>
      <c r="E100" s="49">
        <f>N71</f>
        <v>7.1896374620147645</v>
      </c>
      <c r="F100" s="49">
        <f>N72</f>
        <v>2.0930844576550274</v>
      </c>
      <c r="G100" s="403">
        <f>N73</f>
        <v>1.6336625611351292</v>
      </c>
    </row>
    <row r="101" spans="3:7" ht="16.2" customHeight="1" thickBot="1" x14ac:dyDescent="0.35">
      <c r="C101" s="397">
        <v>6</v>
      </c>
      <c r="D101" s="57">
        <f>N85</f>
        <v>341.59614725253635</v>
      </c>
      <c r="E101" s="57">
        <f>N86</f>
        <v>7.1002669700616972</v>
      </c>
      <c r="F101" s="57">
        <f>N87</f>
        <v>2.0785559284462853</v>
      </c>
      <c r="G101" s="404">
        <f>N88</f>
        <v>2.1773944607793427</v>
      </c>
    </row>
  </sheetData>
  <mergeCells count="6">
    <mergeCell ref="M80:P80"/>
    <mergeCell ref="M5:P5"/>
    <mergeCell ref="M20:P20"/>
    <mergeCell ref="M35:P35"/>
    <mergeCell ref="M50:P50"/>
    <mergeCell ref="M65:P6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072F-FDEE-4CB9-ABCE-73A9130A3240}">
  <dimension ref="B1:AJ92"/>
  <sheetViews>
    <sheetView tabSelected="1" topLeftCell="A85" zoomScaleNormal="74" workbookViewId="0">
      <selection activeCell="C93" sqref="C93"/>
    </sheetView>
  </sheetViews>
  <sheetFormatPr defaultRowHeight="15" customHeight="1" x14ac:dyDescent="0.3"/>
  <cols>
    <col min="2" max="2" width="9.109375" bestFit="1" customWidth="1"/>
    <col min="3" max="3" width="9.44140625" bestFit="1" customWidth="1"/>
    <col min="4" max="4" width="9.109375" bestFit="1" customWidth="1"/>
    <col min="5" max="5" width="10.77734375" bestFit="1" customWidth="1"/>
    <col min="6" max="6" width="18.44140625" bestFit="1" customWidth="1"/>
    <col min="7" max="9" width="8.77734375" customWidth="1"/>
    <col min="10" max="10" width="9.109375" bestFit="1" customWidth="1"/>
    <col min="12" max="12" width="8.88671875" customWidth="1"/>
    <col min="13" max="13" width="9.77734375" bestFit="1" customWidth="1"/>
    <col min="16" max="17" width="8.6640625" customWidth="1"/>
    <col min="18" max="18" width="9" bestFit="1" customWidth="1"/>
    <col min="19" max="19" width="11.109375" bestFit="1" customWidth="1"/>
    <col min="20" max="20" width="18.109375" bestFit="1" customWidth="1"/>
    <col min="23" max="24" width="9" bestFit="1" customWidth="1"/>
    <col min="28" max="28" width="9" bestFit="1" customWidth="1"/>
    <col min="30" max="30" width="10.21875" bestFit="1" customWidth="1"/>
    <col min="31" max="31" width="9" bestFit="1" customWidth="1"/>
    <col min="34" max="34" width="11.33203125" bestFit="1" customWidth="1"/>
    <col min="35" max="35" width="9" bestFit="1" customWidth="1"/>
  </cols>
  <sheetData>
    <row r="1" spans="2:36" ht="15" customHeight="1" thickBot="1" x14ac:dyDescent="0.35">
      <c r="F1" s="150"/>
    </row>
    <row r="2" spans="2:36" ht="15" customHeight="1" thickBot="1" x14ac:dyDescent="0.35">
      <c r="B2" s="153" t="s">
        <v>4</v>
      </c>
      <c r="C2" s="105">
        <v>0.5</v>
      </c>
      <c r="F2" s="149"/>
    </row>
    <row r="3" spans="2:36" ht="15" customHeight="1" thickBot="1" x14ac:dyDescent="0.35">
      <c r="B3" s="154" t="s">
        <v>5</v>
      </c>
      <c r="C3" s="106">
        <v>5.0000000000000001E-4</v>
      </c>
      <c r="F3" s="146"/>
    </row>
    <row r="4" spans="2:36" ht="15" customHeight="1" x14ac:dyDescent="0.3">
      <c r="F4" s="147"/>
    </row>
    <row r="5" spans="2:36" ht="15" customHeight="1" thickBot="1" x14ac:dyDescent="0.4">
      <c r="B5" s="406" t="s">
        <v>42</v>
      </c>
      <c r="C5" s="406"/>
      <c r="D5" s="406"/>
      <c r="E5" s="406"/>
      <c r="F5" s="148"/>
    </row>
    <row r="6" spans="2:36" ht="15" customHeight="1" thickBot="1" x14ac:dyDescent="0.35"/>
    <row r="7" spans="2:36" ht="15" customHeight="1" thickBot="1" x14ac:dyDescent="0.4">
      <c r="B7" s="151" t="s">
        <v>7</v>
      </c>
      <c r="C7" s="152" t="s">
        <v>8</v>
      </c>
      <c r="D7" s="151" t="s">
        <v>39</v>
      </c>
      <c r="E7" s="152" t="s">
        <v>46</v>
      </c>
      <c r="F7" s="151" t="s">
        <v>10</v>
      </c>
      <c r="H7" s="431" t="s">
        <v>99</v>
      </c>
      <c r="I7" s="432"/>
      <c r="J7" s="432"/>
      <c r="K7" s="433"/>
      <c r="P7" s="151" t="s">
        <v>7</v>
      </c>
      <c r="Q7" s="152" t="s">
        <v>8</v>
      </c>
      <c r="R7" s="151" t="s">
        <v>39</v>
      </c>
      <c r="S7" s="151" t="s">
        <v>47</v>
      </c>
      <c r="T7" s="204" t="s">
        <v>10</v>
      </c>
      <c r="V7" s="431" t="s">
        <v>102</v>
      </c>
      <c r="W7" s="432"/>
      <c r="X7" s="432"/>
      <c r="Y7" s="433"/>
      <c r="AD7" s="104" t="s">
        <v>36</v>
      </c>
      <c r="AE7" s="77">
        <f>2*W8*(C$2)</f>
        <v>346.79426129426122</v>
      </c>
    </row>
    <row r="8" spans="2:36" ht="15" customHeight="1" thickBot="1" x14ac:dyDescent="0.4">
      <c r="B8" s="88">
        <v>1</v>
      </c>
      <c r="C8" s="27">
        <v>327</v>
      </c>
      <c r="D8" s="89">
        <f t="shared" ref="D8:D9" si="0">C8/(2*256)</f>
        <v>0.638671875</v>
      </c>
      <c r="E8" s="156">
        <f t="shared" ref="E8:E45" si="1">I$8*B8+J$8</f>
        <v>494.29554655870464</v>
      </c>
      <c r="F8" s="202">
        <f>C8-E8</f>
        <v>-167.29554655870464</v>
      </c>
      <c r="G8" s="35"/>
      <c r="H8" s="104" t="s">
        <v>15</v>
      </c>
      <c r="I8" s="46">
        <f t="array" ref="I8:J10">LINEST(C8:C45,B8:B45,1,1)</f>
        <v>359.30692635955796</v>
      </c>
      <c r="J8" s="47">
        <v>134.98862019914668</v>
      </c>
      <c r="K8" s="104" t="s">
        <v>12</v>
      </c>
      <c r="M8" s="108" t="s">
        <v>44</v>
      </c>
      <c r="N8" s="107">
        <f>2*J10</f>
        <v>221.78029906116564</v>
      </c>
      <c r="P8" s="99">
        <v>3</v>
      </c>
      <c r="Q8" s="24">
        <v>1363</v>
      </c>
      <c r="R8" s="49">
        <f t="shared" ref="R8:R34" si="2">Q8/(2*256)</f>
        <v>2.662109375</v>
      </c>
      <c r="S8" s="53">
        <f t="shared" ref="S8:S34" si="3">W$8*P8+X$8</f>
        <v>1354.8968253968269</v>
      </c>
      <c r="T8" s="59">
        <f t="shared" ref="T8:T34" si="4">C10-S8</f>
        <v>8.1031746031731018</v>
      </c>
      <c r="V8" s="104" t="s">
        <v>15</v>
      </c>
      <c r="W8" s="46">
        <f t="array" ref="W8:X10">LINEST(Q8:Q34,P8:P34,1,1)</f>
        <v>346.79426129426122</v>
      </c>
      <c r="X8" s="47">
        <v>314.51404151404313</v>
      </c>
      <c r="Y8" s="104" t="s">
        <v>12</v>
      </c>
      <c r="AA8" s="108" t="s">
        <v>44</v>
      </c>
      <c r="AB8" s="107">
        <f>2*X10</f>
        <v>45.345487489421295</v>
      </c>
      <c r="AD8" s="99" t="s">
        <v>35</v>
      </c>
      <c r="AE8" s="78">
        <f>2*SQRT((W8*C$3)^2+(C$2*W9)^2)</f>
        <v>0.65885971085510353</v>
      </c>
      <c r="AG8" s="431" t="s">
        <v>102</v>
      </c>
      <c r="AH8" s="432"/>
      <c r="AI8" s="432"/>
      <c r="AJ8" s="433"/>
    </row>
    <row r="9" spans="2:36" ht="15" customHeight="1" thickBot="1" x14ac:dyDescent="0.4">
      <c r="B9" s="88">
        <v>2</v>
      </c>
      <c r="C9" s="27">
        <v>677</v>
      </c>
      <c r="D9" s="89">
        <f t="shared" si="0"/>
        <v>1.322265625</v>
      </c>
      <c r="E9" s="156">
        <f t="shared" si="1"/>
        <v>853.60247291826261</v>
      </c>
      <c r="F9" s="89">
        <f>C9-E9</f>
        <v>-176.60247291826261</v>
      </c>
      <c r="H9" s="99" t="s">
        <v>16</v>
      </c>
      <c r="I9" s="51">
        <v>1.6404334949002064</v>
      </c>
      <c r="J9" s="52">
        <v>36.699544092820119</v>
      </c>
      <c r="K9" s="99" t="s">
        <v>13</v>
      </c>
      <c r="M9" s="200" t="s">
        <v>45</v>
      </c>
      <c r="N9" s="107">
        <f>-2*J10</f>
        <v>-221.78029906116564</v>
      </c>
      <c r="P9" s="99">
        <v>4</v>
      </c>
      <c r="Q9" s="24">
        <v>1707</v>
      </c>
      <c r="R9" s="49">
        <f t="shared" si="2"/>
        <v>3.333984375</v>
      </c>
      <c r="S9" s="53">
        <f t="shared" si="3"/>
        <v>1701.691086691088</v>
      </c>
      <c r="T9" s="53">
        <f t="shared" si="4"/>
        <v>5.3089133089119969</v>
      </c>
      <c r="V9" s="99" t="s">
        <v>16</v>
      </c>
      <c r="W9" s="51">
        <v>0.56020519358663423</v>
      </c>
      <c r="X9" s="52">
        <v>9.9689244818647378</v>
      </c>
      <c r="Y9" s="99" t="s">
        <v>13</v>
      </c>
      <c r="AA9" s="200" t="s">
        <v>45</v>
      </c>
      <c r="AB9" s="107">
        <f>-2*X10</f>
        <v>-45.345487489421295</v>
      </c>
      <c r="AD9" s="99" t="s">
        <v>31</v>
      </c>
      <c r="AE9" s="63">
        <f>AE8/AE7*100</f>
        <v>0.18998575939411208</v>
      </c>
      <c r="AG9" s="104" t="s">
        <v>15</v>
      </c>
      <c r="AH9" s="46" cm="1">
        <f t="array" ref="AH9:AI13">LINEST(Q15:Q34,P15:P34,1,1)</f>
        <v>346.7112781954886</v>
      </c>
      <c r="AI9" s="47">
        <v>316.73007518797294</v>
      </c>
      <c r="AJ9" s="104" t="s">
        <v>12</v>
      </c>
    </row>
    <row r="10" spans="2:36" ht="15" customHeight="1" thickBot="1" x14ac:dyDescent="0.4">
      <c r="B10" s="99">
        <v>3</v>
      </c>
      <c r="C10" s="24">
        <v>1363</v>
      </c>
      <c r="D10" s="49">
        <f t="shared" ref="D10:D45" si="5">C10/(2*256)</f>
        <v>2.662109375</v>
      </c>
      <c r="E10" s="155">
        <f t="shared" si="1"/>
        <v>1212.9093992778205</v>
      </c>
      <c r="F10" s="49">
        <f t="shared" ref="F10:F45" si="6">C10-E10</f>
        <v>150.09060072217949</v>
      </c>
      <c r="H10" s="100" t="s">
        <v>11</v>
      </c>
      <c r="I10" s="86">
        <v>0.99925017000411365</v>
      </c>
      <c r="J10" s="56">
        <v>110.89014953058282</v>
      </c>
      <c r="K10" s="100" t="s">
        <v>14</v>
      </c>
      <c r="P10" s="99">
        <v>5</v>
      </c>
      <c r="Q10" s="24">
        <v>2051</v>
      </c>
      <c r="R10" s="49">
        <f t="shared" si="2"/>
        <v>4.005859375</v>
      </c>
      <c r="S10" s="53">
        <f t="shared" si="3"/>
        <v>2048.4853479853491</v>
      </c>
      <c r="T10" s="53">
        <f t="shared" si="4"/>
        <v>2.5146520146508919</v>
      </c>
      <c r="V10" s="100" t="s">
        <v>11</v>
      </c>
      <c r="W10" s="55">
        <v>0.99993476778358825</v>
      </c>
      <c r="X10" s="56">
        <v>22.672743744710647</v>
      </c>
      <c r="Y10" s="100" t="s">
        <v>14</v>
      </c>
      <c r="AD10" s="148" t="s">
        <v>32</v>
      </c>
      <c r="AE10" s="62">
        <f>ABS(AE7-'1 extremo fechado - f(n)'!F$2)/'1 extremo fechado - f(n)'!F$2*100</f>
        <v>0.68881485137404419</v>
      </c>
      <c r="AG10" s="99" t="s">
        <v>16</v>
      </c>
      <c r="AH10" s="51">
        <v>1.0174076109134904</v>
      </c>
      <c r="AI10" s="52">
        <v>20.688677942994133</v>
      </c>
      <c r="AJ10" s="99" t="s">
        <v>13</v>
      </c>
    </row>
    <row r="11" spans="2:36" ht="15" customHeight="1" thickBot="1" x14ac:dyDescent="0.4">
      <c r="B11" s="99">
        <v>4</v>
      </c>
      <c r="C11" s="24">
        <v>1707</v>
      </c>
      <c r="D11" s="49">
        <f t="shared" si="5"/>
        <v>3.333984375</v>
      </c>
      <c r="E11" s="155">
        <f t="shared" si="1"/>
        <v>1572.2163256373785</v>
      </c>
      <c r="F11" s="49">
        <f t="shared" si="6"/>
        <v>134.78367436262147</v>
      </c>
      <c r="P11" s="99">
        <v>6</v>
      </c>
      <c r="Q11" s="24">
        <v>2395</v>
      </c>
      <c r="R11" s="49">
        <f t="shared" si="2"/>
        <v>4.677734375</v>
      </c>
      <c r="S11" s="53">
        <f t="shared" si="3"/>
        <v>2395.2796092796107</v>
      </c>
      <c r="T11" s="53">
        <f t="shared" si="4"/>
        <v>-0.27960927961066773</v>
      </c>
      <c r="AD11" s="35"/>
      <c r="AE11" s="35"/>
      <c r="AG11" s="100" t="s">
        <v>11</v>
      </c>
      <c r="AH11" s="55">
        <v>0.99984502586478896</v>
      </c>
      <c r="AI11" s="56">
        <v>26.236494317748001</v>
      </c>
      <c r="AJ11" s="100" t="s">
        <v>14</v>
      </c>
    </row>
    <row r="12" spans="2:36" ht="15" customHeight="1" x14ac:dyDescent="0.35">
      <c r="B12" s="99">
        <v>5</v>
      </c>
      <c r="C12" s="24">
        <v>2051</v>
      </c>
      <c r="D12" s="49">
        <f t="shared" si="5"/>
        <v>4.005859375</v>
      </c>
      <c r="E12" s="155">
        <f t="shared" si="1"/>
        <v>1931.5232519969366</v>
      </c>
      <c r="F12" s="49">
        <f t="shared" si="6"/>
        <v>119.47674800306345</v>
      </c>
      <c r="P12" s="99">
        <v>7</v>
      </c>
      <c r="Q12" s="24">
        <v>2739</v>
      </c>
      <c r="R12" s="49">
        <f t="shared" si="2"/>
        <v>5.349609375</v>
      </c>
      <c r="S12" s="53">
        <f t="shared" si="3"/>
        <v>2742.0738705738718</v>
      </c>
      <c r="T12" s="53">
        <f t="shared" si="4"/>
        <v>-3.0738705738717726</v>
      </c>
      <c r="AD12" s="104" t="s">
        <v>37</v>
      </c>
      <c r="AE12" s="59">
        <f>2*C$2*X8</f>
        <v>314.51404151404313</v>
      </c>
      <c r="AH12">
        <v>116130.41389811195</v>
      </c>
      <c r="AI12">
        <v>18</v>
      </c>
    </row>
    <row r="13" spans="2:36" ht="15" customHeight="1" x14ac:dyDescent="0.35">
      <c r="B13" s="99">
        <v>6</v>
      </c>
      <c r="C13" s="24">
        <v>2395</v>
      </c>
      <c r="D13" s="49">
        <f t="shared" si="5"/>
        <v>4.677734375</v>
      </c>
      <c r="E13" s="155">
        <f t="shared" si="1"/>
        <v>2290.8301783564943</v>
      </c>
      <c r="F13" s="49">
        <f t="shared" si="6"/>
        <v>104.16982164350566</v>
      </c>
      <c r="P13" s="99">
        <v>8</v>
      </c>
      <c r="Q13" s="24">
        <v>3081</v>
      </c>
      <c r="R13" s="49">
        <f t="shared" si="2"/>
        <v>6.017578125</v>
      </c>
      <c r="S13" s="53">
        <f t="shared" si="3"/>
        <v>3088.8681318681329</v>
      </c>
      <c r="T13" s="53">
        <f t="shared" si="4"/>
        <v>-7.8681318681328776</v>
      </c>
      <c r="AD13" s="99" t="s">
        <v>38</v>
      </c>
      <c r="AE13" s="60">
        <f>2*SQRT((X8*C$3)^2+(C$2*X9)^2)</f>
        <v>9.9738846197172162</v>
      </c>
      <c r="AH13">
        <v>79938792.434586465</v>
      </c>
      <c r="AI13">
        <v>12390.365413534017</v>
      </c>
    </row>
    <row r="14" spans="2:36" ht="15" customHeight="1" x14ac:dyDescent="0.35">
      <c r="B14" s="99">
        <v>7</v>
      </c>
      <c r="C14" s="24">
        <v>2739</v>
      </c>
      <c r="D14" s="49">
        <f t="shared" si="5"/>
        <v>5.349609375</v>
      </c>
      <c r="E14" s="155">
        <f t="shared" si="1"/>
        <v>2650.1371047160524</v>
      </c>
      <c r="F14" s="49">
        <f t="shared" si="6"/>
        <v>88.862895283947637</v>
      </c>
      <c r="P14" s="99">
        <v>9</v>
      </c>
      <c r="Q14" s="24">
        <v>3419</v>
      </c>
      <c r="R14" s="49">
        <f t="shared" si="2"/>
        <v>6.677734375</v>
      </c>
      <c r="S14" s="53">
        <f t="shared" si="3"/>
        <v>3435.662393162394</v>
      </c>
      <c r="T14" s="53">
        <f t="shared" si="4"/>
        <v>-16.662393162393982</v>
      </c>
      <c r="AD14" s="99" t="s">
        <v>34</v>
      </c>
      <c r="AE14" s="49">
        <f>AE13/AE12*100</f>
        <v>3.1712048758471343</v>
      </c>
    </row>
    <row r="15" spans="2:36" ht="15" customHeight="1" thickBot="1" x14ac:dyDescent="0.4">
      <c r="B15" s="99">
        <v>8</v>
      </c>
      <c r="C15" s="24">
        <v>3081</v>
      </c>
      <c r="D15" s="49">
        <f t="shared" si="5"/>
        <v>6.017578125</v>
      </c>
      <c r="E15" s="155">
        <f t="shared" si="1"/>
        <v>3009.4440310756104</v>
      </c>
      <c r="F15" s="49">
        <f t="shared" si="6"/>
        <v>71.555968924389617</v>
      </c>
      <c r="P15" s="99">
        <v>10</v>
      </c>
      <c r="Q15" s="24">
        <v>3801</v>
      </c>
      <c r="R15" s="49">
        <f t="shared" si="2"/>
        <v>7.423828125</v>
      </c>
      <c r="S15" s="53">
        <f t="shared" si="3"/>
        <v>3782.4566544566551</v>
      </c>
      <c r="T15" s="53">
        <f t="shared" si="4"/>
        <v>18.543345543344913</v>
      </c>
      <c r="AD15" s="148" t="s">
        <v>33</v>
      </c>
      <c r="AE15" s="62">
        <f>ABS(AE12-'1 extremo fechado - f(n)'!F$2)/'1 extremo fechado - f(n)'!F$2*100</f>
        <v>9.9328746327191819</v>
      </c>
    </row>
    <row r="16" spans="2:36" ht="15" customHeight="1" x14ac:dyDescent="0.3">
      <c r="B16" s="99">
        <v>9</v>
      </c>
      <c r="C16" s="24">
        <v>3419</v>
      </c>
      <c r="D16" s="49">
        <f t="shared" si="5"/>
        <v>6.677734375</v>
      </c>
      <c r="E16" s="155">
        <f t="shared" si="1"/>
        <v>3368.7509574351684</v>
      </c>
      <c r="F16" s="49">
        <f t="shared" si="6"/>
        <v>50.249042564831598</v>
      </c>
      <c r="P16" s="99">
        <v>11</v>
      </c>
      <c r="Q16" s="24">
        <v>4121</v>
      </c>
      <c r="R16" s="49">
        <f t="shared" si="2"/>
        <v>8.048828125</v>
      </c>
      <c r="S16" s="53">
        <f t="shared" si="3"/>
        <v>4129.2509157509166</v>
      </c>
      <c r="T16" s="53">
        <f t="shared" si="4"/>
        <v>-8.2509157509166471</v>
      </c>
    </row>
    <row r="17" spans="2:20" ht="15" customHeight="1" x14ac:dyDescent="0.3">
      <c r="B17" s="99">
        <v>10</v>
      </c>
      <c r="C17" s="24">
        <v>3801</v>
      </c>
      <c r="D17" s="49">
        <f t="shared" si="5"/>
        <v>7.423828125</v>
      </c>
      <c r="E17" s="155">
        <f t="shared" si="1"/>
        <v>3728.0578837947264</v>
      </c>
      <c r="F17" s="49">
        <f t="shared" si="6"/>
        <v>72.942116205273578</v>
      </c>
      <c r="P17" s="99">
        <v>12</v>
      </c>
      <c r="Q17" s="24">
        <v>4476</v>
      </c>
      <c r="R17" s="49">
        <f t="shared" si="2"/>
        <v>8.7421875</v>
      </c>
      <c r="S17" s="53">
        <f t="shared" si="3"/>
        <v>4476.0451770451782</v>
      </c>
      <c r="T17" s="53">
        <f t="shared" si="4"/>
        <v>-4.5177045178206754E-2</v>
      </c>
    </row>
    <row r="18" spans="2:20" ht="15" customHeight="1" x14ac:dyDescent="0.3">
      <c r="B18" s="99">
        <v>11</v>
      </c>
      <c r="C18" s="24">
        <v>4121</v>
      </c>
      <c r="D18" s="49">
        <f t="shared" si="5"/>
        <v>8.048828125</v>
      </c>
      <c r="E18" s="155">
        <f t="shared" si="1"/>
        <v>4087.3648101542844</v>
      </c>
      <c r="F18" s="49">
        <f t="shared" si="6"/>
        <v>33.635189845715558</v>
      </c>
      <c r="P18" s="99">
        <v>13</v>
      </c>
      <c r="Q18" s="24">
        <v>4817</v>
      </c>
      <c r="R18" s="49">
        <f t="shared" si="2"/>
        <v>9.408203125</v>
      </c>
      <c r="S18" s="53">
        <f t="shared" si="3"/>
        <v>4822.8394383394389</v>
      </c>
      <c r="T18" s="53">
        <f t="shared" si="4"/>
        <v>-5.8394383394388569</v>
      </c>
    </row>
    <row r="19" spans="2:20" ht="15" customHeight="1" x14ac:dyDescent="0.3">
      <c r="B19" s="99">
        <v>12</v>
      </c>
      <c r="C19" s="24">
        <v>4476</v>
      </c>
      <c r="D19" s="49">
        <f t="shared" si="5"/>
        <v>8.7421875</v>
      </c>
      <c r="E19" s="155">
        <f t="shared" si="1"/>
        <v>4446.671736513842</v>
      </c>
      <c r="F19" s="49">
        <f t="shared" si="6"/>
        <v>29.328263486157994</v>
      </c>
      <c r="P19" s="99">
        <v>14</v>
      </c>
      <c r="Q19" s="24">
        <v>5164</v>
      </c>
      <c r="R19" s="49">
        <f t="shared" si="2"/>
        <v>10.0859375</v>
      </c>
      <c r="S19" s="53">
        <f t="shared" si="3"/>
        <v>5169.6336996337004</v>
      </c>
      <c r="T19" s="53">
        <f t="shared" si="4"/>
        <v>-5.6336996337004166</v>
      </c>
    </row>
    <row r="20" spans="2:20" ht="15" customHeight="1" x14ac:dyDescent="0.3">
      <c r="B20" s="99">
        <v>13</v>
      </c>
      <c r="C20" s="24">
        <v>4817</v>
      </c>
      <c r="D20" s="49">
        <f t="shared" si="5"/>
        <v>9.408203125</v>
      </c>
      <c r="E20" s="155">
        <f t="shared" si="1"/>
        <v>4805.9786628734</v>
      </c>
      <c r="F20" s="49">
        <f t="shared" si="6"/>
        <v>11.021337126599974</v>
      </c>
      <c r="P20" s="99">
        <v>15</v>
      </c>
      <c r="Q20" s="24">
        <v>5504</v>
      </c>
      <c r="R20" s="49">
        <f t="shared" si="2"/>
        <v>10.75</v>
      </c>
      <c r="S20" s="53">
        <f t="shared" si="3"/>
        <v>5516.4279609279611</v>
      </c>
      <c r="T20" s="53">
        <f t="shared" si="4"/>
        <v>-12.427960927961067</v>
      </c>
    </row>
    <row r="21" spans="2:20" ht="15" customHeight="1" x14ac:dyDescent="0.3">
      <c r="B21" s="99">
        <v>14</v>
      </c>
      <c r="C21" s="24">
        <v>5164</v>
      </c>
      <c r="D21" s="49">
        <f t="shared" si="5"/>
        <v>10.0859375</v>
      </c>
      <c r="E21" s="155">
        <f t="shared" si="1"/>
        <v>5165.285589232958</v>
      </c>
      <c r="F21" s="49">
        <f t="shared" si="6"/>
        <v>-1.2855892329580456</v>
      </c>
      <c r="P21" s="99">
        <v>16</v>
      </c>
      <c r="Q21" s="24">
        <v>5852</v>
      </c>
      <c r="R21" s="49">
        <f t="shared" si="2"/>
        <v>11.4296875</v>
      </c>
      <c r="S21" s="53">
        <f t="shared" si="3"/>
        <v>5863.2222222222226</v>
      </c>
      <c r="T21" s="53">
        <f t="shared" si="4"/>
        <v>-11.222222222222626</v>
      </c>
    </row>
    <row r="22" spans="2:20" ht="15" customHeight="1" x14ac:dyDescent="0.3">
      <c r="B22" s="99">
        <v>15</v>
      </c>
      <c r="C22" s="24">
        <v>5504</v>
      </c>
      <c r="D22" s="49">
        <f t="shared" si="5"/>
        <v>10.75</v>
      </c>
      <c r="E22" s="155">
        <f t="shared" si="1"/>
        <v>5524.5925155925161</v>
      </c>
      <c r="F22" s="49">
        <f t="shared" si="6"/>
        <v>-20.592515592516065</v>
      </c>
      <c r="P22" s="99">
        <v>17</v>
      </c>
      <c r="Q22" s="24">
        <v>6212</v>
      </c>
      <c r="R22" s="49">
        <f t="shared" si="2"/>
        <v>12.1328125</v>
      </c>
      <c r="S22" s="53">
        <f t="shared" si="3"/>
        <v>6210.0164835164842</v>
      </c>
      <c r="T22" s="53">
        <f t="shared" si="4"/>
        <v>1.9835164835158139</v>
      </c>
    </row>
    <row r="23" spans="2:20" ht="15" customHeight="1" x14ac:dyDescent="0.3">
      <c r="B23" s="99">
        <v>16</v>
      </c>
      <c r="C23" s="24">
        <v>5852</v>
      </c>
      <c r="D23" s="49">
        <f t="shared" si="5"/>
        <v>11.4296875</v>
      </c>
      <c r="E23" s="155">
        <f t="shared" si="1"/>
        <v>5883.8994419520741</v>
      </c>
      <c r="F23" s="49">
        <f t="shared" si="6"/>
        <v>-31.899441952074085</v>
      </c>
      <c r="P23" s="99">
        <v>18</v>
      </c>
      <c r="Q23" s="24">
        <v>6527</v>
      </c>
      <c r="R23" s="49">
        <f t="shared" si="2"/>
        <v>12.748046875</v>
      </c>
      <c r="S23" s="53">
        <f t="shared" si="3"/>
        <v>6556.8107448107448</v>
      </c>
      <c r="T23" s="53">
        <f t="shared" si="4"/>
        <v>-29.810744810744836</v>
      </c>
    </row>
    <row r="24" spans="2:20" ht="15" customHeight="1" x14ac:dyDescent="0.3">
      <c r="B24" s="99">
        <v>17</v>
      </c>
      <c r="C24" s="24">
        <v>6212</v>
      </c>
      <c r="D24" s="49">
        <f t="shared" si="5"/>
        <v>12.1328125</v>
      </c>
      <c r="E24" s="155">
        <f t="shared" si="1"/>
        <v>6243.2063683116321</v>
      </c>
      <c r="F24" s="49">
        <f t="shared" si="6"/>
        <v>-31.206368311632104</v>
      </c>
      <c r="P24" s="99">
        <v>19</v>
      </c>
      <c r="Q24" s="24">
        <v>6940</v>
      </c>
      <c r="R24" s="49">
        <f t="shared" si="2"/>
        <v>13.5546875</v>
      </c>
      <c r="S24" s="53">
        <f t="shared" si="3"/>
        <v>6903.6050061050064</v>
      </c>
      <c r="T24" s="53">
        <f t="shared" si="4"/>
        <v>36.394993894993604</v>
      </c>
    </row>
    <row r="25" spans="2:20" ht="15" customHeight="1" x14ac:dyDescent="0.3">
      <c r="B25" s="99">
        <v>18</v>
      </c>
      <c r="C25" s="24">
        <v>6527</v>
      </c>
      <c r="D25" s="49">
        <f t="shared" si="5"/>
        <v>12.748046875</v>
      </c>
      <c r="E25" s="155">
        <f t="shared" si="1"/>
        <v>6602.5132946711901</v>
      </c>
      <c r="F25" s="49">
        <f t="shared" si="6"/>
        <v>-75.513294671190124</v>
      </c>
      <c r="P25" s="99">
        <v>20</v>
      </c>
      <c r="Q25" s="24">
        <v>7263</v>
      </c>
      <c r="R25" s="49">
        <f t="shared" si="2"/>
        <v>14.185546875</v>
      </c>
      <c r="S25" s="53">
        <f t="shared" si="3"/>
        <v>7250.399267399267</v>
      </c>
      <c r="T25" s="53">
        <f t="shared" si="4"/>
        <v>12.600732600732954</v>
      </c>
    </row>
    <row r="26" spans="2:20" ht="15" customHeight="1" x14ac:dyDescent="0.3">
      <c r="B26" s="99">
        <v>19</v>
      </c>
      <c r="C26" s="24">
        <v>6940</v>
      </c>
      <c r="D26" s="49">
        <f t="shared" si="5"/>
        <v>13.5546875</v>
      </c>
      <c r="E26" s="155">
        <f t="shared" si="1"/>
        <v>6961.8202210307481</v>
      </c>
      <c r="F26" s="49">
        <f t="shared" si="6"/>
        <v>-21.820221030748144</v>
      </c>
      <c r="P26" s="99">
        <f t="shared" ref="P26:P34" si="7">P25+1</f>
        <v>21</v>
      </c>
      <c r="Q26" s="24">
        <v>7603</v>
      </c>
      <c r="R26" s="49">
        <f t="shared" si="2"/>
        <v>14.849609375</v>
      </c>
      <c r="S26" s="53">
        <f t="shared" si="3"/>
        <v>7597.1935286935286</v>
      </c>
      <c r="T26" s="53">
        <f t="shared" si="4"/>
        <v>5.8064713064713942</v>
      </c>
    </row>
    <row r="27" spans="2:20" ht="15" customHeight="1" x14ac:dyDescent="0.3">
      <c r="B27" s="99">
        <v>20</v>
      </c>
      <c r="C27" s="24">
        <v>7263</v>
      </c>
      <c r="D27" s="49">
        <f t="shared" si="5"/>
        <v>14.185546875</v>
      </c>
      <c r="E27" s="155">
        <f t="shared" si="1"/>
        <v>7321.1271473903062</v>
      </c>
      <c r="F27" s="49">
        <f t="shared" si="6"/>
        <v>-58.127147390306163</v>
      </c>
      <c r="P27" s="99">
        <f t="shared" si="7"/>
        <v>22</v>
      </c>
      <c r="Q27" s="24">
        <v>7976</v>
      </c>
      <c r="R27" s="49">
        <f t="shared" si="2"/>
        <v>15.578125</v>
      </c>
      <c r="S27" s="53">
        <f t="shared" si="3"/>
        <v>7943.9877899877902</v>
      </c>
      <c r="T27" s="53">
        <f t="shared" si="4"/>
        <v>32.012210012209835</v>
      </c>
    </row>
    <row r="28" spans="2:20" ht="15" customHeight="1" x14ac:dyDescent="0.3">
      <c r="B28" s="99">
        <f t="shared" ref="B28:B45" si="8">B27+1</f>
        <v>21</v>
      </c>
      <c r="C28" s="24">
        <v>7603</v>
      </c>
      <c r="D28" s="49">
        <f t="shared" si="5"/>
        <v>14.849609375</v>
      </c>
      <c r="E28" s="155">
        <f t="shared" si="1"/>
        <v>7680.4340737498642</v>
      </c>
      <c r="F28" s="49">
        <f t="shared" si="6"/>
        <v>-77.434073749864183</v>
      </c>
      <c r="P28" s="99">
        <f t="shared" si="7"/>
        <v>23</v>
      </c>
      <c r="Q28" s="24">
        <v>8279</v>
      </c>
      <c r="R28" s="49">
        <f t="shared" si="2"/>
        <v>16.169921875</v>
      </c>
      <c r="S28" s="53">
        <f t="shared" si="3"/>
        <v>8290.7820512820508</v>
      </c>
      <c r="T28" s="53">
        <f t="shared" si="4"/>
        <v>-11.782051282050816</v>
      </c>
    </row>
    <row r="29" spans="2:20" ht="15" customHeight="1" x14ac:dyDescent="0.3">
      <c r="B29" s="99">
        <f t="shared" si="8"/>
        <v>22</v>
      </c>
      <c r="C29" s="24">
        <v>7976</v>
      </c>
      <c r="D29" s="49">
        <f t="shared" si="5"/>
        <v>15.578125</v>
      </c>
      <c r="E29" s="155">
        <f t="shared" si="1"/>
        <v>8039.7410001094222</v>
      </c>
      <c r="F29" s="49">
        <f t="shared" si="6"/>
        <v>-63.741000109422203</v>
      </c>
      <c r="P29" s="99">
        <f t="shared" si="7"/>
        <v>24</v>
      </c>
      <c r="Q29" s="24">
        <v>8671</v>
      </c>
      <c r="R29" s="49">
        <f t="shared" si="2"/>
        <v>16.935546875</v>
      </c>
      <c r="S29" s="53">
        <f t="shared" si="3"/>
        <v>8637.5763125763133</v>
      </c>
      <c r="T29" s="53">
        <f t="shared" si="4"/>
        <v>33.423687423686715</v>
      </c>
    </row>
    <row r="30" spans="2:20" ht="15" customHeight="1" x14ac:dyDescent="0.3">
      <c r="B30" s="99">
        <f t="shared" si="8"/>
        <v>23</v>
      </c>
      <c r="C30" s="24">
        <v>8279</v>
      </c>
      <c r="D30" s="49">
        <f t="shared" si="5"/>
        <v>16.169921875</v>
      </c>
      <c r="E30" s="155">
        <f t="shared" si="1"/>
        <v>8399.0479264689802</v>
      </c>
      <c r="F30" s="49">
        <f t="shared" si="6"/>
        <v>-120.04792646898022</v>
      </c>
      <c r="P30" s="99">
        <f t="shared" si="7"/>
        <v>25</v>
      </c>
      <c r="Q30" s="24">
        <v>8948</v>
      </c>
      <c r="R30" s="49">
        <f t="shared" si="2"/>
        <v>17.4765625</v>
      </c>
      <c r="S30" s="53">
        <f t="shared" si="3"/>
        <v>8984.3705738705739</v>
      </c>
      <c r="T30" s="53">
        <f t="shared" si="4"/>
        <v>-36.370573870573935</v>
      </c>
    </row>
    <row r="31" spans="2:20" ht="15" customHeight="1" x14ac:dyDescent="0.3">
      <c r="B31" s="99">
        <f t="shared" si="8"/>
        <v>24</v>
      </c>
      <c r="C31" s="24">
        <v>8671</v>
      </c>
      <c r="D31" s="49">
        <f t="shared" si="5"/>
        <v>16.935546875</v>
      </c>
      <c r="E31" s="155">
        <f t="shared" si="1"/>
        <v>8758.3548528285373</v>
      </c>
      <c r="F31" s="49">
        <f t="shared" si="6"/>
        <v>-87.354852828537332</v>
      </c>
      <c r="P31" s="99">
        <f t="shared" si="7"/>
        <v>26</v>
      </c>
      <c r="Q31" s="24">
        <v>9366</v>
      </c>
      <c r="R31" s="49">
        <f t="shared" si="2"/>
        <v>18.29296875</v>
      </c>
      <c r="S31" s="53">
        <f t="shared" si="3"/>
        <v>9331.1648351648346</v>
      </c>
      <c r="T31" s="53">
        <f t="shared" si="4"/>
        <v>34.835164835165415</v>
      </c>
    </row>
    <row r="32" spans="2:20" ht="15" customHeight="1" x14ac:dyDescent="0.3">
      <c r="B32" s="99">
        <f t="shared" si="8"/>
        <v>25</v>
      </c>
      <c r="C32" s="24">
        <v>8948</v>
      </c>
      <c r="D32" s="49">
        <f t="shared" si="5"/>
        <v>17.4765625</v>
      </c>
      <c r="E32" s="155">
        <f t="shared" si="1"/>
        <v>9117.6617791880963</v>
      </c>
      <c r="F32" s="49">
        <f t="shared" si="6"/>
        <v>-169.66177918809626</v>
      </c>
      <c r="P32" s="99">
        <f t="shared" si="7"/>
        <v>27</v>
      </c>
      <c r="Q32" s="24">
        <v>9642</v>
      </c>
      <c r="R32" s="49">
        <f t="shared" si="2"/>
        <v>18.83203125</v>
      </c>
      <c r="S32" s="53">
        <f t="shared" si="3"/>
        <v>9677.9590964590952</v>
      </c>
      <c r="T32" s="53">
        <f t="shared" si="4"/>
        <v>-35.959096459095235</v>
      </c>
    </row>
    <row r="33" spans="2:20" ht="15" customHeight="1" x14ac:dyDescent="0.3">
      <c r="B33" s="99">
        <f t="shared" si="8"/>
        <v>26</v>
      </c>
      <c r="C33" s="24">
        <v>9366</v>
      </c>
      <c r="D33" s="49">
        <f t="shared" si="5"/>
        <v>18.29296875</v>
      </c>
      <c r="E33" s="155">
        <f t="shared" si="1"/>
        <v>9476.9687055476534</v>
      </c>
      <c r="F33" s="49">
        <f t="shared" si="6"/>
        <v>-110.96870554765337</v>
      </c>
      <c r="P33" s="99">
        <f t="shared" si="7"/>
        <v>28</v>
      </c>
      <c r="Q33" s="24">
        <v>10061</v>
      </c>
      <c r="R33" s="49">
        <f t="shared" si="2"/>
        <v>19.650390625</v>
      </c>
      <c r="S33" s="53">
        <f t="shared" si="3"/>
        <v>10024.753357753358</v>
      </c>
      <c r="T33" s="53">
        <f t="shared" si="4"/>
        <v>36.246642246642296</v>
      </c>
    </row>
    <row r="34" spans="2:20" ht="15" customHeight="1" thickBot="1" x14ac:dyDescent="0.35">
      <c r="B34" s="99">
        <f t="shared" si="8"/>
        <v>27</v>
      </c>
      <c r="C34" s="24">
        <v>9642</v>
      </c>
      <c r="D34" s="49">
        <f t="shared" si="5"/>
        <v>18.83203125</v>
      </c>
      <c r="E34" s="155">
        <f t="shared" si="1"/>
        <v>9836.2756319072123</v>
      </c>
      <c r="F34" s="49">
        <f t="shared" si="6"/>
        <v>-194.2756319072123</v>
      </c>
      <c r="P34" s="100">
        <f t="shared" si="7"/>
        <v>29</v>
      </c>
      <c r="Q34" s="25">
        <v>10329</v>
      </c>
      <c r="R34" s="57">
        <f t="shared" si="2"/>
        <v>20.173828125</v>
      </c>
      <c r="S34" s="58">
        <f t="shared" si="3"/>
        <v>10371.547619047618</v>
      </c>
      <c r="T34" s="58">
        <f t="shared" si="4"/>
        <v>-42.547619047618355</v>
      </c>
    </row>
    <row r="35" spans="2:20" ht="15" customHeight="1" x14ac:dyDescent="0.3">
      <c r="B35" s="99">
        <f t="shared" si="8"/>
        <v>28</v>
      </c>
      <c r="C35" s="24">
        <v>10061</v>
      </c>
      <c r="D35" s="49">
        <f t="shared" si="5"/>
        <v>19.650390625</v>
      </c>
      <c r="E35" s="155">
        <f t="shared" si="1"/>
        <v>10195.582558266769</v>
      </c>
      <c r="F35" s="49">
        <f t="shared" si="6"/>
        <v>-134.58255826676941</v>
      </c>
    </row>
    <row r="36" spans="2:20" ht="15" customHeight="1" x14ac:dyDescent="0.3">
      <c r="B36" s="99">
        <f t="shared" si="8"/>
        <v>29</v>
      </c>
      <c r="C36" s="24">
        <v>10329</v>
      </c>
      <c r="D36" s="49">
        <f t="shared" si="5"/>
        <v>20.173828125</v>
      </c>
      <c r="E36" s="155">
        <f t="shared" si="1"/>
        <v>10554.889484626328</v>
      </c>
      <c r="F36" s="49">
        <f t="shared" si="6"/>
        <v>-225.88948462632834</v>
      </c>
    </row>
    <row r="37" spans="2:20" ht="15" customHeight="1" x14ac:dyDescent="0.3">
      <c r="B37" s="88">
        <f t="shared" si="8"/>
        <v>30</v>
      </c>
      <c r="C37" s="27">
        <v>11031</v>
      </c>
      <c r="D37" s="89">
        <f t="shared" si="5"/>
        <v>21.544921875</v>
      </c>
      <c r="E37" s="156">
        <f t="shared" si="1"/>
        <v>10914.196410985885</v>
      </c>
      <c r="F37" s="89">
        <f t="shared" si="6"/>
        <v>116.80358901411455</v>
      </c>
    </row>
    <row r="38" spans="2:20" ht="15" customHeight="1" x14ac:dyDescent="0.3">
      <c r="B38" s="88">
        <f t="shared" si="8"/>
        <v>31</v>
      </c>
      <c r="C38" s="27">
        <v>11440</v>
      </c>
      <c r="D38" s="89">
        <f t="shared" si="5"/>
        <v>22.34375</v>
      </c>
      <c r="E38" s="156">
        <f t="shared" si="1"/>
        <v>11273.503337345444</v>
      </c>
      <c r="F38" s="89">
        <f t="shared" si="6"/>
        <v>166.49666265455562</v>
      </c>
    </row>
    <row r="39" spans="2:20" ht="15" customHeight="1" x14ac:dyDescent="0.3">
      <c r="B39" s="88">
        <f t="shared" si="8"/>
        <v>32</v>
      </c>
      <c r="C39" s="27">
        <v>11740</v>
      </c>
      <c r="D39" s="89">
        <f t="shared" si="5"/>
        <v>22.9296875</v>
      </c>
      <c r="E39" s="156">
        <f t="shared" si="1"/>
        <v>11632.810263705001</v>
      </c>
      <c r="F39" s="89">
        <f t="shared" si="6"/>
        <v>107.18973629499851</v>
      </c>
    </row>
    <row r="40" spans="2:20" ht="15" customHeight="1" x14ac:dyDescent="0.3">
      <c r="B40" s="88">
        <f t="shared" si="8"/>
        <v>33</v>
      </c>
      <c r="C40" s="27">
        <v>12128</v>
      </c>
      <c r="D40" s="89">
        <f t="shared" si="5"/>
        <v>23.6875</v>
      </c>
      <c r="E40" s="156">
        <f t="shared" si="1"/>
        <v>11992.117190064559</v>
      </c>
      <c r="F40" s="89">
        <f t="shared" si="6"/>
        <v>135.8828099354414</v>
      </c>
    </row>
    <row r="41" spans="2:20" ht="15" customHeight="1" x14ac:dyDescent="0.3">
      <c r="B41" s="88">
        <f t="shared" si="8"/>
        <v>34</v>
      </c>
      <c r="C41" s="27">
        <v>12445</v>
      </c>
      <c r="D41" s="89">
        <f t="shared" si="5"/>
        <v>24.306640625</v>
      </c>
      <c r="E41" s="156">
        <f t="shared" si="1"/>
        <v>12351.424116424118</v>
      </c>
      <c r="F41" s="89">
        <f t="shared" si="6"/>
        <v>93.575883575882472</v>
      </c>
    </row>
    <row r="42" spans="2:20" ht="15" customHeight="1" x14ac:dyDescent="0.3">
      <c r="B42" s="88">
        <f t="shared" si="8"/>
        <v>35</v>
      </c>
      <c r="C42" s="27">
        <v>12814</v>
      </c>
      <c r="D42" s="89">
        <f t="shared" si="5"/>
        <v>25.02734375</v>
      </c>
      <c r="E42" s="156">
        <f t="shared" si="1"/>
        <v>12710.731042783675</v>
      </c>
      <c r="F42" s="89">
        <f t="shared" si="6"/>
        <v>103.26895721632536</v>
      </c>
    </row>
    <row r="43" spans="2:20" ht="15" customHeight="1" x14ac:dyDescent="0.3">
      <c r="B43" s="88">
        <f t="shared" si="8"/>
        <v>36</v>
      </c>
      <c r="C43" s="27">
        <v>13151</v>
      </c>
      <c r="D43" s="89">
        <f t="shared" si="5"/>
        <v>25.685546875</v>
      </c>
      <c r="E43" s="156">
        <f t="shared" si="1"/>
        <v>13070.037969143234</v>
      </c>
      <c r="F43" s="89">
        <f t="shared" si="6"/>
        <v>80.962030856766432</v>
      </c>
    </row>
    <row r="44" spans="2:20" ht="15" customHeight="1" x14ac:dyDescent="0.3">
      <c r="B44" s="88">
        <f t="shared" si="8"/>
        <v>37</v>
      </c>
      <c r="C44" s="27">
        <v>13495</v>
      </c>
      <c r="D44" s="89">
        <f t="shared" si="5"/>
        <v>26.357421875</v>
      </c>
      <c r="E44" s="156">
        <f t="shared" si="1"/>
        <v>13429.344895502791</v>
      </c>
      <c r="F44" s="89">
        <f t="shared" si="6"/>
        <v>65.655104497209322</v>
      </c>
    </row>
    <row r="45" spans="2:20" ht="15" customHeight="1" thickBot="1" x14ac:dyDescent="0.35">
      <c r="B45" s="157">
        <f t="shared" si="8"/>
        <v>38</v>
      </c>
      <c r="C45" s="158">
        <v>13821</v>
      </c>
      <c r="D45" s="159">
        <f t="shared" si="5"/>
        <v>26.994140625</v>
      </c>
      <c r="E45" s="160">
        <f t="shared" si="1"/>
        <v>13788.65182186235</v>
      </c>
      <c r="F45" s="159">
        <f t="shared" si="6"/>
        <v>32.348178137650393</v>
      </c>
    </row>
    <row r="48" spans="2:20" ht="15" customHeight="1" x14ac:dyDescent="0.35">
      <c r="B48" s="406" t="s">
        <v>43</v>
      </c>
      <c r="C48" s="406"/>
      <c r="D48" s="406"/>
      <c r="E48" s="406"/>
    </row>
    <row r="49" spans="2:31" ht="15" customHeight="1" thickBot="1" x14ac:dyDescent="0.35"/>
    <row r="50" spans="2:31" ht="15" customHeight="1" thickBot="1" x14ac:dyDescent="0.4">
      <c r="B50" s="203" t="s">
        <v>7</v>
      </c>
      <c r="C50" s="151" t="s">
        <v>8</v>
      </c>
      <c r="D50" s="152" t="s">
        <v>39</v>
      </c>
      <c r="E50" s="151" t="s">
        <v>9</v>
      </c>
      <c r="F50" s="204" t="s">
        <v>10</v>
      </c>
      <c r="H50" s="431" t="s">
        <v>100</v>
      </c>
      <c r="I50" s="432"/>
      <c r="J50" s="432"/>
      <c r="K50" s="433"/>
      <c r="P50" s="203" t="s">
        <v>56</v>
      </c>
      <c r="Q50" s="151" t="s">
        <v>8</v>
      </c>
      <c r="R50" s="152" t="s">
        <v>39</v>
      </c>
      <c r="S50" s="151" t="s">
        <v>9</v>
      </c>
      <c r="T50" s="204" t="s">
        <v>10</v>
      </c>
      <c r="V50" s="431" t="s">
        <v>101</v>
      </c>
      <c r="W50" s="432"/>
      <c r="X50" s="432"/>
      <c r="Y50" s="433"/>
      <c r="AD50" s="104" t="s">
        <v>36</v>
      </c>
      <c r="AE50" s="77">
        <f>2*W51*(C$2)</f>
        <v>346.86032694523891</v>
      </c>
    </row>
    <row r="51" spans="2:31" ht="15" customHeight="1" thickBot="1" x14ac:dyDescent="0.4">
      <c r="B51" s="205">
        <v>1</v>
      </c>
      <c r="C51" s="206">
        <v>1384</v>
      </c>
      <c r="D51" s="98">
        <f>C51/(2*1024)</f>
        <v>0.67578125</v>
      </c>
      <c r="E51" s="37">
        <f>I$51*B51+J$51</f>
        <v>1370.8693693693697</v>
      </c>
      <c r="F51" s="50">
        <f>C51-E51</f>
        <v>13.130630630630321</v>
      </c>
      <c r="H51" s="104" t="s">
        <v>15</v>
      </c>
      <c r="I51" s="101">
        <f t="array" ref="I51:J53">LINEST(C51:C86,B51:B86,1,1)</f>
        <v>347.07413127413128</v>
      </c>
      <c r="J51" s="47">
        <v>1023.7952380952383</v>
      </c>
      <c r="K51" s="104" t="s">
        <v>12</v>
      </c>
      <c r="M51" s="108" t="s">
        <v>44</v>
      </c>
      <c r="N51" s="107">
        <f>2*J53</f>
        <v>24.286646519895207</v>
      </c>
      <c r="P51" s="215">
        <v>3</v>
      </c>
      <c r="Q51" s="216">
        <v>1384</v>
      </c>
      <c r="R51" s="217">
        <f>Q51/(2*1024)</f>
        <v>0.67578125</v>
      </c>
      <c r="S51" s="201">
        <f>W$51*P51+X$51</f>
        <v>1374.7137479192429</v>
      </c>
      <c r="T51" s="59">
        <f>Q51-S51</f>
        <v>9.2862520807570945</v>
      </c>
      <c r="V51" s="104" t="s">
        <v>15</v>
      </c>
      <c r="W51" s="101">
        <f t="array" ref="W51:X53">LINEST(Q51:Q84,P51:P84,1,1)</f>
        <v>346.86032694523891</v>
      </c>
      <c r="X51" s="47">
        <v>334.13276708352623</v>
      </c>
      <c r="Y51" s="104" t="s">
        <v>12</v>
      </c>
      <c r="AA51" s="108" t="s">
        <v>44</v>
      </c>
      <c r="AB51" s="107">
        <f>2*X53</f>
        <v>20.91603218807505</v>
      </c>
      <c r="AD51" s="99" t="s">
        <v>35</v>
      </c>
      <c r="AE51" s="78">
        <f>2*SQRT((W51*C$3)^2+(C$2*W52)^2)</f>
        <v>0.38994295807358342</v>
      </c>
    </row>
    <row r="52" spans="2:31" ht="15" customHeight="1" thickBot="1" x14ac:dyDescent="0.4">
      <c r="B52" s="207">
        <v>2</v>
      </c>
      <c r="C52" s="63">
        <v>1723</v>
      </c>
      <c r="D52" s="208">
        <f t="shared" ref="D52:D86" si="9">C52/(2*1024)</f>
        <v>0.84130859375</v>
      </c>
      <c r="E52" s="49">
        <f t="shared" ref="E52:E86" si="10">I$51*B52+J$51</f>
        <v>1717.943500643501</v>
      </c>
      <c r="F52" s="53">
        <f t="shared" ref="F52:F86" si="11">C52-E52</f>
        <v>5.0564993564989891</v>
      </c>
      <c r="H52" s="99" t="s">
        <v>16</v>
      </c>
      <c r="I52" s="102">
        <v>0.19482381559681705</v>
      </c>
      <c r="J52" s="52">
        <v>4.1336025037312725</v>
      </c>
      <c r="K52" s="99" t="s">
        <v>13</v>
      </c>
      <c r="M52" s="200" t="s">
        <v>45</v>
      </c>
      <c r="N52" s="107">
        <f>-2*J53</f>
        <v>-24.286646519895207</v>
      </c>
      <c r="P52" s="207">
        <v>4</v>
      </c>
      <c r="Q52" s="63">
        <v>1723</v>
      </c>
      <c r="R52" s="208">
        <f t="shared" ref="R52:R84" si="12">Q52/(2*1024)</f>
        <v>0.84130859375</v>
      </c>
      <c r="S52" s="49">
        <f t="shared" ref="S52:S84" si="13">W$51*P52+X$51</f>
        <v>1721.5740748644819</v>
      </c>
      <c r="T52" s="53">
        <f t="shared" ref="T52:T84" si="14">Q52-S52</f>
        <v>1.4259251355181277</v>
      </c>
      <c r="V52" s="99" t="s">
        <v>16</v>
      </c>
      <c r="W52" s="102">
        <v>0.17816684355574799</v>
      </c>
      <c r="X52" s="52">
        <v>4.04082382700481</v>
      </c>
      <c r="Y52" s="99" t="s">
        <v>13</v>
      </c>
      <c r="AA52" s="200" t="s">
        <v>45</v>
      </c>
      <c r="AB52" s="107">
        <f>-2*X53</f>
        <v>-20.91603218807505</v>
      </c>
      <c r="AD52" s="99" t="s">
        <v>31</v>
      </c>
      <c r="AE52" s="63">
        <f>AE51/AE50*100</f>
        <v>0.11242074338906631</v>
      </c>
    </row>
    <row r="53" spans="2:31" ht="15" customHeight="1" thickBot="1" x14ac:dyDescent="0.4">
      <c r="B53" s="207">
        <v>3</v>
      </c>
      <c r="C53" s="36">
        <v>2065</v>
      </c>
      <c r="D53" s="155">
        <f t="shared" si="9"/>
        <v>1.00830078125</v>
      </c>
      <c r="E53" s="49">
        <f t="shared" si="10"/>
        <v>2065.0176319176321</v>
      </c>
      <c r="F53" s="53">
        <f t="shared" si="11"/>
        <v>-1.7631917632115801E-2</v>
      </c>
      <c r="H53" s="100" t="s">
        <v>11</v>
      </c>
      <c r="I53" s="103">
        <v>0.99998928693195999</v>
      </c>
      <c r="J53" s="56">
        <v>12.143323259947604</v>
      </c>
      <c r="K53" s="100" t="s">
        <v>14</v>
      </c>
      <c r="P53" s="207">
        <v>5</v>
      </c>
      <c r="Q53" s="36">
        <v>2065</v>
      </c>
      <c r="R53" s="155">
        <f t="shared" si="12"/>
        <v>1.00830078125</v>
      </c>
      <c r="S53" s="49">
        <f t="shared" si="13"/>
        <v>2068.4344018097208</v>
      </c>
      <c r="T53" s="53">
        <f t="shared" si="14"/>
        <v>-3.4344018097208391</v>
      </c>
      <c r="V53" s="100" t="s">
        <v>11</v>
      </c>
      <c r="W53" s="103">
        <v>0.99999155711594168</v>
      </c>
      <c r="X53" s="56">
        <v>10.458016094037525</v>
      </c>
      <c r="Y53" s="100" t="s">
        <v>14</v>
      </c>
      <c r="AD53" s="148" t="s">
        <v>32</v>
      </c>
      <c r="AE53" s="62">
        <f>ABS(AE50-'1 extremo fechado - f(n)'!F$2)/'1 extremo fechado - f(n)'!F$2*100</f>
        <v>0.66989568566546631</v>
      </c>
    </row>
    <row r="54" spans="2:31" ht="15" customHeight="1" thickBot="1" x14ac:dyDescent="0.35">
      <c r="B54" s="207">
        <v>4</v>
      </c>
      <c r="C54" s="36">
        <v>2408</v>
      </c>
      <c r="D54" s="155">
        <f t="shared" si="9"/>
        <v>1.17578125</v>
      </c>
      <c r="E54" s="49">
        <f t="shared" si="10"/>
        <v>2412.0917631917637</v>
      </c>
      <c r="F54" s="53">
        <f t="shared" si="11"/>
        <v>-4.0917631917636754</v>
      </c>
      <c r="P54" s="207">
        <v>6</v>
      </c>
      <c r="Q54" s="36">
        <v>2408</v>
      </c>
      <c r="R54" s="155">
        <f t="shared" si="12"/>
        <v>1.17578125</v>
      </c>
      <c r="S54" s="49">
        <f t="shared" si="13"/>
        <v>2415.2947287549596</v>
      </c>
      <c r="T54" s="53">
        <f t="shared" si="14"/>
        <v>-7.2947287549595785</v>
      </c>
      <c r="AD54" s="35"/>
      <c r="AE54" s="35"/>
    </row>
    <row r="55" spans="2:31" ht="15" customHeight="1" x14ac:dyDescent="0.35">
      <c r="B55" s="207">
        <v>5</v>
      </c>
      <c r="C55" s="36">
        <v>2750</v>
      </c>
      <c r="D55" s="155">
        <f t="shared" si="9"/>
        <v>1.3427734375</v>
      </c>
      <c r="E55" s="49">
        <f t="shared" si="10"/>
        <v>2759.1658944658948</v>
      </c>
      <c r="F55" s="53">
        <f t="shared" si="11"/>
        <v>-9.1658944658947803</v>
      </c>
      <c r="P55" s="207">
        <v>7</v>
      </c>
      <c r="Q55" s="36">
        <v>2750</v>
      </c>
      <c r="R55" s="155">
        <f t="shared" si="12"/>
        <v>1.3427734375</v>
      </c>
      <c r="S55" s="49">
        <f t="shared" si="13"/>
        <v>2762.1550557001988</v>
      </c>
      <c r="T55" s="53">
        <f t="shared" si="14"/>
        <v>-12.155055700198773</v>
      </c>
      <c r="AD55" s="104" t="s">
        <v>37</v>
      </c>
      <c r="AE55" s="59">
        <f>2*C$2*X51</f>
        <v>334.13276708352623</v>
      </c>
    </row>
    <row r="56" spans="2:31" ht="15" customHeight="1" x14ac:dyDescent="0.35">
      <c r="B56" s="207">
        <v>6</v>
      </c>
      <c r="C56" s="36">
        <v>3091</v>
      </c>
      <c r="D56" s="155">
        <f t="shared" si="9"/>
        <v>1.50927734375</v>
      </c>
      <c r="E56" s="49">
        <f t="shared" si="10"/>
        <v>3106.2400257400259</v>
      </c>
      <c r="F56" s="53">
        <f t="shared" si="11"/>
        <v>-15.240025740025885</v>
      </c>
      <c r="P56" s="207">
        <v>8</v>
      </c>
      <c r="Q56" s="36">
        <v>3091</v>
      </c>
      <c r="R56" s="155">
        <f t="shared" si="12"/>
        <v>1.50927734375</v>
      </c>
      <c r="S56" s="49">
        <f t="shared" si="13"/>
        <v>3109.0153826454375</v>
      </c>
      <c r="T56" s="53">
        <f t="shared" si="14"/>
        <v>-18.015382645437512</v>
      </c>
      <c r="AD56" s="99" t="s">
        <v>38</v>
      </c>
      <c r="AE56" s="60">
        <f>2*SQRT((X51*C$3)^2+(C$2*X52)^2)</f>
        <v>4.0546148900886623</v>
      </c>
    </row>
    <row r="57" spans="2:31" ht="15" customHeight="1" x14ac:dyDescent="0.35">
      <c r="B57" s="212">
        <v>7</v>
      </c>
      <c r="C57" s="88">
        <v>3425</v>
      </c>
      <c r="D57" s="156">
        <f t="shared" si="9"/>
        <v>1.67236328125</v>
      </c>
      <c r="E57" s="89">
        <f t="shared" si="10"/>
        <v>3453.3141570141574</v>
      </c>
      <c r="F57" s="90">
        <f t="shared" si="11"/>
        <v>-28.314157014157445</v>
      </c>
      <c r="P57" s="207">
        <v>10</v>
      </c>
      <c r="Q57" s="36">
        <v>3804</v>
      </c>
      <c r="R57" s="155">
        <f t="shared" si="12"/>
        <v>1.857421875</v>
      </c>
      <c r="S57" s="49">
        <f t="shared" si="13"/>
        <v>3802.7360365359154</v>
      </c>
      <c r="T57" s="53">
        <f t="shared" si="14"/>
        <v>1.2639634640845543</v>
      </c>
      <c r="AD57" s="99" t="s">
        <v>34</v>
      </c>
      <c r="AE57" s="49">
        <f>AE56/AE55*100</f>
        <v>1.2134741903583173</v>
      </c>
    </row>
    <row r="58" spans="2:31" ht="15" customHeight="1" thickBot="1" x14ac:dyDescent="0.4">
      <c r="B58" s="207">
        <v>8</v>
      </c>
      <c r="C58" s="36">
        <v>3804</v>
      </c>
      <c r="D58" s="155">
        <f t="shared" si="9"/>
        <v>1.857421875</v>
      </c>
      <c r="E58" s="49">
        <f t="shared" si="10"/>
        <v>3800.3882882882885</v>
      </c>
      <c r="F58" s="53">
        <f t="shared" si="11"/>
        <v>3.6117117117114503</v>
      </c>
      <c r="P58" s="207">
        <v>11</v>
      </c>
      <c r="Q58" s="36">
        <v>4162</v>
      </c>
      <c r="R58" s="155">
        <f t="shared" si="12"/>
        <v>2.0322265625</v>
      </c>
      <c r="S58" s="49">
        <f t="shared" si="13"/>
        <v>4149.5963634811542</v>
      </c>
      <c r="T58" s="53">
        <f t="shared" si="14"/>
        <v>12.403636518845815</v>
      </c>
      <c r="AD58" s="148" t="s">
        <v>33</v>
      </c>
      <c r="AE58" s="62">
        <f>ABS(AE55-'1 extremo fechado - f(n)'!F$2)/'1 extremo fechado - f(n)'!F$2*100</f>
        <v>4.3146764533732984</v>
      </c>
    </row>
    <row r="59" spans="2:31" ht="15" customHeight="1" x14ac:dyDescent="0.3">
      <c r="B59" s="207">
        <v>9</v>
      </c>
      <c r="C59" s="36">
        <v>4162</v>
      </c>
      <c r="D59" s="155">
        <f t="shared" si="9"/>
        <v>2.0322265625</v>
      </c>
      <c r="E59" s="49">
        <f t="shared" si="10"/>
        <v>4147.4624195624201</v>
      </c>
      <c r="F59" s="53">
        <f t="shared" si="11"/>
        <v>14.537580437579891</v>
      </c>
      <c r="P59" s="207">
        <v>12</v>
      </c>
      <c r="Q59" s="36">
        <v>4508</v>
      </c>
      <c r="R59" s="155">
        <f t="shared" si="12"/>
        <v>2.201171875</v>
      </c>
      <c r="S59" s="49">
        <f t="shared" si="13"/>
        <v>4496.4566904263929</v>
      </c>
      <c r="T59" s="53">
        <f t="shared" si="14"/>
        <v>11.543309573607075</v>
      </c>
    </row>
    <row r="60" spans="2:31" ht="15" customHeight="1" x14ac:dyDescent="0.3">
      <c r="B60" s="207">
        <v>10</v>
      </c>
      <c r="C60" s="36">
        <v>4508</v>
      </c>
      <c r="D60" s="155">
        <f t="shared" si="9"/>
        <v>2.201171875</v>
      </c>
      <c r="E60" s="49">
        <f t="shared" si="10"/>
        <v>4494.5365508365512</v>
      </c>
      <c r="F60" s="53">
        <f t="shared" si="11"/>
        <v>13.463449163448786</v>
      </c>
      <c r="P60" s="207">
        <v>13</v>
      </c>
      <c r="Q60" s="36">
        <v>4847</v>
      </c>
      <c r="R60" s="155">
        <f t="shared" si="12"/>
        <v>2.36669921875</v>
      </c>
      <c r="S60" s="49">
        <f t="shared" si="13"/>
        <v>4843.3170173716317</v>
      </c>
      <c r="T60" s="53">
        <f t="shared" si="14"/>
        <v>3.682982628368336</v>
      </c>
    </row>
    <row r="61" spans="2:31" ht="15" customHeight="1" x14ac:dyDescent="0.3">
      <c r="B61" s="207">
        <v>11</v>
      </c>
      <c r="C61" s="36">
        <v>4847</v>
      </c>
      <c r="D61" s="155">
        <f t="shared" si="9"/>
        <v>2.36669921875</v>
      </c>
      <c r="E61" s="49">
        <f t="shared" si="10"/>
        <v>4841.6106821106823</v>
      </c>
      <c r="F61" s="53">
        <f t="shared" si="11"/>
        <v>5.389317889317681</v>
      </c>
      <c r="P61" s="207">
        <v>14</v>
      </c>
      <c r="Q61" s="36">
        <v>5192</v>
      </c>
      <c r="R61" s="155">
        <f t="shared" si="12"/>
        <v>2.53515625</v>
      </c>
      <c r="S61" s="49">
        <f t="shared" si="13"/>
        <v>5190.1773443168713</v>
      </c>
      <c r="T61" s="53">
        <f t="shared" si="14"/>
        <v>1.8226556831286871</v>
      </c>
    </row>
    <row r="62" spans="2:31" ht="15" customHeight="1" x14ac:dyDescent="0.3">
      <c r="B62" s="207">
        <v>12</v>
      </c>
      <c r="C62" s="36">
        <v>5192</v>
      </c>
      <c r="D62" s="155">
        <f t="shared" si="9"/>
        <v>2.53515625</v>
      </c>
      <c r="E62" s="49">
        <f t="shared" si="10"/>
        <v>5188.6848133848134</v>
      </c>
      <c r="F62" s="53">
        <f t="shared" si="11"/>
        <v>3.3151866151865761</v>
      </c>
      <c r="P62" s="207">
        <v>15</v>
      </c>
      <c r="Q62" s="36">
        <v>5537</v>
      </c>
      <c r="R62" s="155">
        <f t="shared" si="12"/>
        <v>2.70361328125</v>
      </c>
      <c r="S62" s="49">
        <f t="shared" si="13"/>
        <v>5537.0376712621101</v>
      </c>
      <c r="T62" s="53">
        <f t="shared" si="14"/>
        <v>-3.7671262110052339E-2</v>
      </c>
    </row>
    <row r="63" spans="2:31" ht="15" customHeight="1" x14ac:dyDescent="0.3">
      <c r="B63" s="207">
        <v>13</v>
      </c>
      <c r="C63" s="36">
        <v>5537</v>
      </c>
      <c r="D63" s="155">
        <f t="shared" si="9"/>
        <v>2.70361328125</v>
      </c>
      <c r="E63" s="49">
        <f t="shared" si="10"/>
        <v>5535.7589446589445</v>
      </c>
      <c r="F63" s="53">
        <f t="shared" si="11"/>
        <v>1.2410553410554712</v>
      </c>
      <c r="P63" s="207">
        <v>16</v>
      </c>
      <c r="Q63" s="36">
        <v>5880</v>
      </c>
      <c r="R63" s="155">
        <f t="shared" si="12"/>
        <v>2.87109375</v>
      </c>
      <c r="S63" s="49">
        <f t="shared" si="13"/>
        <v>5883.8979982073488</v>
      </c>
      <c r="T63" s="53">
        <f t="shared" si="14"/>
        <v>-3.8979982073487918</v>
      </c>
    </row>
    <row r="64" spans="2:31" ht="15" customHeight="1" x14ac:dyDescent="0.3">
      <c r="B64" s="207">
        <v>14</v>
      </c>
      <c r="C64" s="36">
        <v>5880</v>
      </c>
      <c r="D64" s="155">
        <f t="shared" si="9"/>
        <v>2.87109375</v>
      </c>
      <c r="E64" s="49">
        <f t="shared" si="10"/>
        <v>5882.8330759330765</v>
      </c>
      <c r="F64" s="53">
        <f t="shared" si="11"/>
        <v>-2.8330759330765432</v>
      </c>
      <c r="P64" s="207">
        <v>17</v>
      </c>
      <c r="Q64" s="36">
        <v>6238</v>
      </c>
      <c r="R64" s="155">
        <f t="shared" si="12"/>
        <v>3.0458984375</v>
      </c>
      <c r="S64" s="49">
        <f t="shared" si="13"/>
        <v>6230.7583251525875</v>
      </c>
      <c r="T64" s="53">
        <f t="shared" si="14"/>
        <v>7.2416748474124688</v>
      </c>
    </row>
    <row r="65" spans="2:20" ht="15" customHeight="1" x14ac:dyDescent="0.3">
      <c r="B65" s="207">
        <v>15</v>
      </c>
      <c r="C65" s="36">
        <v>6238</v>
      </c>
      <c r="D65" s="155">
        <f t="shared" si="9"/>
        <v>3.0458984375</v>
      </c>
      <c r="E65" s="49">
        <f t="shared" si="10"/>
        <v>6229.9072072072076</v>
      </c>
      <c r="F65" s="53">
        <f t="shared" si="11"/>
        <v>8.092792792792352</v>
      </c>
      <c r="P65" s="207">
        <v>18</v>
      </c>
      <c r="Q65" s="36">
        <v>6572</v>
      </c>
      <c r="R65" s="155">
        <f t="shared" si="12"/>
        <v>3.208984375</v>
      </c>
      <c r="S65" s="49">
        <f t="shared" si="13"/>
        <v>6577.6186520978263</v>
      </c>
      <c r="T65" s="53">
        <f t="shared" si="14"/>
        <v>-5.6186520978262706</v>
      </c>
    </row>
    <row r="66" spans="2:20" ht="15" customHeight="1" x14ac:dyDescent="0.3">
      <c r="B66" s="207">
        <v>16</v>
      </c>
      <c r="C66" s="36">
        <v>6572</v>
      </c>
      <c r="D66" s="155">
        <f t="shared" si="9"/>
        <v>3.208984375</v>
      </c>
      <c r="E66" s="49">
        <f t="shared" si="10"/>
        <v>6576.9813384813388</v>
      </c>
      <c r="F66" s="53">
        <f t="shared" si="11"/>
        <v>-4.9813384813387529</v>
      </c>
      <c r="P66" s="207">
        <v>19</v>
      </c>
      <c r="Q66" s="36">
        <v>6934</v>
      </c>
      <c r="R66" s="155">
        <f t="shared" si="12"/>
        <v>3.3857421875</v>
      </c>
      <c r="S66" s="49">
        <f t="shared" si="13"/>
        <v>6924.4789790430659</v>
      </c>
      <c r="T66" s="53">
        <f t="shared" si="14"/>
        <v>9.5210209569340805</v>
      </c>
    </row>
    <row r="67" spans="2:20" ht="15" customHeight="1" x14ac:dyDescent="0.3">
      <c r="B67" s="207">
        <v>17</v>
      </c>
      <c r="C67" s="36">
        <v>6934</v>
      </c>
      <c r="D67" s="155">
        <f t="shared" si="9"/>
        <v>3.3857421875</v>
      </c>
      <c r="E67" s="49">
        <f t="shared" si="10"/>
        <v>6924.0554697554699</v>
      </c>
      <c r="F67" s="53">
        <f t="shared" si="11"/>
        <v>9.9445302445301422</v>
      </c>
      <c r="P67" s="207">
        <v>20</v>
      </c>
      <c r="Q67" s="36">
        <v>7274</v>
      </c>
      <c r="R67" s="155">
        <f t="shared" si="12"/>
        <v>3.5517578125</v>
      </c>
      <c r="S67" s="49">
        <f t="shared" si="13"/>
        <v>7271.3393059883047</v>
      </c>
      <c r="T67" s="53">
        <f t="shared" si="14"/>
        <v>2.660694011695341</v>
      </c>
    </row>
    <row r="68" spans="2:20" ht="15" customHeight="1" x14ac:dyDescent="0.3">
      <c r="B68" s="207">
        <v>18</v>
      </c>
      <c r="C68" s="36">
        <v>7274</v>
      </c>
      <c r="D68" s="155">
        <f t="shared" si="9"/>
        <v>3.5517578125</v>
      </c>
      <c r="E68" s="49">
        <f t="shared" si="10"/>
        <v>7271.129601029601</v>
      </c>
      <c r="F68" s="53">
        <f t="shared" si="11"/>
        <v>2.8703989703990374</v>
      </c>
      <c r="P68" s="207">
        <v>21</v>
      </c>
      <c r="Q68" s="36">
        <v>7619</v>
      </c>
      <c r="R68" s="155">
        <f t="shared" si="12"/>
        <v>3.72021484375</v>
      </c>
      <c r="S68" s="49">
        <f t="shared" si="13"/>
        <v>7618.1996329335434</v>
      </c>
      <c r="T68" s="53">
        <f t="shared" si="14"/>
        <v>0.80036706645660161</v>
      </c>
    </row>
    <row r="69" spans="2:20" ht="15" customHeight="1" x14ac:dyDescent="0.3">
      <c r="B69" s="207">
        <v>19</v>
      </c>
      <c r="C69" s="36">
        <v>7619</v>
      </c>
      <c r="D69" s="155">
        <f t="shared" si="9"/>
        <v>3.72021484375</v>
      </c>
      <c r="E69" s="49">
        <f t="shared" si="10"/>
        <v>7618.203732303733</v>
      </c>
      <c r="F69" s="53">
        <f t="shared" si="11"/>
        <v>0.79626769626702298</v>
      </c>
      <c r="P69" s="207">
        <v>22</v>
      </c>
      <c r="Q69" s="36">
        <v>7977</v>
      </c>
      <c r="R69" s="155">
        <f t="shared" si="12"/>
        <v>3.89501953125</v>
      </c>
      <c r="S69" s="49">
        <f t="shared" si="13"/>
        <v>7965.0599598787821</v>
      </c>
      <c r="T69" s="53">
        <f t="shared" si="14"/>
        <v>11.940040121217862</v>
      </c>
    </row>
    <row r="70" spans="2:20" ht="15" customHeight="1" x14ac:dyDescent="0.3">
      <c r="B70" s="207">
        <v>20</v>
      </c>
      <c r="C70" s="36">
        <v>7977</v>
      </c>
      <c r="D70" s="155">
        <f t="shared" si="9"/>
        <v>3.89501953125</v>
      </c>
      <c r="E70" s="49">
        <f t="shared" si="10"/>
        <v>7965.2778635778641</v>
      </c>
      <c r="F70" s="53">
        <f t="shared" si="11"/>
        <v>11.722136422135918</v>
      </c>
      <c r="P70" s="207">
        <v>23</v>
      </c>
      <c r="Q70" s="36">
        <v>8305</v>
      </c>
      <c r="R70" s="155">
        <f t="shared" si="12"/>
        <v>4.05517578125</v>
      </c>
      <c r="S70" s="49">
        <f t="shared" si="13"/>
        <v>8311.9202868240209</v>
      </c>
      <c r="T70" s="53">
        <f t="shared" si="14"/>
        <v>-6.9202868240208772</v>
      </c>
    </row>
    <row r="71" spans="2:20" ht="15" customHeight="1" x14ac:dyDescent="0.3">
      <c r="B71" s="207">
        <v>21</v>
      </c>
      <c r="C71" s="36">
        <v>8305</v>
      </c>
      <c r="D71" s="155">
        <f t="shared" si="9"/>
        <v>4.05517578125</v>
      </c>
      <c r="E71" s="49">
        <f t="shared" si="10"/>
        <v>8312.3519948519952</v>
      </c>
      <c r="F71" s="53">
        <f t="shared" si="11"/>
        <v>-7.3519948519951868</v>
      </c>
      <c r="P71" s="207">
        <v>24</v>
      </c>
      <c r="Q71" s="36">
        <v>8665</v>
      </c>
      <c r="R71" s="155">
        <f t="shared" si="12"/>
        <v>4.23095703125</v>
      </c>
      <c r="S71" s="49">
        <f t="shared" si="13"/>
        <v>8658.7806137692605</v>
      </c>
      <c r="T71" s="53">
        <f t="shared" si="14"/>
        <v>6.2193862307394738</v>
      </c>
    </row>
    <row r="72" spans="2:20" ht="15" customHeight="1" x14ac:dyDescent="0.3">
      <c r="B72" s="207">
        <v>22</v>
      </c>
      <c r="C72" s="36">
        <v>8665</v>
      </c>
      <c r="D72" s="155">
        <f t="shared" si="9"/>
        <v>4.23095703125</v>
      </c>
      <c r="E72" s="49">
        <f t="shared" si="10"/>
        <v>8659.4261261261272</v>
      </c>
      <c r="F72" s="53">
        <f t="shared" si="11"/>
        <v>5.5738738738727989</v>
      </c>
      <c r="P72" s="207">
        <v>25</v>
      </c>
      <c r="Q72" s="36">
        <v>8989</v>
      </c>
      <c r="R72" s="155">
        <f t="shared" si="12"/>
        <v>4.38916015625</v>
      </c>
      <c r="S72" s="49">
        <f t="shared" si="13"/>
        <v>9005.6409407145002</v>
      </c>
      <c r="T72" s="53">
        <f t="shared" si="14"/>
        <v>-16.640940714500175</v>
      </c>
    </row>
    <row r="73" spans="2:20" ht="15" customHeight="1" x14ac:dyDescent="0.3">
      <c r="B73" s="207">
        <v>23</v>
      </c>
      <c r="C73" s="36">
        <v>8989</v>
      </c>
      <c r="D73" s="155">
        <f t="shared" si="9"/>
        <v>4.38916015625</v>
      </c>
      <c r="E73" s="49">
        <f t="shared" si="10"/>
        <v>9006.5002574002574</v>
      </c>
      <c r="F73" s="53">
        <f t="shared" si="11"/>
        <v>-17.500257400257397</v>
      </c>
      <c r="P73" s="207">
        <v>26</v>
      </c>
      <c r="Q73" s="36">
        <v>9362</v>
      </c>
      <c r="R73" s="155">
        <f t="shared" si="12"/>
        <v>4.5712890625</v>
      </c>
      <c r="S73" s="49">
        <f t="shared" si="13"/>
        <v>9352.5012676597362</v>
      </c>
      <c r="T73" s="53">
        <f t="shared" si="14"/>
        <v>9.498732340263814</v>
      </c>
    </row>
    <row r="74" spans="2:20" ht="15" customHeight="1" x14ac:dyDescent="0.3">
      <c r="B74" s="207">
        <v>24</v>
      </c>
      <c r="C74" s="36">
        <v>9362</v>
      </c>
      <c r="D74" s="155">
        <f t="shared" si="9"/>
        <v>4.5712890625</v>
      </c>
      <c r="E74" s="49">
        <f t="shared" si="10"/>
        <v>9353.5743886743876</v>
      </c>
      <c r="F74" s="53">
        <f t="shared" si="11"/>
        <v>8.4256113256124081</v>
      </c>
      <c r="P74" s="207">
        <v>27</v>
      </c>
      <c r="Q74" s="36">
        <v>9680</v>
      </c>
      <c r="R74" s="155">
        <f t="shared" si="12"/>
        <v>4.7265625</v>
      </c>
      <c r="S74" s="49">
        <f t="shared" si="13"/>
        <v>9699.3615946049758</v>
      </c>
      <c r="T74" s="53">
        <f t="shared" si="14"/>
        <v>-19.361594604975835</v>
      </c>
    </row>
    <row r="75" spans="2:20" ht="15" customHeight="1" x14ac:dyDescent="0.3">
      <c r="B75" s="207">
        <v>25</v>
      </c>
      <c r="C75" s="36">
        <v>9680</v>
      </c>
      <c r="D75" s="155">
        <f t="shared" si="9"/>
        <v>4.7265625</v>
      </c>
      <c r="E75" s="49">
        <f t="shared" si="10"/>
        <v>9700.6485199485214</v>
      </c>
      <c r="F75" s="53">
        <f t="shared" si="11"/>
        <v>-20.648519948521425</v>
      </c>
      <c r="P75" s="207">
        <v>28</v>
      </c>
      <c r="Q75" s="36">
        <v>10063</v>
      </c>
      <c r="R75" s="155">
        <f t="shared" si="12"/>
        <v>4.91357421875</v>
      </c>
      <c r="S75" s="49">
        <f t="shared" si="13"/>
        <v>10046.221921550215</v>
      </c>
      <c r="T75" s="53">
        <f t="shared" si="14"/>
        <v>16.778078449784516</v>
      </c>
    </row>
    <row r="76" spans="2:20" ht="15" customHeight="1" x14ac:dyDescent="0.3">
      <c r="B76" s="207">
        <v>26</v>
      </c>
      <c r="C76" s="36">
        <v>10063</v>
      </c>
      <c r="D76" s="155">
        <f t="shared" si="9"/>
        <v>4.91357421875</v>
      </c>
      <c r="E76" s="49">
        <f t="shared" si="10"/>
        <v>10047.722651222652</v>
      </c>
      <c r="F76" s="53">
        <f t="shared" si="11"/>
        <v>15.277348777348379</v>
      </c>
      <c r="P76" s="207">
        <v>29</v>
      </c>
      <c r="Q76" s="36">
        <v>10373</v>
      </c>
      <c r="R76" s="155">
        <f t="shared" si="12"/>
        <v>5.06494140625</v>
      </c>
      <c r="S76" s="49">
        <f t="shared" si="13"/>
        <v>10393.082248495455</v>
      </c>
      <c r="T76" s="53">
        <f t="shared" si="14"/>
        <v>-20.082248495455133</v>
      </c>
    </row>
    <row r="77" spans="2:20" ht="15" customHeight="1" x14ac:dyDescent="0.3">
      <c r="B77" s="207">
        <v>27</v>
      </c>
      <c r="C77" s="36">
        <v>10373</v>
      </c>
      <c r="D77" s="155">
        <f t="shared" si="9"/>
        <v>5.06494140625</v>
      </c>
      <c r="E77" s="49">
        <f t="shared" si="10"/>
        <v>10394.796782496782</v>
      </c>
      <c r="F77" s="53">
        <f t="shared" si="11"/>
        <v>-21.796782496781816</v>
      </c>
      <c r="P77" s="207">
        <v>30</v>
      </c>
      <c r="Q77" s="36">
        <v>10751</v>
      </c>
      <c r="R77" s="155">
        <f t="shared" si="12"/>
        <v>5.24951171875</v>
      </c>
      <c r="S77" s="49">
        <f t="shared" si="13"/>
        <v>10739.942575440695</v>
      </c>
      <c r="T77" s="53">
        <f t="shared" si="14"/>
        <v>11.057424559305218</v>
      </c>
    </row>
    <row r="78" spans="2:20" ht="15" customHeight="1" x14ac:dyDescent="0.3">
      <c r="B78" s="207">
        <v>28</v>
      </c>
      <c r="C78" s="36">
        <v>10751</v>
      </c>
      <c r="D78" s="155">
        <f t="shared" si="9"/>
        <v>5.24951171875</v>
      </c>
      <c r="E78" s="49">
        <f t="shared" si="10"/>
        <v>10741.870913770916</v>
      </c>
      <c r="F78" s="53">
        <f t="shared" si="11"/>
        <v>9.1290862290843506</v>
      </c>
      <c r="P78" s="207">
        <v>31</v>
      </c>
      <c r="Q78" s="36">
        <v>11072</v>
      </c>
      <c r="R78" s="155">
        <f t="shared" si="12"/>
        <v>5.40625</v>
      </c>
      <c r="S78" s="49">
        <f t="shared" si="13"/>
        <v>11086.802902385931</v>
      </c>
      <c r="T78" s="53">
        <f t="shared" si="14"/>
        <v>-14.802902385930793</v>
      </c>
    </row>
    <row r="79" spans="2:20" ht="15" customHeight="1" x14ac:dyDescent="0.3">
      <c r="B79" s="207">
        <v>29</v>
      </c>
      <c r="C79" s="36">
        <v>11072</v>
      </c>
      <c r="D79" s="155">
        <f t="shared" si="9"/>
        <v>5.40625</v>
      </c>
      <c r="E79" s="49">
        <f t="shared" si="10"/>
        <v>11088.945045045046</v>
      </c>
      <c r="F79" s="53">
        <f t="shared" si="11"/>
        <v>-16.945045045045845</v>
      </c>
      <c r="P79" s="207">
        <v>32</v>
      </c>
      <c r="Q79" s="36">
        <v>11448</v>
      </c>
      <c r="R79" s="155">
        <f t="shared" si="12"/>
        <v>5.58984375</v>
      </c>
      <c r="S79" s="49">
        <f t="shared" si="13"/>
        <v>11433.66322933117</v>
      </c>
      <c r="T79" s="53">
        <f t="shared" si="14"/>
        <v>14.336770668829558</v>
      </c>
    </row>
    <row r="80" spans="2:20" ht="15" customHeight="1" x14ac:dyDescent="0.3">
      <c r="B80" s="207">
        <v>30</v>
      </c>
      <c r="C80" s="36">
        <v>11448</v>
      </c>
      <c r="D80" s="155">
        <f t="shared" si="9"/>
        <v>5.58984375</v>
      </c>
      <c r="E80" s="49">
        <f t="shared" si="10"/>
        <v>11436.019176319176</v>
      </c>
      <c r="F80" s="53">
        <f t="shared" si="11"/>
        <v>11.98082368082396</v>
      </c>
      <c r="P80" s="207">
        <v>33</v>
      </c>
      <c r="Q80" s="36">
        <v>11772</v>
      </c>
      <c r="R80" s="155">
        <f t="shared" si="12"/>
        <v>5.748046875</v>
      </c>
      <c r="S80" s="49">
        <f t="shared" si="13"/>
        <v>11780.52355627641</v>
      </c>
      <c r="T80" s="53">
        <f t="shared" si="14"/>
        <v>-8.5235562764100905</v>
      </c>
    </row>
    <row r="81" spans="2:20" ht="15" customHeight="1" x14ac:dyDescent="0.3">
      <c r="B81" s="207">
        <v>31</v>
      </c>
      <c r="C81" s="36">
        <v>11772</v>
      </c>
      <c r="D81" s="155">
        <f t="shared" si="9"/>
        <v>5.748046875</v>
      </c>
      <c r="E81" s="49">
        <f t="shared" si="10"/>
        <v>11783.093307593306</v>
      </c>
      <c r="F81" s="53">
        <f t="shared" si="11"/>
        <v>-11.093307593306236</v>
      </c>
      <c r="P81" s="207">
        <v>34</v>
      </c>
      <c r="Q81" s="36">
        <v>12133</v>
      </c>
      <c r="R81" s="155">
        <f t="shared" si="12"/>
        <v>5.92431640625</v>
      </c>
      <c r="S81" s="49">
        <f t="shared" si="13"/>
        <v>12127.38388322165</v>
      </c>
      <c r="T81" s="53">
        <f t="shared" si="14"/>
        <v>5.6161167783502606</v>
      </c>
    </row>
    <row r="82" spans="2:20" ht="15" customHeight="1" x14ac:dyDescent="0.3">
      <c r="B82" s="207">
        <v>32</v>
      </c>
      <c r="C82" s="36">
        <v>12133</v>
      </c>
      <c r="D82" s="155">
        <f t="shared" si="9"/>
        <v>5.92431640625</v>
      </c>
      <c r="E82" s="49">
        <f t="shared" si="10"/>
        <v>12130.16743886744</v>
      </c>
      <c r="F82" s="53">
        <f t="shared" si="11"/>
        <v>2.8325611325599311</v>
      </c>
      <c r="P82" s="207">
        <v>35</v>
      </c>
      <c r="Q82" s="36">
        <v>12468</v>
      </c>
      <c r="R82" s="155">
        <f t="shared" si="12"/>
        <v>6.087890625</v>
      </c>
      <c r="S82" s="49">
        <f t="shared" si="13"/>
        <v>12474.244210166889</v>
      </c>
      <c r="T82" s="53">
        <f t="shared" si="14"/>
        <v>-6.2442101668893883</v>
      </c>
    </row>
    <row r="83" spans="2:20" ht="15" customHeight="1" x14ac:dyDescent="0.3">
      <c r="B83" s="207">
        <v>33</v>
      </c>
      <c r="C83" s="36">
        <v>12468</v>
      </c>
      <c r="D83" s="155">
        <f t="shared" si="9"/>
        <v>6.087890625</v>
      </c>
      <c r="E83" s="49">
        <f t="shared" si="10"/>
        <v>12477.24157014157</v>
      </c>
      <c r="F83" s="53">
        <f t="shared" si="11"/>
        <v>-9.2415701415702642</v>
      </c>
      <c r="P83" s="207">
        <v>36</v>
      </c>
      <c r="Q83" s="36">
        <v>12826</v>
      </c>
      <c r="R83" s="155">
        <f t="shared" si="12"/>
        <v>6.2626953125</v>
      </c>
      <c r="S83" s="49">
        <f t="shared" si="13"/>
        <v>12821.104537112125</v>
      </c>
      <c r="T83" s="53">
        <f t="shared" si="14"/>
        <v>4.8954628878746007</v>
      </c>
    </row>
    <row r="84" spans="2:20" ht="15" customHeight="1" thickBot="1" x14ac:dyDescent="0.35">
      <c r="B84" s="207">
        <v>34</v>
      </c>
      <c r="C84" s="36">
        <v>12826</v>
      </c>
      <c r="D84" s="155">
        <f t="shared" si="9"/>
        <v>6.2626953125</v>
      </c>
      <c r="E84" s="49">
        <f t="shared" si="10"/>
        <v>12824.3157014157</v>
      </c>
      <c r="F84" s="53">
        <f t="shared" si="11"/>
        <v>1.6842985842995404</v>
      </c>
      <c r="P84" s="209">
        <v>37</v>
      </c>
      <c r="Q84" s="210">
        <v>13169</v>
      </c>
      <c r="R84" s="211">
        <f t="shared" si="12"/>
        <v>6.43017578125</v>
      </c>
      <c r="S84" s="57">
        <f t="shared" si="13"/>
        <v>13167.964864057365</v>
      </c>
      <c r="T84" s="58">
        <f t="shared" si="14"/>
        <v>1.0351359426349518</v>
      </c>
    </row>
    <row r="85" spans="2:20" ht="15" customHeight="1" x14ac:dyDescent="0.3">
      <c r="B85" s="207">
        <v>35</v>
      </c>
      <c r="C85" s="36">
        <v>13169</v>
      </c>
      <c r="D85" s="155">
        <f t="shared" si="9"/>
        <v>6.43017578125</v>
      </c>
      <c r="E85" s="49">
        <f t="shared" si="10"/>
        <v>13171.389832689834</v>
      </c>
      <c r="F85" s="53">
        <f t="shared" si="11"/>
        <v>-2.389832689834293</v>
      </c>
    </row>
    <row r="86" spans="2:20" ht="15" customHeight="1" thickBot="1" x14ac:dyDescent="0.35">
      <c r="B86" s="213">
        <v>36</v>
      </c>
      <c r="C86" s="157">
        <v>13542</v>
      </c>
      <c r="D86" s="160">
        <f t="shared" si="9"/>
        <v>6.6123046875</v>
      </c>
      <c r="E86" s="159">
        <f t="shared" si="10"/>
        <v>13518.463963963964</v>
      </c>
      <c r="F86" s="214">
        <f t="shared" si="11"/>
        <v>23.536036036035512</v>
      </c>
    </row>
    <row r="88" spans="2:20" ht="15" customHeight="1" thickBot="1" x14ac:dyDescent="0.35"/>
    <row r="89" spans="2:20" ht="15" customHeight="1" x14ac:dyDescent="0.3">
      <c r="B89" s="104" t="s">
        <v>107</v>
      </c>
      <c r="C89" s="77">
        <f>AVERAGE(AE50,AE7)</f>
        <v>346.82729411975004</v>
      </c>
    </row>
    <row r="90" spans="2:20" ht="15" customHeight="1" x14ac:dyDescent="0.35">
      <c r="B90" s="99" t="s">
        <v>35</v>
      </c>
      <c r="C90" s="78">
        <f>SQRT(AE51^2/2+AE8^2/2)</f>
        <v>0.54136477034401076</v>
      </c>
    </row>
    <row r="91" spans="2:20" ht="15" customHeight="1" x14ac:dyDescent="0.35">
      <c r="B91" s="99" t="s">
        <v>31</v>
      </c>
      <c r="C91" s="63">
        <f>C90/C89*100</f>
        <v>0.1560905901936</v>
      </c>
    </row>
    <row r="92" spans="2:20" ht="15" customHeight="1" thickBot="1" x14ac:dyDescent="0.4">
      <c r="B92" s="148" t="s">
        <v>32</v>
      </c>
      <c r="C92" s="62">
        <f>ABS(C89-'1 extremo fechado - f(n)'!F$2)/'1 extremo fechado - f(n)'!F$2*100</f>
        <v>0.67935526851976336</v>
      </c>
    </row>
  </sheetData>
  <mergeCells count="7">
    <mergeCell ref="AG8:AJ8"/>
    <mergeCell ref="B5:E5"/>
    <mergeCell ref="B48:E48"/>
    <mergeCell ref="H50:K50"/>
    <mergeCell ref="H7:K7"/>
    <mergeCell ref="V7:Y7"/>
    <mergeCell ref="V50:Y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Medidas dos tubos</vt:lpstr>
      <vt:lpstr>1 extremo fechado - f(n)</vt:lpstr>
      <vt:lpstr>1 extremo fechado - l(f^-1)</vt:lpstr>
      <vt:lpstr>2 extremos fechados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2023-04-28T08:54:19Z</dcterms:created>
  <dcterms:modified xsi:type="dcterms:W3CDTF">2023-05-05T10:44:16Z</dcterms:modified>
</cp:coreProperties>
</file>