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2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drawings/drawing3.xml" ContentType="application/vnd.openxmlformats-officedocument.drawing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drawings/drawing4.xml" ContentType="application/vnd.openxmlformats-officedocument.drawing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drawings/drawing5.xml" ContentType="application/vnd.openxmlformats-officedocument.drawing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57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58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59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60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drawings/drawing6.xml" ContentType="application/vnd.openxmlformats-officedocument.drawing+xml"/>
  <Override PartName="/xl/charts/chart61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CHAN\OneDrive\Ambiente de Trabalho\"/>
    </mc:Choice>
  </mc:AlternateContent>
  <xr:revisionPtr revIDLastSave="0" documentId="13_ncr:1_{D0CFBD3B-E61E-42D3-B701-0F6F4C775C81}" xr6:coauthVersionLast="47" xr6:coauthVersionMax="47" xr10:uidLastSave="{00000000-0000-0000-0000-000000000000}"/>
  <bookViews>
    <workbookView xWindow="-108" yWindow="-108" windowWidth="23256" windowHeight="12456" activeTab="1" xr2:uid="{86D12D01-BAB2-490F-AF16-F4C2E82A3812}"/>
  </bookViews>
  <sheets>
    <sheet name="ω" sheetId="1" r:id="rId1"/>
    <sheet name="i0" sheetId="2" r:id="rId2"/>
    <sheet name="n" sheetId="3" r:id="rId3"/>
    <sheet name="S" sheetId="4" r:id="rId4"/>
    <sheet name="θ" sheetId="7" r:id="rId5"/>
    <sheet name="Comparar" sheetId="6" r:id="rId6"/>
    <sheet name="Bobinas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6" l="1"/>
  <c r="K9" i="6"/>
  <c r="K10" i="6"/>
  <c r="K7" i="6"/>
  <c r="G8" i="6"/>
  <c r="G9" i="6"/>
  <c r="G10" i="6"/>
  <c r="G7" i="6"/>
  <c r="D81" i="7"/>
  <c r="D77" i="4"/>
  <c r="D79" i="3"/>
  <c r="D48" i="7"/>
  <c r="D44" i="4"/>
  <c r="D46" i="3"/>
  <c r="AV60" i="2"/>
  <c r="Y93" i="2"/>
  <c r="Y60" i="2"/>
  <c r="D93" i="2"/>
  <c r="D60" i="2"/>
  <c r="X81" i="1"/>
  <c r="D81" i="1"/>
  <c r="X49" i="1"/>
  <c r="D49" i="1"/>
  <c r="C3" i="6"/>
  <c r="D36" i="1"/>
  <c r="L7" i="4"/>
  <c r="L6" i="1"/>
  <c r="D34" i="1" s="1"/>
  <c r="C2" i="6"/>
  <c r="L5" i="1"/>
  <c r="I9" i="6"/>
  <c r="D9" i="6"/>
  <c r="W14" i="4"/>
  <c r="W15" i="4"/>
  <c r="W13" i="4"/>
  <c r="S14" i="4"/>
  <c r="S15" i="4"/>
  <c r="S13" i="4"/>
  <c r="U14" i="7"/>
  <c r="U15" i="7"/>
  <c r="Y15" i="7" s="1"/>
  <c r="U16" i="7"/>
  <c r="U17" i="7"/>
  <c r="U18" i="7"/>
  <c r="U19" i="7"/>
  <c r="Y17" i="7"/>
  <c r="Y18" i="7"/>
  <c r="U13" i="7"/>
  <c r="Y16" i="7"/>
  <c r="Y14" i="7"/>
  <c r="Y13" i="7"/>
  <c r="D64" i="3"/>
  <c r="D65" i="3" s="1"/>
  <c r="D30" i="3"/>
  <c r="E9" i="6" s="1"/>
  <c r="F9" i="6" s="1"/>
  <c r="AT19" i="2"/>
  <c r="AU19" i="2" s="1"/>
  <c r="AV19" i="2"/>
  <c r="AW19" i="2"/>
  <c r="D29" i="3"/>
  <c r="D63" i="3"/>
  <c r="H9" i="6" s="1"/>
  <c r="D27" i="4"/>
  <c r="D10" i="6" s="1"/>
  <c r="D28" i="4"/>
  <c r="E10" i="6" s="1"/>
  <c r="I25" i="4"/>
  <c r="R13" i="3"/>
  <c r="D27" i="3"/>
  <c r="D26" i="3"/>
  <c r="D77" i="3"/>
  <c r="D76" i="3"/>
  <c r="D61" i="3"/>
  <c r="D60" i="3"/>
  <c r="D46" i="7"/>
  <c r="D45" i="7"/>
  <c r="D29" i="7"/>
  <c r="D28" i="7"/>
  <c r="D44" i="3"/>
  <c r="D43" i="3"/>
  <c r="L7" i="3"/>
  <c r="E15" i="7"/>
  <c r="E14" i="7"/>
  <c r="E13" i="7"/>
  <c r="D31" i="3" l="1"/>
  <c r="D30" i="4"/>
  <c r="D29" i="4"/>
  <c r="J9" i="6"/>
  <c r="D32" i="3"/>
  <c r="D66" i="3"/>
  <c r="F10" i="6"/>
  <c r="AO14" i="1"/>
  <c r="AO15" i="1"/>
  <c r="AO16" i="1"/>
  <c r="AO17" i="1"/>
  <c r="AO18" i="1"/>
  <c r="AO19" i="1"/>
  <c r="AO20" i="1"/>
  <c r="AO21" i="1"/>
  <c r="AO22" i="1"/>
  <c r="AO23" i="1"/>
  <c r="AO13" i="1"/>
  <c r="AN14" i="1"/>
  <c r="AN15" i="1"/>
  <c r="AN16" i="1"/>
  <c r="AN17" i="1"/>
  <c r="AN18" i="1"/>
  <c r="AN19" i="1"/>
  <c r="AN20" i="1"/>
  <c r="AN21" i="1"/>
  <c r="AN22" i="1"/>
  <c r="AN23" i="1"/>
  <c r="AN13" i="1"/>
  <c r="AM14" i="1"/>
  <c r="AM15" i="1"/>
  <c r="AM16" i="1"/>
  <c r="AM17" i="1"/>
  <c r="AM18" i="1"/>
  <c r="AM19" i="1"/>
  <c r="AM20" i="1"/>
  <c r="AM21" i="1"/>
  <c r="AM22" i="1"/>
  <c r="AM23" i="1"/>
  <c r="AM13" i="1"/>
  <c r="AL14" i="1"/>
  <c r="AL15" i="1"/>
  <c r="AL16" i="1"/>
  <c r="AL17" i="1"/>
  <c r="AL18" i="1"/>
  <c r="AL19" i="1"/>
  <c r="AL20" i="1"/>
  <c r="AL21" i="1"/>
  <c r="AL22" i="1"/>
  <c r="AL23" i="1"/>
  <c r="AL13" i="1"/>
  <c r="Q26" i="2" l="1"/>
  <c r="U26" i="2" s="1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C25" i="2"/>
  <c r="D25" i="2" s="1"/>
  <c r="G25" i="2"/>
  <c r="P25" i="2"/>
  <c r="T25" i="2" s="1"/>
  <c r="C26" i="2"/>
  <c r="D26" i="2" s="1"/>
  <c r="G26" i="2"/>
  <c r="J26" i="2"/>
  <c r="P26" i="2"/>
  <c r="T26" i="2"/>
  <c r="AB17" i="1"/>
  <c r="AC17" i="1" s="1"/>
  <c r="AI17" i="1" s="1"/>
  <c r="AJ14" i="1"/>
  <c r="AJ15" i="1"/>
  <c r="AJ16" i="1"/>
  <c r="AJ18" i="1"/>
  <c r="AJ19" i="1"/>
  <c r="AJ20" i="1"/>
  <c r="AJ21" i="1"/>
  <c r="AJ22" i="1"/>
  <c r="AJ13" i="1"/>
  <c r="AI14" i="1"/>
  <c r="AI15" i="1"/>
  <c r="AI16" i="1"/>
  <c r="AI18" i="1"/>
  <c r="AI19" i="1"/>
  <c r="AI20" i="1"/>
  <c r="AI21" i="1"/>
  <c r="AI22" i="1"/>
  <c r="AI13" i="1"/>
  <c r="AH22" i="1"/>
  <c r="AH21" i="1"/>
  <c r="AH20" i="1"/>
  <c r="AH19" i="1"/>
  <c r="AH18" i="1"/>
  <c r="AH16" i="1"/>
  <c r="AH15" i="1"/>
  <c r="AH14" i="1"/>
  <c r="AH13" i="1"/>
  <c r="AE22" i="1"/>
  <c r="AE21" i="1"/>
  <c r="AE20" i="1"/>
  <c r="AE19" i="1"/>
  <c r="AE18" i="1"/>
  <c r="AE17" i="1"/>
  <c r="AH17" i="1" s="1"/>
  <c r="AE16" i="1"/>
  <c r="AE15" i="1"/>
  <c r="AE14" i="1"/>
  <c r="AE13" i="1"/>
  <c r="AC19" i="1"/>
  <c r="AC18" i="1"/>
  <c r="AB22" i="1"/>
  <c r="AC22" i="1" s="1"/>
  <c r="AB21" i="1"/>
  <c r="AC21" i="1" s="1"/>
  <c r="AB20" i="1"/>
  <c r="AC20" i="1" s="1"/>
  <c r="AB19" i="1"/>
  <c r="AB18" i="1"/>
  <c r="AB16" i="1"/>
  <c r="AC16" i="1" s="1"/>
  <c r="AB15" i="1"/>
  <c r="AC15" i="1" s="1"/>
  <c r="AB14" i="1"/>
  <c r="AC14" i="1" s="1"/>
  <c r="AB13" i="1"/>
  <c r="S13" i="1"/>
  <c r="S14" i="1"/>
  <c r="S15" i="1"/>
  <c r="S16" i="1"/>
  <c r="S17" i="1"/>
  <c r="S18" i="1"/>
  <c r="S19" i="1"/>
  <c r="S20" i="1"/>
  <c r="S21" i="1"/>
  <c r="S22" i="1"/>
  <c r="S23" i="1"/>
  <c r="S12" i="1"/>
  <c r="G17" i="1"/>
  <c r="G23" i="1"/>
  <c r="I23" i="1"/>
  <c r="L23" i="1" s="1"/>
  <c r="R23" i="1"/>
  <c r="V23" i="1" s="1"/>
  <c r="C23" i="1"/>
  <c r="D23" i="1"/>
  <c r="F9" i="7"/>
  <c r="C41" i="7" a="1"/>
  <c r="C41" i="7" s="1"/>
  <c r="J25" i="2" l="1"/>
  <c r="U16" i="2"/>
  <c r="U24" i="2"/>
  <c r="U25" i="2"/>
  <c r="U19" i="2"/>
  <c r="AJ17" i="1"/>
  <c r="W23" i="1"/>
  <c r="W26" i="1" a="1"/>
  <c r="W26" i="1" s="1"/>
  <c r="AC13" i="1"/>
  <c r="X28" i="1"/>
  <c r="W27" i="1"/>
  <c r="W28" i="1"/>
  <c r="X27" i="1"/>
  <c r="X30" i="1"/>
  <c r="D43" i="7"/>
  <c r="C43" i="7"/>
  <c r="D42" i="7"/>
  <c r="C42" i="7"/>
  <c r="D41" i="7"/>
  <c r="R13" i="1"/>
  <c r="R14" i="1"/>
  <c r="R15" i="1"/>
  <c r="V15" i="1" s="1"/>
  <c r="R16" i="1"/>
  <c r="R17" i="1"/>
  <c r="R18" i="1"/>
  <c r="R19" i="1"/>
  <c r="R20" i="1"/>
  <c r="R21" i="1"/>
  <c r="R22" i="1"/>
  <c r="R12" i="1"/>
  <c r="T19" i="7"/>
  <c r="K19" i="7"/>
  <c r="I19" i="7"/>
  <c r="C19" i="7"/>
  <c r="E19" i="7" s="1"/>
  <c r="T18" i="7"/>
  <c r="X18" i="7" s="1"/>
  <c r="K18" i="7"/>
  <c r="I18" i="7"/>
  <c r="C18" i="7"/>
  <c r="E18" i="7" s="1"/>
  <c r="T17" i="7"/>
  <c r="K17" i="7"/>
  <c r="N17" i="7" s="1"/>
  <c r="I17" i="7"/>
  <c r="C17" i="7"/>
  <c r="E17" i="7" s="1"/>
  <c r="T16" i="7"/>
  <c r="X16" i="7" s="1"/>
  <c r="K16" i="7"/>
  <c r="N16" i="7" s="1"/>
  <c r="I16" i="7"/>
  <c r="C16" i="7"/>
  <c r="E16" i="7" s="1"/>
  <c r="T15" i="7"/>
  <c r="K15" i="7"/>
  <c r="N15" i="7" s="1"/>
  <c r="I15" i="7"/>
  <c r="C15" i="7"/>
  <c r="T14" i="7"/>
  <c r="K14" i="7"/>
  <c r="I14" i="7"/>
  <c r="C14" i="7"/>
  <c r="T13" i="7"/>
  <c r="K13" i="7"/>
  <c r="N13" i="7" s="1"/>
  <c r="I13" i="7"/>
  <c r="C13" i="7"/>
  <c r="F7" i="7"/>
  <c r="F6" i="7"/>
  <c r="C5" i="7"/>
  <c r="L4" i="7"/>
  <c r="I4" i="7"/>
  <c r="G15" i="4"/>
  <c r="G14" i="4"/>
  <c r="G13" i="4"/>
  <c r="F6" i="3"/>
  <c r="F7" i="3"/>
  <c r="D14" i="4"/>
  <c r="D15" i="4"/>
  <c r="I27" i="4" s="1"/>
  <c r="D13" i="4"/>
  <c r="C4" i="3"/>
  <c r="C4" i="2"/>
  <c r="C4" i="1"/>
  <c r="R15" i="4"/>
  <c r="I15" i="4"/>
  <c r="R14" i="4"/>
  <c r="V14" i="4" s="1"/>
  <c r="I14" i="4"/>
  <c r="L14" i="4" s="1"/>
  <c r="R13" i="4"/>
  <c r="V13" i="4" s="1"/>
  <c r="I13" i="4"/>
  <c r="I7" i="4"/>
  <c r="F7" i="4"/>
  <c r="F6" i="4"/>
  <c r="L4" i="4"/>
  <c r="I4" i="4"/>
  <c r="D14" i="3"/>
  <c r="D15" i="3"/>
  <c r="D16" i="3"/>
  <c r="D17" i="3"/>
  <c r="D13" i="3"/>
  <c r="N17" i="3"/>
  <c r="F17" i="3"/>
  <c r="N16" i="3"/>
  <c r="F16" i="3"/>
  <c r="N15" i="3"/>
  <c r="F15" i="3"/>
  <c r="N14" i="3"/>
  <c r="F14" i="3"/>
  <c r="N13" i="3"/>
  <c r="F13" i="3"/>
  <c r="I7" i="3"/>
  <c r="L4" i="3"/>
  <c r="I4" i="3"/>
  <c r="L3" i="2"/>
  <c r="E26" i="2" s="1"/>
  <c r="I3" i="2"/>
  <c r="K26" i="2" s="1"/>
  <c r="I3" i="1"/>
  <c r="L3" i="1"/>
  <c r="F5" i="2"/>
  <c r="F6" i="2"/>
  <c r="F6" i="1"/>
  <c r="E23" i="1" s="1"/>
  <c r="C13" i="2"/>
  <c r="C14" i="2"/>
  <c r="D14" i="2" s="1"/>
  <c r="C15" i="2"/>
  <c r="D15" i="2" s="1"/>
  <c r="C16" i="2"/>
  <c r="D16" i="2" s="1"/>
  <c r="C17" i="2"/>
  <c r="D17" i="2" s="1"/>
  <c r="C18" i="2"/>
  <c r="D18" i="2" s="1"/>
  <c r="C19" i="2"/>
  <c r="D19" i="2" s="1"/>
  <c r="C20" i="2"/>
  <c r="C21" i="2"/>
  <c r="D21" i="2" s="1"/>
  <c r="C22" i="2"/>
  <c r="D22" i="2" s="1"/>
  <c r="C23" i="2"/>
  <c r="D23" i="2" s="1"/>
  <c r="C24" i="2"/>
  <c r="D24" i="2" s="1"/>
  <c r="P24" i="2"/>
  <c r="T24" i="2" s="1"/>
  <c r="G24" i="2"/>
  <c r="P23" i="2"/>
  <c r="U23" i="2" s="1"/>
  <c r="G23" i="2"/>
  <c r="P22" i="2"/>
  <c r="T22" i="2" s="1"/>
  <c r="G22" i="2"/>
  <c r="P21" i="2"/>
  <c r="T21" i="2" s="1"/>
  <c r="G21" i="2"/>
  <c r="P20" i="2"/>
  <c r="T20" i="2" s="1"/>
  <c r="G20" i="2"/>
  <c r="P19" i="2"/>
  <c r="G19" i="2"/>
  <c r="J19" i="2" s="1"/>
  <c r="P18" i="2"/>
  <c r="G18" i="2"/>
  <c r="P17" i="2"/>
  <c r="U17" i="2" s="1"/>
  <c r="G17" i="2"/>
  <c r="P16" i="2"/>
  <c r="G16" i="2"/>
  <c r="P15" i="2"/>
  <c r="G15" i="2"/>
  <c r="P14" i="2"/>
  <c r="G14" i="2"/>
  <c r="P13" i="2"/>
  <c r="G13" i="2"/>
  <c r="I13" i="1"/>
  <c r="L13" i="1" s="1"/>
  <c r="I14" i="1"/>
  <c r="L14" i="1" s="1"/>
  <c r="I15" i="1"/>
  <c r="L15" i="1" s="1"/>
  <c r="I16" i="1"/>
  <c r="L16" i="1" s="1"/>
  <c r="I17" i="1"/>
  <c r="L17" i="1" s="1"/>
  <c r="I18" i="1"/>
  <c r="I19" i="1"/>
  <c r="L19" i="1" s="1"/>
  <c r="I20" i="1"/>
  <c r="L20" i="1" s="1"/>
  <c r="I21" i="1"/>
  <c r="L21" i="1" s="1"/>
  <c r="I22" i="1"/>
  <c r="L22" i="1" s="1"/>
  <c r="C13" i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C22" i="1"/>
  <c r="G13" i="1"/>
  <c r="G14" i="1"/>
  <c r="G15" i="1"/>
  <c r="G16" i="1"/>
  <c r="G18" i="1"/>
  <c r="G19" i="1"/>
  <c r="G20" i="1"/>
  <c r="G21" i="1"/>
  <c r="G22" i="1"/>
  <c r="I12" i="1"/>
  <c r="L12" i="1" s="1"/>
  <c r="G12" i="1"/>
  <c r="C12" i="1"/>
  <c r="T13" i="2" l="1"/>
  <c r="J14" i="2"/>
  <c r="J22" i="2"/>
  <c r="T14" i="2"/>
  <c r="T19" i="2"/>
  <c r="J16" i="2"/>
  <c r="J20" i="2"/>
  <c r="J24" i="2"/>
  <c r="U21" i="2"/>
  <c r="T17" i="2"/>
  <c r="J23" i="2"/>
  <c r="U22" i="2"/>
  <c r="T16" i="2"/>
  <c r="U13" i="2"/>
  <c r="J18" i="2"/>
  <c r="D13" i="2"/>
  <c r="X70" i="2" a="1"/>
  <c r="X36" i="2" a="1"/>
  <c r="C70" i="2" a="1"/>
  <c r="C36" i="2" a="1"/>
  <c r="U18" i="2"/>
  <c r="J15" i="2"/>
  <c r="D20" i="2"/>
  <c r="AU53" i="2" s="1" a="1"/>
  <c r="AU36" i="2" a="1"/>
  <c r="U14" i="2"/>
  <c r="J13" i="2"/>
  <c r="J21" i="2"/>
  <c r="U20" i="2"/>
  <c r="U15" i="2"/>
  <c r="E14" i="4"/>
  <c r="I26" i="4"/>
  <c r="E25" i="2"/>
  <c r="K25" i="2"/>
  <c r="X26" i="1"/>
  <c r="AF20" i="1"/>
  <c r="AG20" i="1" s="1"/>
  <c r="AF21" i="1"/>
  <c r="AG21" i="1" s="1"/>
  <c r="AF14" i="1"/>
  <c r="AG14" i="1" s="1"/>
  <c r="AF22" i="1"/>
  <c r="AG22" i="1" s="1"/>
  <c r="AF15" i="1"/>
  <c r="AG15" i="1" s="1"/>
  <c r="AF13" i="1"/>
  <c r="AG13" i="1" s="1"/>
  <c r="AF16" i="1"/>
  <c r="AG16" i="1" s="1"/>
  <c r="AF17" i="1"/>
  <c r="AG17" i="1" s="1"/>
  <c r="AF18" i="1"/>
  <c r="AG18" i="1" s="1"/>
  <c r="AF19" i="1"/>
  <c r="AG19" i="1" s="1"/>
  <c r="W15" i="1"/>
  <c r="V18" i="1"/>
  <c r="W18" i="1"/>
  <c r="V17" i="1"/>
  <c r="W17" i="1"/>
  <c r="D13" i="1"/>
  <c r="W58" i="1" a="1"/>
  <c r="V16" i="1"/>
  <c r="W16" i="1"/>
  <c r="V12" i="1"/>
  <c r="W12" i="1"/>
  <c r="V19" i="1"/>
  <c r="W19" i="1"/>
  <c r="V22" i="1"/>
  <c r="W22" i="1"/>
  <c r="V14" i="1"/>
  <c r="W14" i="1"/>
  <c r="C58" i="1" a="1"/>
  <c r="C26" i="1" a="1"/>
  <c r="M23" i="1"/>
  <c r="M12" i="1"/>
  <c r="V21" i="1"/>
  <c r="W21" i="1"/>
  <c r="V13" i="1"/>
  <c r="W13" i="1"/>
  <c r="X33" i="1"/>
  <c r="X34" i="1"/>
  <c r="V20" i="1"/>
  <c r="W20" i="1"/>
  <c r="X31" i="1"/>
  <c r="C22" i="3" a="1"/>
  <c r="D22" i="3" s="1"/>
  <c r="M18" i="1"/>
  <c r="E20" i="2"/>
  <c r="E19" i="2"/>
  <c r="K17" i="2"/>
  <c r="E12" i="1"/>
  <c r="C56" i="3" a="1"/>
  <c r="D56" i="3" s="1"/>
  <c r="L6" i="4"/>
  <c r="E23" i="2"/>
  <c r="E15" i="2"/>
  <c r="E13" i="2"/>
  <c r="E17" i="2"/>
  <c r="E22" i="2"/>
  <c r="E14" i="2"/>
  <c r="M13" i="4"/>
  <c r="K19" i="2"/>
  <c r="E21" i="2"/>
  <c r="M15" i="4"/>
  <c r="E18" i="2"/>
  <c r="E24" i="2"/>
  <c r="E16" i="2"/>
  <c r="M19" i="1"/>
  <c r="E17" i="1"/>
  <c r="X15" i="7"/>
  <c r="X13" i="7"/>
  <c r="C74" i="7" s="1" a="1"/>
  <c r="X17" i="7"/>
  <c r="X14" i="7"/>
  <c r="D14" i="7"/>
  <c r="F14" i="7" s="1"/>
  <c r="N14" i="7"/>
  <c r="D16" i="7"/>
  <c r="F16" i="7" s="1"/>
  <c r="D18" i="7"/>
  <c r="F18" i="7" s="1"/>
  <c r="N18" i="7"/>
  <c r="D15" i="7"/>
  <c r="F15" i="7" s="1"/>
  <c r="D17" i="7"/>
  <c r="F17" i="7" s="1"/>
  <c r="O13" i="7"/>
  <c r="O15" i="7"/>
  <c r="O17" i="7"/>
  <c r="O14" i="7"/>
  <c r="O16" i="7"/>
  <c r="O18" i="7"/>
  <c r="D13" i="7"/>
  <c r="D19" i="7"/>
  <c r="L6" i="7"/>
  <c r="M14" i="4"/>
  <c r="L18" i="1"/>
  <c r="M21" i="1"/>
  <c r="M20" i="1"/>
  <c r="M16" i="1"/>
  <c r="D12" i="1"/>
  <c r="M13" i="1"/>
  <c r="E20" i="1"/>
  <c r="E19" i="1"/>
  <c r="M15" i="1"/>
  <c r="E18" i="1"/>
  <c r="M22" i="1"/>
  <c r="M14" i="1"/>
  <c r="M17" i="1"/>
  <c r="E16" i="1"/>
  <c r="E15" i="1"/>
  <c r="C54" i="4" a="1"/>
  <c r="C54" i="4" s="1"/>
  <c r="D61" i="4" s="1"/>
  <c r="C20" i="4" a="1"/>
  <c r="D20" i="4" s="1"/>
  <c r="E15" i="4"/>
  <c r="E13" i="4"/>
  <c r="L13" i="4"/>
  <c r="L15" i="4"/>
  <c r="V15" i="4"/>
  <c r="K18" i="2"/>
  <c r="K13" i="2"/>
  <c r="K24" i="2"/>
  <c r="K16" i="2"/>
  <c r="K23" i="2"/>
  <c r="K22" i="2"/>
  <c r="K14" i="2"/>
  <c r="K15" i="2"/>
  <c r="K21" i="2"/>
  <c r="K20" i="2"/>
  <c r="J14" i="3"/>
  <c r="J13" i="3"/>
  <c r="J17" i="3"/>
  <c r="J16" i="3"/>
  <c r="J15" i="3"/>
  <c r="Q13" i="3"/>
  <c r="Q14" i="3"/>
  <c r="Q15" i="3"/>
  <c r="Q16" i="3"/>
  <c r="Q17" i="3"/>
  <c r="I13" i="3"/>
  <c r="I14" i="3"/>
  <c r="R14" i="3"/>
  <c r="I15" i="3"/>
  <c r="R15" i="3"/>
  <c r="I16" i="3"/>
  <c r="R16" i="3"/>
  <c r="I17" i="3"/>
  <c r="R17" i="3"/>
  <c r="E14" i="1"/>
  <c r="E21" i="1"/>
  <c r="E13" i="1"/>
  <c r="E22" i="1"/>
  <c r="D22" i="1"/>
  <c r="D21" i="1"/>
  <c r="T18" i="2"/>
  <c r="T15" i="2"/>
  <c r="J17" i="2"/>
  <c r="T23" i="2"/>
  <c r="D31" i="7" l="1"/>
  <c r="D32" i="7"/>
  <c r="L7" i="7"/>
  <c r="H10" i="6"/>
  <c r="D64" i="4"/>
  <c r="D7" i="6"/>
  <c r="X36" i="1"/>
  <c r="X35" i="1"/>
  <c r="E7" i="6"/>
  <c r="F7" i="6" s="1"/>
  <c r="D75" i="7"/>
  <c r="C75" i="7"/>
  <c r="D76" i="7"/>
  <c r="D74" i="7"/>
  <c r="C74" i="7"/>
  <c r="C76" i="7"/>
  <c r="AU53" i="2"/>
  <c r="AU55" i="2"/>
  <c r="AV54" i="2"/>
  <c r="AV53" i="2"/>
  <c r="AV55" i="2"/>
  <c r="AU54" i="2"/>
  <c r="X86" i="2" a="1"/>
  <c r="X53" i="2" a="1"/>
  <c r="C86" i="2" a="1"/>
  <c r="C53" i="2" a="1"/>
  <c r="AU36" i="2"/>
  <c r="AV38" i="2"/>
  <c r="AV37" i="2"/>
  <c r="AU38" i="2"/>
  <c r="AU37" i="2"/>
  <c r="AV44" i="2" s="1"/>
  <c r="E8" i="6" s="1"/>
  <c r="AV36" i="2"/>
  <c r="C36" i="2"/>
  <c r="D43" i="2" s="1"/>
  <c r="D46" i="2" s="1"/>
  <c r="C38" i="2"/>
  <c r="D38" i="2"/>
  <c r="D37" i="2"/>
  <c r="D36" i="2"/>
  <c r="C37" i="2"/>
  <c r="D44" i="2" s="1"/>
  <c r="D45" i="2" s="1"/>
  <c r="X36" i="2"/>
  <c r="Y36" i="2"/>
  <c r="X37" i="2"/>
  <c r="Y44" i="2" s="1"/>
  <c r="Y38" i="2"/>
  <c r="X38" i="2"/>
  <c r="Y37" i="2"/>
  <c r="X70" i="2"/>
  <c r="Y72" i="2"/>
  <c r="Y71" i="2"/>
  <c r="Y70" i="2"/>
  <c r="X72" i="2"/>
  <c r="X71" i="2"/>
  <c r="C70" i="2"/>
  <c r="D77" i="2" s="1"/>
  <c r="D80" i="2" s="1"/>
  <c r="D70" i="2"/>
  <c r="D72" i="2"/>
  <c r="C72" i="2"/>
  <c r="D71" i="2"/>
  <c r="C71" i="2"/>
  <c r="D78" i="2" s="1"/>
  <c r="D79" i="2" s="1"/>
  <c r="C72" i="3" a="1"/>
  <c r="D72" i="3" s="1"/>
  <c r="C39" i="3" a="1"/>
  <c r="D40" i="3" s="1"/>
  <c r="C26" i="1"/>
  <c r="D28" i="1"/>
  <c r="C28" i="1"/>
  <c r="D27" i="1"/>
  <c r="C27" i="1"/>
  <c r="D26" i="1"/>
  <c r="C58" i="1"/>
  <c r="D58" i="1"/>
  <c r="D59" i="1"/>
  <c r="C59" i="1"/>
  <c r="D60" i="1"/>
  <c r="C60" i="1"/>
  <c r="W58" i="1"/>
  <c r="X65" i="1" s="1"/>
  <c r="X60" i="1"/>
  <c r="W60" i="1"/>
  <c r="X59" i="1"/>
  <c r="W59" i="1"/>
  <c r="X58" i="1"/>
  <c r="W74" i="1" a="1"/>
  <c r="W42" i="1" a="1"/>
  <c r="C42" i="1" a="1"/>
  <c r="C74" i="1" a="1"/>
  <c r="D24" i="3"/>
  <c r="C22" i="3"/>
  <c r="C24" i="3"/>
  <c r="C23" i="3"/>
  <c r="D23" i="3"/>
  <c r="D57" i="3"/>
  <c r="C56" i="3"/>
  <c r="O15" i="3" s="1"/>
  <c r="P15" i="3" s="1"/>
  <c r="C58" i="3"/>
  <c r="G14" i="7"/>
  <c r="G15" i="7"/>
  <c r="D58" i="3"/>
  <c r="C57" i="3"/>
  <c r="G16" i="7"/>
  <c r="F13" i="7"/>
  <c r="C24" i="7" a="1"/>
  <c r="C58" i="7" a="1"/>
  <c r="G17" i="7"/>
  <c r="G18" i="7"/>
  <c r="G13" i="7"/>
  <c r="D54" i="4"/>
  <c r="T15" i="4" s="1"/>
  <c r="U15" i="4" s="1"/>
  <c r="D55" i="4"/>
  <c r="C55" i="4"/>
  <c r="D62" i="4" s="1"/>
  <c r="C56" i="4"/>
  <c r="D56" i="4"/>
  <c r="C70" i="4" a="1"/>
  <c r="C37" i="4" a="1"/>
  <c r="D22" i="4"/>
  <c r="T13" i="4"/>
  <c r="U13" i="4" s="1"/>
  <c r="C21" i="4"/>
  <c r="D21" i="4"/>
  <c r="C20" i="4"/>
  <c r="C22" i="4"/>
  <c r="D33" i="7" l="1"/>
  <c r="E11" i="6"/>
  <c r="D11" i="6"/>
  <c r="G11" i="6" s="1"/>
  <c r="D34" i="7"/>
  <c r="D63" i="4"/>
  <c r="I10" i="6"/>
  <c r="J10" i="6" s="1"/>
  <c r="H7" i="6"/>
  <c r="X68" i="1"/>
  <c r="D78" i="7"/>
  <c r="D79" i="7"/>
  <c r="X86" i="2"/>
  <c r="Y86" i="2"/>
  <c r="Y88" i="2"/>
  <c r="X88" i="2"/>
  <c r="Y87" i="2"/>
  <c r="X87" i="2"/>
  <c r="Y78" i="2"/>
  <c r="Y40" i="2"/>
  <c r="Y41" i="2"/>
  <c r="AV41" i="2"/>
  <c r="AV40" i="2"/>
  <c r="AT15" i="2"/>
  <c r="AU15" i="2" s="1"/>
  <c r="AV43" i="2"/>
  <c r="AT16" i="2"/>
  <c r="AU16" i="2" s="1"/>
  <c r="AT17" i="2"/>
  <c r="AU17" i="2" s="1"/>
  <c r="AT13" i="2"/>
  <c r="AU13" i="2" s="1"/>
  <c r="AT14" i="2"/>
  <c r="AU14" i="2" s="1"/>
  <c r="AT18" i="2"/>
  <c r="AU18" i="2" s="1"/>
  <c r="AV58" i="2"/>
  <c r="AV57" i="2"/>
  <c r="D75" i="2"/>
  <c r="D74" i="2"/>
  <c r="Y18" i="2"/>
  <c r="Z18" i="2" s="1"/>
  <c r="Y43" i="2"/>
  <c r="Y46" i="2" s="1"/>
  <c r="Y15" i="2"/>
  <c r="Z15" i="2" s="1"/>
  <c r="Y17" i="2"/>
  <c r="Z17" i="2" s="1"/>
  <c r="Y13" i="2"/>
  <c r="Z13" i="2" s="1"/>
  <c r="Y14" i="2"/>
  <c r="Z14" i="2" s="1"/>
  <c r="Y16" i="2"/>
  <c r="Z16" i="2" s="1"/>
  <c r="X53" i="2"/>
  <c r="Y55" i="2"/>
  <c r="X55" i="2"/>
  <c r="Y54" i="2"/>
  <c r="Y53" i="2"/>
  <c r="X54" i="2"/>
  <c r="C53" i="2"/>
  <c r="L14" i="2" s="1"/>
  <c r="M14" i="2" s="1"/>
  <c r="D55" i="2"/>
  <c r="C55" i="2"/>
  <c r="C54" i="2"/>
  <c r="D54" i="2"/>
  <c r="D53" i="2"/>
  <c r="D41" i="2"/>
  <c r="D40" i="2"/>
  <c r="Y75" i="2"/>
  <c r="Y74" i="2"/>
  <c r="AD15" i="2"/>
  <c r="AE15" i="2" s="1"/>
  <c r="AD16" i="2"/>
  <c r="AE16" i="2" s="1"/>
  <c r="Y77" i="2"/>
  <c r="AD18" i="2"/>
  <c r="AE18" i="2" s="1"/>
  <c r="AD14" i="2"/>
  <c r="AE14" i="2" s="1"/>
  <c r="AD17" i="2"/>
  <c r="AE17" i="2" s="1"/>
  <c r="AD19" i="2"/>
  <c r="AE19" i="2" s="1"/>
  <c r="AD13" i="2"/>
  <c r="AE13" i="2" s="1"/>
  <c r="AV45" i="2"/>
  <c r="C86" i="2"/>
  <c r="V15" i="2" s="1"/>
  <c r="W15" i="2" s="1"/>
  <c r="D88" i="2"/>
  <c r="C88" i="2"/>
  <c r="C87" i="2"/>
  <c r="D86" i="2"/>
  <c r="D87" i="2"/>
  <c r="AV16" i="2"/>
  <c r="AW16" i="2" s="1"/>
  <c r="AV13" i="2"/>
  <c r="AW13" i="2" s="1"/>
  <c r="AV17" i="2"/>
  <c r="AW17" i="2" s="1"/>
  <c r="AV18" i="2"/>
  <c r="AW18" i="2" s="1"/>
  <c r="AV14" i="2"/>
  <c r="AW14" i="2" s="1"/>
  <c r="AV15" i="2"/>
  <c r="AW15" i="2" s="1"/>
  <c r="D58" i="4"/>
  <c r="D59" i="4"/>
  <c r="D25" i="4"/>
  <c r="D24" i="4"/>
  <c r="C73" i="3"/>
  <c r="D74" i="3"/>
  <c r="C74" i="3"/>
  <c r="D73" i="3"/>
  <c r="C72" i="3"/>
  <c r="S14" i="3" s="1"/>
  <c r="T14" i="3" s="1"/>
  <c r="C41" i="3"/>
  <c r="D41" i="3"/>
  <c r="C40" i="3"/>
  <c r="C39" i="3"/>
  <c r="D39" i="3"/>
  <c r="R25" i="2"/>
  <c r="S25" i="2" s="1"/>
  <c r="R26" i="2"/>
  <c r="S26" i="2" s="1"/>
  <c r="H25" i="2"/>
  <c r="I25" i="2" s="1"/>
  <c r="H26" i="2"/>
  <c r="I26" i="2" s="1"/>
  <c r="T19" i="1"/>
  <c r="U19" i="1" s="1"/>
  <c r="D65" i="1"/>
  <c r="D68" i="1" s="1"/>
  <c r="X63" i="1"/>
  <c r="X62" i="1"/>
  <c r="X74" i="1"/>
  <c r="X75" i="1"/>
  <c r="W75" i="1"/>
  <c r="W74" i="1"/>
  <c r="W76" i="1"/>
  <c r="X76" i="1"/>
  <c r="D63" i="1"/>
  <c r="D62" i="1"/>
  <c r="C43" i="1"/>
  <c r="C44" i="1"/>
  <c r="C42" i="1"/>
  <c r="D42" i="1"/>
  <c r="D43" i="1"/>
  <c r="D44" i="1"/>
  <c r="D66" i="1"/>
  <c r="D31" i="1"/>
  <c r="D30" i="1"/>
  <c r="C74" i="1"/>
  <c r="D74" i="1"/>
  <c r="C76" i="1"/>
  <c r="D75" i="1"/>
  <c r="C75" i="1"/>
  <c r="D76" i="1"/>
  <c r="X43" i="1"/>
  <c r="X42" i="1"/>
  <c r="W43" i="1"/>
  <c r="W42" i="1"/>
  <c r="X44" i="1"/>
  <c r="W44" i="1"/>
  <c r="X66" i="1"/>
  <c r="D33" i="1"/>
  <c r="J23" i="1"/>
  <c r="K23" i="1" s="1"/>
  <c r="T14" i="1"/>
  <c r="U14" i="1" s="1"/>
  <c r="T23" i="1"/>
  <c r="U23" i="1" s="1"/>
  <c r="O17" i="3"/>
  <c r="P17" i="3" s="1"/>
  <c r="G15" i="3"/>
  <c r="H15" i="3" s="1"/>
  <c r="G14" i="3"/>
  <c r="H14" i="3" s="1"/>
  <c r="G13" i="3"/>
  <c r="H13" i="3" s="1"/>
  <c r="G17" i="3"/>
  <c r="H17" i="3" s="1"/>
  <c r="G16" i="3"/>
  <c r="H16" i="3" s="1"/>
  <c r="O14" i="3"/>
  <c r="P14" i="3" s="1"/>
  <c r="T14" i="4"/>
  <c r="U14" i="4" s="1"/>
  <c r="O13" i="3"/>
  <c r="P13" i="3" s="1"/>
  <c r="O16" i="3"/>
  <c r="P16" i="3" s="1"/>
  <c r="S13" i="3"/>
  <c r="T13" i="3" s="1"/>
  <c r="L13" i="2"/>
  <c r="M13" i="2" s="1"/>
  <c r="X23" i="1"/>
  <c r="Y23" i="1" s="1"/>
  <c r="T17" i="1"/>
  <c r="U17" i="1" s="1"/>
  <c r="C25" i="7"/>
  <c r="D26" i="7"/>
  <c r="D25" i="7"/>
  <c r="D24" i="7"/>
  <c r="C26" i="7"/>
  <c r="C24" i="7"/>
  <c r="C60" i="7"/>
  <c r="C58" i="7"/>
  <c r="D65" i="7" s="1"/>
  <c r="D59" i="7"/>
  <c r="D60" i="7"/>
  <c r="C59" i="7"/>
  <c r="D58" i="7"/>
  <c r="T12" i="1"/>
  <c r="U12" i="1" s="1"/>
  <c r="T18" i="1"/>
  <c r="U18" i="1" s="1"/>
  <c r="T13" i="1"/>
  <c r="U13" i="1" s="1"/>
  <c r="D37" i="4"/>
  <c r="C38" i="4"/>
  <c r="C37" i="4"/>
  <c r="C39" i="4"/>
  <c r="D39" i="4"/>
  <c r="D38" i="4"/>
  <c r="J13" i="4"/>
  <c r="K13" i="4" s="1"/>
  <c r="J14" i="4"/>
  <c r="K14" i="4" s="1"/>
  <c r="J15" i="4"/>
  <c r="K15" i="4" s="1"/>
  <c r="C70" i="4"/>
  <c r="D72" i="4"/>
  <c r="C72" i="4"/>
  <c r="D71" i="4"/>
  <c r="C71" i="4"/>
  <c r="D70" i="4"/>
  <c r="V23" i="2"/>
  <c r="W23" i="2" s="1"/>
  <c r="V24" i="2"/>
  <c r="W24" i="2" s="1"/>
  <c r="L24" i="2"/>
  <c r="M24" i="2" s="1"/>
  <c r="L17" i="2"/>
  <c r="M17" i="2" s="1"/>
  <c r="L20" i="2"/>
  <c r="M20" i="2" s="1"/>
  <c r="L21" i="2"/>
  <c r="M21" i="2" s="1"/>
  <c r="L18" i="2"/>
  <c r="M18" i="2" s="1"/>
  <c r="H15" i="2"/>
  <c r="I15" i="2" s="1"/>
  <c r="H23" i="2"/>
  <c r="I23" i="2" s="1"/>
  <c r="H17" i="2"/>
  <c r="I17" i="2" s="1"/>
  <c r="H16" i="2"/>
  <c r="I16" i="2" s="1"/>
  <c r="H24" i="2"/>
  <c r="I24" i="2" s="1"/>
  <c r="H13" i="2"/>
  <c r="I13" i="2" s="1"/>
  <c r="H18" i="2"/>
  <c r="I18" i="2" s="1"/>
  <c r="H19" i="2"/>
  <c r="I19" i="2" s="1"/>
  <c r="H20" i="2"/>
  <c r="I20" i="2" s="1"/>
  <c r="H21" i="2"/>
  <c r="I21" i="2" s="1"/>
  <c r="H14" i="2"/>
  <c r="I14" i="2" s="1"/>
  <c r="H22" i="2"/>
  <c r="I22" i="2" s="1"/>
  <c r="R15" i="2"/>
  <c r="S15" i="2" s="1"/>
  <c r="R23" i="2"/>
  <c r="S23" i="2" s="1"/>
  <c r="R16" i="2"/>
  <c r="S16" i="2" s="1"/>
  <c r="R24" i="2"/>
  <c r="S24" i="2" s="1"/>
  <c r="R20" i="2"/>
  <c r="S20" i="2" s="1"/>
  <c r="R14" i="2"/>
  <c r="S14" i="2" s="1"/>
  <c r="R22" i="2"/>
  <c r="S22" i="2" s="1"/>
  <c r="R17" i="2"/>
  <c r="S17" i="2" s="1"/>
  <c r="R13" i="2"/>
  <c r="S13" i="2" s="1"/>
  <c r="R18" i="2"/>
  <c r="S18" i="2" s="1"/>
  <c r="R19" i="2"/>
  <c r="S19" i="2" s="1"/>
  <c r="R21" i="2"/>
  <c r="S21" i="2" s="1"/>
  <c r="T21" i="1"/>
  <c r="U21" i="1" s="1"/>
  <c r="T22" i="1"/>
  <c r="U22" i="1" s="1"/>
  <c r="T16" i="1"/>
  <c r="U16" i="1" s="1"/>
  <c r="T20" i="1"/>
  <c r="U20" i="1" s="1"/>
  <c r="J19" i="1"/>
  <c r="K19" i="1" s="1"/>
  <c r="T15" i="1"/>
  <c r="U15" i="1" s="1"/>
  <c r="J22" i="1"/>
  <c r="K22" i="1" s="1"/>
  <c r="J14" i="1"/>
  <c r="K14" i="1" s="1"/>
  <c r="J18" i="1"/>
  <c r="K18" i="1" s="1"/>
  <c r="J12" i="1"/>
  <c r="K12" i="1" s="1"/>
  <c r="J21" i="1"/>
  <c r="K21" i="1" s="1"/>
  <c r="J16" i="1"/>
  <c r="K16" i="1" s="1"/>
  <c r="J20" i="1"/>
  <c r="K20" i="1" s="1"/>
  <c r="J17" i="1"/>
  <c r="K17" i="1" s="1"/>
  <c r="J13" i="1"/>
  <c r="K13" i="1" s="1"/>
  <c r="J15" i="1"/>
  <c r="K15" i="1" s="1"/>
  <c r="F11" i="6" l="1"/>
  <c r="H11" i="6"/>
  <c r="K11" i="6" s="1"/>
  <c r="D68" i="7"/>
  <c r="D8" i="6"/>
  <c r="AV46" i="2"/>
  <c r="Y45" i="2"/>
  <c r="H8" i="6"/>
  <c r="Y80" i="2"/>
  <c r="Y79" i="2"/>
  <c r="I8" i="6"/>
  <c r="J8" i="6" s="1"/>
  <c r="D35" i="1"/>
  <c r="D67" i="1"/>
  <c r="X67" i="1"/>
  <c r="I7" i="6"/>
  <c r="J7" i="6" s="1"/>
  <c r="D63" i="7"/>
  <c r="D62" i="7"/>
  <c r="D66" i="7"/>
  <c r="V25" i="2"/>
  <c r="W25" i="2" s="1"/>
  <c r="D58" i="2"/>
  <c r="D57" i="2"/>
  <c r="V13" i="2"/>
  <c r="W13" i="2" s="1"/>
  <c r="Y91" i="2"/>
  <c r="Y90" i="2"/>
  <c r="Y58" i="2"/>
  <c r="Y57" i="2"/>
  <c r="V16" i="2"/>
  <c r="W16" i="2" s="1"/>
  <c r="AA17" i="2"/>
  <c r="AB17" i="2" s="1"/>
  <c r="AA14" i="2"/>
  <c r="AB14" i="2" s="1"/>
  <c r="AA13" i="2"/>
  <c r="AB13" i="2" s="1"/>
  <c r="AA18" i="2"/>
  <c r="AB18" i="2" s="1"/>
  <c r="AA15" i="2"/>
  <c r="AB15" i="2" s="1"/>
  <c r="AA16" i="2"/>
  <c r="AB16" i="2" s="1"/>
  <c r="V26" i="2"/>
  <c r="W26" i="2" s="1"/>
  <c r="V22" i="2"/>
  <c r="W22" i="2" s="1"/>
  <c r="L15" i="2"/>
  <c r="M15" i="2" s="1"/>
  <c r="L23" i="2"/>
  <c r="M23" i="2" s="1"/>
  <c r="V20" i="2"/>
  <c r="W20" i="2" s="1"/>
  <c r="L26" i="2"/>
  <c r="M26" i="2" s="1"/>
  <c r="L22" i="2"/>
  <c r="M22" i="2" s="1"/>
  <c r="V14" i="2"/>
  <c r="W14" i="2" s="1"/>
  <c r="V18" i="2"/>
  <c r="W18" i="2" s="1"/>
  <c r="L25" i="2"/>
  <c r="M25" i="2" s="1"/>
  <c r="V19" i="2"/>
  <c r="W19" i="2" s="1"/>
  <c r="V17" i="2"/>
  <c r="W17" i="2" s="1"/>
  <c r="L16" i="2"/>
  <c r="M16" i="2" s="1"/>
  <c r="L19" i="2"/>
  <c r="M19" i="2" s="1"/>
  <c r="V21" i="2"/>
  <c r="W21" i="2" s="1"/>
  <c r="D91" i="2"/>
  <c r="D90" i="2"/>
  <c r="AF19" i="2"/>
  <c r="AG19" i="2" s="1"/>
  <c r="AF18" i="2"/>
  <c r="AG18" i="2" s="1"/>
  <c r="AF13" i="2"/>
  <c r="AG13" i="2" s="1"/>
  <c r="AF17" i="2"/>
  <c r="AG17" i="2" s="1"/>
  <c r="AF14" i="2"/>
  <c r="AG14" i="2" s="1"/>
  <c r="AF15" i="2"/>
  <c r="AG15" i="2" s="1"/>
  <c r="AF16" i="2"/>
  <c r="AG16" i="2" s="1"/>
  <c r="D42" i="4"/>
  <c r="D41" i="4"/>
  <c r="D75" i="4"/>
  <c r="D74" i="4"/>
  <c r="S15" i="3"/>
  <c r="T15" i="3" s="1"/>
  <c r="S17" i="3"/>
  <c r="T17" i="3" s="1"/>
  <c r="K15" i="3"/>
  <c r="L15" i="3" s="1"/>
  <c r="S16" i="3"/>
  <c r="T16" i="3" s="1"/>
  <c r="K13" i="3"/>
  <c r="L13" i="3" s="1"/>
  <c r="K14" i="3"/>
  <c r="L14" i="3" s="1"/>
  <c r="K16" i="3"/>
  <c r="L16" i="3" s="1"/>
  <c r="K17" i="3"/>
  <c r="L17" i="3" s="1"/>
  <c r="N23" i="1"/>
  <c r="O23" i="1" s="1"/>
  <c r="X47" i="1"/>
  <c r="X46" i="1"/>
  <c r="D78" i="1"/>
  <c r="D79" i="1"/>
  <c r="D47" i="1"/>
  <c r="D46" i="1"/>
  <c r="X79" i="1"/>
  <c r="X78" i="1"/>
  <c r="X18" i="1"/>
  <c r="Y18" i="1" s="1"/>
  <c r="X22" i="1"/>
  <c r="Y22" i="1" s="1"/>
  <c r="N16" i="1"/>
  <c r="O16" i="1" s="1"/>
  <c r="X17" i="1"/>
  <c r="Y17" i="1" s="1"/>
  <c r="X13" i="1"/>
  <c r="Y13" i="1" s="1"/>
  <c r="X19" i="1"/>
  <c r="Y19" i="1" s="1"/>
  <c r="X15" i="1"/>
  <c r="Y15" i="1" s="1"/>
  <c r="X20" i="1"/>
  <c r="Y20" i="1" s="1"/>
  <c r="X14" i="1"/>
  <c r="Y14" i="1" s="1"/>
  <c r="X16" i="1"/>
  <c r="Y16" i="1" s="1"/>
  <c r="N15" i="1"/>
  <c r="O15" i="1" s="1"/>
  <c r="N12" i="1"/>
  <c r="O12" i="1" s="1"/>
  <c r="X12" i="1"/>
  <c r="Y12" i="1" s="1"/>
  <c r="N17" i="1"/>
  <c r="O17" i="1" s="1"/>
  <c r="X21" i="1"/>
  <c r="Y21" i="1" s="1"/>
  <c r="N20" i="1"/>
  <c r="O20" i="1" s="1"/>
  <c r="N22" i="1"/>
  <c r="O22" i="1" s="1"/>
  <c r="N21" i="1"/>
  <c r="O21" i="1" s="1"/>
  <c r="N13" i="1"/>
  <c r="O13" i="1" s="1"/>
  <c r="N19" i="1"/>
  <c r="O19" i="1" s="1"/>
  <c r="N18" i="1"/>
  <c r="O18" i="1" s="1"/>
  <c r="N14" i="1"/>
  <c r="O14" i="1" s="1"/>
  <c r="V16" i="7"/>
  <c r="W16" i="7" s="1"/>
  <c r="V19" i="7"/>
  <c r="W19" i="7" s="1"/>
  <c r="V17" i="7"/>
  <c r="W17" i="7" s="1"/>
  <c r="V15" i="7"/>
  <c r="W15" i="7" s="1"/>
  <c r="V13" i="7"/>
  <c r="W13" i="7" s="1"/>
  <c r="V18" i="7"/>
  <c r="W18" i="7" s="1"/>
  <c r="V14" i="7"/>
  <c r="W14" i="7" s="1"/>
  <c r="L19" i="7"/>
  <c r="M19" i="7" s="1"/>
  <c r="L17" i="7"/>
  <c r="M17" i="7" s="1"/>
  <c r="L15" i="7"/>
  <c r="M15" i="7" s="1"/>
  <c r="L13" i="7"/>
  <c r="M13" i="7" s="1"/>
  <c r="L18" i="7"/>
  <c r="M18" i="7" s="1"/>
  <c r="L16" i="7"/>
  <c r="M16" i="7" s="1"/>
  <c r="L14" i="7"/>
  <c r="M14" i="7" s="1"/>
  <c r="N14" i="4"/>
  <c r="O14" i="4" s="1"/>
  <c r="N15" i="4"/>
  <c r="O15" i="4" s="1"/>
  <c r="N13" i="4"/>
  <c r="O13" i="4" s="1"/>
  <c r="X14" i="4"/>
  <c r="Y14" i="4" s="1"/>
  <c r="X15" i="4"/>
  <c r="Y15" i="4" s="1"/>
  <c r="X13" i="4"/>
  <c r="Y13" i="4" s="1"/>
  <c r="D67" i="7" l="1"/>
  <c r="I11" i="6"/>
  <c r="J11" i="6" s="1"/>
  <c r="F8" i="6"/>
  <c r="Z15" i="7"/>
  <c r="AA15" i="7" s="1"/>
  <c r="Z18" i="7"/>
  <c r="AA18" i="7" s="1"/>
  <c r="Z16" i="7"/>
  <c r="AA16" i="7" s="1"/>
  <c r="Z14" i="7"/>
  <c r="AA14" i="7" s="1"/>
  <c r="Z17" i="7"/>
  <c r="AA17" i="7" s="1"/>
  <c r="Z13" i="7"/>
  <c r="AA13" i="7" s="1"/>
  <c r="P18" i="7"/>
  <c r="Q18" i="7" s="1"/>
  <c r="P16" i="7"/>
  <c r="Q16" i="7" s="1"/>
  <c r="P14" i="7"/>
  <c r="Q14" i="7" s="1"/>
  <c r="P17" i="7"/>
  <c r="Q17" i="7" s="1"/>
  <c r="P15" i="7"/>
  <c r="Q15" i="7" s="1"/>
  <c r="P13" i="7"/>
  <c r="Q13" i="7" s="1"/>
</calcChain>
</file>

<file path=xl/sharedStrings.xml><?xml version="1.0" encoding="utf-8"?>
<sst xmlns="http://schemas.openxmlformats.org/spreadsheetml/2006/main" count="615" uniqueCount="105">
  <si>
    <t>f /Hz</t>
  </si>
  <si>
    <t>ω /Hz</t>
  </si>
  <si>
    <t>u(ω) /Hz</t>
  </si>
  <si>
    <t>u(f) /Hz</t>
  </si>
  <si>
    <r>
      <t>i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/A</t>
    </r>
  </si>
  <si>
    <t>Bobina 1</t>
  </si>
  <si>
    <t>n</t>
  </si>
  <si>
    <t>S</t>
  </si>
  <si>
    <t>D</t>
  </si>
  <si>
    <t>θ /º</t>
  </si>
  <si>
    <t>Sinusoide</t>
  </si>
  <si>
    <t>N</t>
  </si>
  <si>
    <t>Osciloscópio</t>
  </si>
  <si>
    <t>Voltímetro</t>
  </si>
  <si>
    <t>log(ω)</t>
  </si>
  <si>
    <r>
      <t>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 xml:space="preserve"> /V</t>
    </r>
  </si>
  <si>
    <r>
      <t>V</t>
    </r>
    <r>
      <rPr>
        <vertAlign val="subscript"/>
        <sz val="11"/>
        <color theme="1"/>
        <rFont val="Calibri"/>
        <family val="2"/>
        <scheme val="minor"/>
      </rPr>
      <t>Erms</t>
    </r>
    <r>
      <rPr>
        <sz val="11"/>
        <color theme="1"/>
        <rFont val="Calibri"/>
        <family val="2"/>
        <scheme val="minor"/>
      </rPr>
      <t xml:space="preserve"> /mV</t>
    </r>
  </si>
  <si>
    <t>Resíduos</t>
  </si>
  <si>
    <r>
      <t>log(V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>)</t>
    </r>
  </si>
  <si>
    <r>
      <t>V</t>
    </r>
    <r>
      <rPr>
        <vertAlign val="subscript"/>
        <sz val="11"/>
        <color theme="1"/>
        <rFont val="Calibri"/>
        <family val="2"/>
        <scheme val="minor"/>
      </rPr>
      <t>E0|ajuste</t>
    </r>
    <r>
      <rPr>
        <sz val="11"/>
        <color theme="1"/>
        <rFont val="Calibri"/>
        <family val="2"/>
        <scheme val="minor"/>
      </rPr>
      <t xml:space="preserve"> /V</t>
    </r>
  </si>
  <si>
    <r>
      <t>log(V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ajuste</t>
    </r>
  </si>
  <si>
    <r>
      <t>i</t>
    </r>
    <r>
      <rPr>
        <vertAlign val="subscript"/>
        <sz val="11"/>
        <color theme="1"/>
        <rFont val="Calibri"/>
        <family val="2"/>
      </rPr>
      <t>rms</t>
    </r>
    <r>
      <rPr>
        <sz val="11"/>
        <color theme="1"/>
        <rFont val="Calibri"/>
        <family val="2"/>
      </rPr>
      <t xml:space="preserve"> /A</t>
    </r>
  </si>
  <si>
    <t>m</t>
  </si>
  <si>
    <r>
      <t>s</t>
    </r>
    <r>
      <rPr>
        <vertAlign val="subscript"/>
        <sz val="11"/>
        <color theme="1"/>
        <rFont val="Calibri"/>
        <family val="2"/>
        <scheme val="minor"/>
      </rPr>
      <t>m</t>
    </r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</si>
  <si>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</si>
  <si>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b</t>
  </si>
  <si>
    <r>
      <t>s</t>
    </r>
    <r>
      <rPr>
        <vertAlign val="subscript"/>
        <sz val="11"/>
        <color theme="1"/>
        <rFont val="Calibri"/>
        <family val="2"/>
        <scheme val="minor"/>
      </rPr>
      <t>b</t>
    </r>
  </si>
  <si>
    <r>
      <t>s</t>
    </r>
    <r>
      <rPr>
        <vertAlign val="subscript"/>
        <sz val="11"/>
        <color theme="1"/>
        <rFont val="Calibri"/>
        <family val="2"/>
        <scheme val="minor"/>
      </rPr>
      <t>y</t>
    </r>
  </si>
  <si>
    <r>
      <t>Voltímetro - 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>(ω)</t>
    </r>
  </si>
  <si>
    <r>
      <t>Voltímetro - log(V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>)[log(ω)]</t>
    </r>
  </si>
  <si>
    <r>
      <t>Osciloscópio - log(V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>)[log(ω)]</t>
    </r>
  </si>
  <si>
    <r>
      <t>Osciloscópio - 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>(ω)</t>
    </r>
  </si>
  <si>
    <r>
      <t>log(i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</t>
    </r>
  </si>
  <si>
    <r>
      <t>u(i</t>
    </r>
    <r>
      <rPr>
        <vertAlign val="subscript"/>
        <sz val="11"/>
        <color theme="1"/>
        <rFont val="Calibri"/>
        <family val="2"/>
        <scheme val="minor"/>
      </rPr>
      <t>rms</t>
    </r>
    <r>
      <rPr>
        <sz val="11"/>
        <color theme="1"/>
        <rFont val="Calibri"/>
        <family val="2"/>
        <scheme val="minor"/>
      </rPr>
      <t>) /A</t>
    </r>
  </si>
  <si>
    <r>
      <t>u(i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</t>
    </r>
  </si>
  <si>
    <t>u(log(ω))</t>
  </si>
  <si>
    <r>
      <t>u(log(V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>))</t>
    </r>
  </si>
  <si>
    <r>
      <t>u(V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>) osc /V</t>
    </r>
  </si>
  <si>
    <t>D /m</t>
  </si>
  <si>
    <r>
      <t>u(V</t>
    </r>
    <r>
      <rPr>
        <vertAlign val="subscript"/>
        <sz val="11"/>
        <color theme="1"/>
        <rFont val="Calibri"/>
        <family val="2"/>
        <scheme val="minor"/>
      </rPr>
      <t>Erms</t>
    </r>
    <r>
      <rPr>
        <sz val="11"/>
        <color theme="1"/>
        <rFont val="Calibri"/>
        <family val="2"/>
        <scheme val="minor"/>
      </rPr>
      <t>) /V</t>
    </r>
  </si>
  <si>
    <r>
      <t>u(V</t>
    </r>
    <r>
      <rPr>
        <vertAlign val="subscript"/>
        <sz val="11"/>
        <color theme="1"/>
        <rFont val="Calibri"/>
        <family val="2"/>
        <scheme val="minor"/>
      </rPr>
      <t>pp</t>
    </r>
    <r>
      <rPr>
        <sz val="11"/>
        <color theme="1"/>
        <rFont val="Calibri"/>
        <family val="2"/>
        <scheme val="minor"/>
      </rPr>
      <t>) /V</t>
    </r>
  </si>
  <si>
    <r>
      <t>u(V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>) volt/V</t>
    </r>
  </si>
  <si>
    <r>
      <t>S /m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</si>
  <si>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i</t>
    </r>
    <r>
      <rPr>
        <vertAlign val="subscript"/>
        <sz val="11"/>
        <color theme="1"/>
        <rFont val="Calibri"/>
        <family val="2"/>
        <scheme val="minor"/>
      </rPr>
      <t>0|med</t>
    </r>
    <r>
      <rPr>
        <sz val="11"/>
        <color theme="1"/>
        <rFont val="Calibri"/>
        <family val="2"/>
        <scheme val="minor"/>
      </rPr>
      <t xml:space="preserve"> /A</t>
    </r>
  </si>
  <si>
    <r>
      <t>u(i</t>
    </r>
    <r>
      <rPr>
        <vertAlign val="subscript"/>
        <sz val="11"/>
        <color theme="1"/>
        <rFont val="Calibri"/>
        <family val="2"/>
        <scheme val="minor"/>
      </rPr>
      <t>0|med</t>
    </r>
    <r>
      <rPr>
        <sz val="11"/>
        <color theme="1"/>
        <rFont val="Calibri"/>
        <family val="2"/>
        <scheme val="minor"/>
      </rPr>
      <t>) /A</t>
    </r>
  </si>
  <si>
    <r>
      <t>μ</t>
    </r>
    <r>
      <rPr>
        <vertAlign val="subscript"/>
        <sz val="11"/>
        <color theme="1"/>
        <rFont val="Calibri"/>
        <family val="2"/>
      </rPr>
      <t>0</t>
    </r>
  </si>
  <si>
    <r>
      <t>u(μ</t>
    </r>
    <r>
      <rPr>
        <vertAlign val="subscript"/>
        <sz val="11"/>
        <color theme="1"/>
        <rFont val="Calibri"/>
        <family val="2"/>
      </rPr>
      <t>0</t>
    </r>
    <r>
      <rPr>
        <sz val="11"/>
        <color theme="1"/>
        <rFont val="Calibri"/>
        <family val="2"/>
      </rPr>
      <t>)</t>
    </r>
  </si>
  <si>
    <r>
      <t>u</t>
    </r>
    <r>
      <rPr>
        <vertAlign val="subscript"/>
        <sz val="11"/>
        <color theme="1"/>
        <rFont val="Calibri"/>
        <family val="2"/>
      </rPr>
      <t>%</t>
    </r>
    <r>
      <rPr>
        <sz val="11"/>
        <color theme="1"/>
        <rFont val="Calibri"/>
        <family val="2"/>
      </rPr>
      <t>(μ</t>
    </r>
    <r>
      <rPr>
        <vertAlign val="subscript"/>
        <sz val="11"/>
        <color theme="1"/>
        <rFont val="Calibri"/>
        <family val="2"/>
      </rPr>
      <t>0</t>
    </r>
    <r>
      <rPr>
        <sz val="11"/>
        <color theme="1"/>
        <rFont val="Calibri"/>
        <family val="2"/>
      </rPr>
      <t>)</t>
    </r>
  </si>
  <si>
    <r>
      <t>Er</t>
    </r>
    <r>
      <rPr>
        <vertAlign val="subscript"/>
        <sz val="11"/>
        <color theme="1"/>
        <rFont val="Calibri"/>
        <family val="2"/>
      </rPr>
      <t>%</t>
    </r>
    <r>
      <rPr>
        <sz val="11"/>
        <color theme="1"/>
        <rFont val="Calibri"/>
        <family val="2"/>
      </rPr>
      <t>(μ</t>
    </r>
    <r>
      <rPr>
        <vertAlign val="subscript"/>
        <sz val="11"/>
        <color theme="1"/>
        <rFont val="Calibri"/>
        <family val="2"/>
      </rPr>
      <t>0</t>
    </r>
    <r>
      <rPr>
        <sz val="11"/>
        <color theme="1"/>
        <rFont val="Calibri"/>
        <family val="2"/>
      </rPr>
      <t>)</t>
    </r>
  </si>
  <si>
    <t>Bobinas</t>
  </si>
  <si>
    <t>Bobina</t>
  </si>
  <si>
    <r>
      <t>u(log(i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))</t>
    </r>
  </si>
  <si>
    <t>log(n)</t>
  </si>
  <si>
    <r>
      <t>S /m</t>
    </r>
    <r>
      <rPr>
        <vertAlign val="superscript"/>
        <sz val="11"/>
        <color theme="1"/>
        <rFont val="Calibri"/>
        <family val="2"/>
      </rPr>
      <t>2</t>
    </r>
  </si>
  <si>
    <t>log(S)</t>
  </si>
  <si>
    <t>Bobina 6</t>
  </si>
  <si>
    <t>θ /rads</t>
  </si>
  <si>
    <t>cos(θ)</t>
  </si>
  <si>
    <t>u(cos(θ))</t>
  </si>
  <si>
    <t>log(cos(θ))</t>
  </si>
  <si>
    <t>u(log(cos(θ)))</t>
  </si>
  <si>
    <r>
      <t>Voltímetro - 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>(i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</t>
    </r>
  </si>
  <si>
    <r>
      <t>Voltímetro - log(V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>)[log(i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)]</t>
    </r>
  </si>
  <si>
    <r>
      <t>Osciloscópio - 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>(i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</t>
    </r>
  </si>
  <si>
    <r>
      <t>Osciloscópio - log(V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>)[log(i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)]</t>
    </r>
  </si>
  <si>
    <r>
      <t>Voltímetro - 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>(n)</t>
    </r>
  </si>
  <si>
    <r>
      <t>Voltímetro - log(V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>)[log(n)]</t>
    </r>
  </si>
  <si>
    <r>
      <t>Osciloscópio - 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>(n)</t>
    </r>
  </si>
  <si>
    <r>
      <t>Osciloscópio - log(V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>)[log(n)]</t>
    </r>
  </si>
  <si>
    <r>
      <t>Voltímetro - 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>(S)</t>
    </r>
  </si>
  <si>
    <r>
      <t>Voltímetro - log(V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>)[log(S)]</t>
    </r>
  </si>
  <si>
    <r>
      <t>Osciloscópio - 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>(S)</t>
    </r>
  </si>
  <si>
    <r>
      <t>Osciloscópio - log(V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>)[log(S)]</t>
    </r>
  </si>
  <si>
    <r>
      <t>Voltímetro - 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>(cos(θ))</t>
    </r>
  </si>
  <si>
    <r>
      <t>Voltímetro - log(V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>)[log(cos(θ))]</t>
    </r>
  </si>
  <si>
    <r>
      <t>Osciloscópio - 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>(cos(θ))</t>
    </r>
  </si>
  <si>
    <r>
      <t>Osciloscópio - log(V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>)[log(cos(θ))]</t>
    </r>
  </si>
  <si>
    <r>
      <t>V</t>
    </r>
    <r>
      <rPr>
        <vertAlign val="subscript"/>
        <sz val="11"/>
        <color theme="1"/>
        <rFont val="Calibri"/>
        <family val="2"/>
        <scheme val="minor"/>
      </rPr>
      <t>pp</t>
    </r>
    <r>
      <rPr>
        <sz val="11"/>
        <color theme="1"/>
        <rFont val="Calibri"/>
        <family val="2"/>
        <scheme val="minor"/>
      </rPr>
      <t xml:space="preserve"> /V</t>
    </r>
  </si>
  <si>
    <t>u(θ) /rads</t>
  </si>
  <si>
    <r>
      <t>V</t>
    </r>
    <r>
      <rPr>
        <vertAlign val="subscript"/>
        <sz val="11"/>
        <color theme="1"/>
        <rFont val="Calibri"/>
        <family val="2"/>
        <scheme val="minor"/>
      </rPr>
      <t>Erms</t>
    </r>
    <r>
      <rPr>
        <sz val="11"/>
        <color theme="1"/>
        <rFont val="Calibri"/>
        <family val="2"/>
        <scheme val="minor"/>
      </rPr>
      <t xml:space="preserve"> /V</t>
    </r>
  </si>
  <si>
    <r>
      <t>u(V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>) /V</t>
    </r>
  </si>
  <si>
    <t>u(y)</t>
  </si>
  <si>
    <t>u(N)</t>
  </si>
  <si>
    <r>
      <t>log(V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ajuste 2</t>
    </r>
  </si>
  <si>
    <r>
      <t>V</t>
    </r>
    <r>
      <rPr>
        <vertAlign val="subscript"/>
        <sz val="11"/>
        <color theme="1"/>
        <rFont val="Calibri"/>
        <family val="2"/>
        <scheme val="minor"/>
      </rPr>
      <t>E0|ajuste 2</t>
    </r>
    <r>
      <rPr>
        <sz val="11"/>
        <color theme="1"/>
        <rFont val="Calibri"/>
        <family val="2"/>
        <scheme val="minor"/>
      </rPr>
      <t xml:space="preserve"> /V</t>
    </r>
  </si>
  <si>
    <r>
      <t>u(i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 /A</t>
    </r>
  </si>
  <si>
    <t>Voltímetro - Gama 1</t>
  </si>
  <si>
    <t>Osciloscópio - Gama 1</t>
  </si>
  <si>
    <t>Voltímetro - Gama 2</t>
  </si>
  <si>
    <t>Ensaio</t>
  </si>
  <si>
    <t>Variável</t>
  </si>
  <si>
    <r>
      <t>u</t>
    </r>
    <r>
      <rPr>
        <vertAlign val="subscript"/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(μ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</t>
    </r>
  </si>
  <si>
    <r>
      <t>Er</t>
    </r>
    <r>
      <rPr>
        <vertAlign val="subscript"/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(μ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</t>
    </r>
  </si>
  <si>
    <t>ω</t>
  </si>
  <si>
    <r>
      <t>i</t>
    </r>
    <r>
      <rPr>
        <vertAlign val="subscript"/>
        <sz val="11"/>
        <color theme="1"/>
        <rFont val="Calibri"/>
        <family val="2"/>
        <scheme val="minor"/>
      </rPr>
      <t>0</t>
    </r>
  </si>
  <si>
    <t>θ</t>
  </si>
  <si>
    <t>n /s.u.</t>
  </si>
  <si>
    <t>L/m</t>
  </si>
  <si>
    <r>
      <t>μ</t>
    </r>
    <r>
      <rPr>
        <vertAlign val="subscript"/>
        <sz val="11"/>
        <color theme="1"/>
        <rFont val="Calibri"/>
        <family val="2"/>
      </rPr>
      <t>0</t>
    </r>
    <r>
      <rPr>
        <sz val="11"/>
        <color theme="1"/>
        <rFont val="Calibri"/>
        <family val="2"/>
      </rPr>
      <t xml:space="preserve"> /Hm</t>
    </r>
    <r>
      <rPr>
        <vertAlign val="superscript"/>
        <sz val="11"/>
        <color theme="1"/>
        <rFont val="Calibri"/>
        <family val="2"/>
      </rPr>
      <t>-1</t>
    </r>
  </si>
  <si>
    <r>
      <t>u(μ</t>
    </r>
    <r>
      <rPr>
        <vertAlign val="subscript"/>
        <sz val="11"/>
        <color theme="1"/>
        <rFont val="Calibri"/>
        <family val="2"/>
      </rPr>
      <t>0</t>
    </r>
    <r>
      <rPr>
        <sz val="11"/>
        <color theme="1"/>
        <rFont val="Calibri"/>
        <family val="2"/>
      </rPr>
      <t>) /Hm</t>
    </r>
    <r>
      <rPr>
        <vertAlign val="superscript"/>
        <sz val="11"/>
        <color theme="1"/>
        <rFont val="Calibri"/>
        <family val="2"/>
      </rPr>
      <t>-1</t>
    </r>
  </si>
  <si>
    <r>
      <t>Er</t>
    </r>
    <r>
      <rPr>
        <vertAlign val="subscript"/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(m)</t>
    </r>
  </si>
  <si>
    <t>D/m</t>
  </si>
  <si>
    <r>
      <t>μ</t>
    </r>
    <r>
      <rPr>
        <vertAlign val="subscript"/>
        <sz val="11"/>
        <color theme="1"/>
        <rFont val="Calibri"/>
        <family val="2"/>
      </rPr>
      <t>0</t>
    </r>
    <r>
      <rPr>
        <sz val="11"/>
        <color theme="1"/>
        <rFont val="Calibri"/>
        <family val="2"/>
      </rPr>
      <t xml:space="preserve"> x 10</t>
    </r>
    <r>
      <rPr>
        <vertAlign val="superscript"/>
        <sz val="11"/>
        <color theme="1"/>
        <rFont val="Calibri"/>
        <family val="2"/>
      </rPr>
      <t>-6</t>
    </r>
    <r>
      <rPr>
        <sz val="11"/>
        <color theme="1"/>
        <rFont val="Calibri"/>
        <family val="2"/>
      </rPr>
      <t xml:space="preserve"> /Hm</t>
    </r>
    <r>
      <rPr>
        <vertAlign val="superscript"/>
        <sz val="11"/>
        <color theme="1"/>
        <rFont val="Calibri"/>
        <family val="2"/>
      </rPr>
      <t>-1</t>
    </r>
  </si>
  <si>
    <r>
      <t>μ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x 10</t>
    </r>
    <r>
      <rPr>
        <vertAlign val="superscript"/>
        <sz val="11"/>
        <color theme="1"/>
        <rFont val="Calibri"/>
        <family val="2"/>
        <scheme val="minor"/>
      </rPr>
      <t>-6</t>
    </r>
    <r>
      <rPr>
        <sz val="11"/>
        <color theme="1"/>
        <rFont val="Calibri"/>
        <family val="2"/>
        <scheme val="minor"/>
      </rPr>
      <t xml:space="preserve"> /Hm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</si>
  <si>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u(μ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 x 10</t>
    </r>
    <r>
      <rPr>
        <vertAlign val="superscript"/>
        <sz val="11"/>
        <color theme="1"/>
        <rFont val="Calibri"/>
        <family val="2"/>
        <scheme val="minor"/>
      </rPr>
      <t>-6</t>
    </r>
    <r>
      <rPr>
        <sz val="11"/>
        <color theme="1"/>
        <rFont val="Calibri"/>
        <family val="2"/>
        <scheme val="minor"/>
      </rPr>
      <t xml:space="preserve"> /Hm</t>
    </r>
    <r>
      <rPr>
        <vertAlign val="superscript"/>
        <sz val="11"/>
        <color theme="1"/>
        <rFont val="Calibri"/>
        <family val="2"/>
        <scheme val="minor"/>
      </rPr>
      <t>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</si>
</sst>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00E+00"/>
    <numFmt numFmtId="165" formatCode="0.0E+00"/>
    <numFmt numFmtId="166" formatCode="0.000"/>
    <numFmt numFmtId="167" formatCode="0.0000"/>
    <numFmt numFmtId="168" formatCode="0.00000"/>
    <numFmt numFmtId="169" formatCode="0.0"/>
    <numFmt numFmtId="170" formatCode="0.0000E+00"/>
    <numFmt numFmtId="171" formatCode="0E+00"/>
    <numFmt numFmtId="172" formatCode="0.000000"/>
    <numFmt numFmtId="173" formatCode="0.000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</font>
    <font>
      <sz val="8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1EF"/>
        <bgColor indexed="64"/>
      </patternFill>
    </fill>
    <fill>
      <patternFill patternType="solid">
        <fgColor rgb="FFFFA3CD"/>
        <bgColor indexed="64"/>
      </patternFill>
    </fill>
    <fill>
      <patternFill patternType="solid">
        <fgColor rgb="FFFFBDDB"/>
        <bgColor indexed="64"/>
      </patternFill>
    </fill>
    <fill>
      <patternFill patternType="solid">
        <fgColor rgb="FFDCF4F3"/>
        <bgColor indexed="64"/>
      </patternFill>
    </fill>
    <fill>
      <patternFill patternType="solid">
        <fgColor rgb="FFB9E9E7"/>
        <bgColor indexed="64"/>
      </patternFill>
    </fill>
    <fill>
      <patternFill patternType="solid">
        <fgColor rgb="FF90DCD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8">
    <xf numFmtId="0" fontId="0" fillId="0" borderId="0" xfId="0"/>
    <xf numFmtId="0" fontId="0" fillId="0" borderId="0" xfId="0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36" xfId="0" applyFill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/>
    </xf>
    <xf numFmtId="0" fontId="0" fillId="3" borderId="39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6" fontId="0" fillId="0" borderId="17" xfId="0" applyNumberFormat="1" applyBorder="1" applyAlignment="1">
      <alignment horizontal="center" vertical="center"/>
    </xf>
    <xf numFmtId="167" fontId="0" fillId="0" borderId="17" xfId="0" applyNumberFormat="1" applyBorder="1" applyAlignment="1">
      <alignment horizontal="center" vertical="center"/>
    </xf>
    <xf numFmtId="167" fontId="0" fillId="0" borderId="6" xfId="0" applyNumberFormat="1" applyBorder="1" applyAlignment="1">
      <alignment horizontal="center" vertical="center"/>
    </xf>
    <xf numFmtId="167" fontId="0" fillId="0" borderId="20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169" fontId="0" fillId="0" borderId="5" xfId="0" applyNumberFormat="1" applyBorder="1" applyAlignment="1">
      <alignment horizontal="center" vertical="center"/>
    </xf>
    <xf numFmtId="169" fontId="0" fillId="0" borderId="6" xfId="0" applyNumberFormat="1" applyBorder="1" applyAlignment="1">
      <alignment horizontal="center" vertical="center"/>
    </xf>
    <xf numFmtId="169" fontId="0" fillId="0" borderId="20" xfId="0" applyNumberFormat="1" applyBorder="1" applyAlignment="1">
      <alignment horizontal="center" vertical="center"/>
    </xf>
    <xf numFmtId="167" fontId="0" fillId="0" borderId="41" xfId="0" applyNumberFormat="1" applyBorder="1" applyAlignment="1">
      <alignment horizontal="center" vertical="center"/>
    </xf>
    <xf numFmtId="169" fontId="0" fillId="0" borderId="16" xfId="0" applyNumberFormat="1" applyBorder="1" applyAlignment="1">
      <alignment horizontal="center" vertical="center"/>
    </xf>
    <xf numFmtId="169" fontId="0" fillId="0" borderId="18" xfId="0" applyNumberFormat="1" applyBorder="1" applyAlignment="1">
      <alignment horizontal="center" vertical="center"/>
    </xf>
    <xf numFmtId="169" fontId="0" fillId="0" borderId="21" xfId="0" applyNumberFormat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168" fontId="0" fillId="0" borderId="30" xfId="0" applyNumberFormat="1" applyBorder="1" applyAlignment="1">
      <alignment horizontal="center" vertical="center"/>
    </xf>
    <xf numFmtId="167" fontId="0" fillId="0" borderId="30" xfId="0" applyNumberFormat="1" applyBorder="1" applyAlignment="1">
      <alignment horizontal="center" vertical="center"/>
    </xf>
    <xf numFmtId="166" fontId="0" fillId="0" borderId="29" xfId="0" applyNumberFormat="1" applyBorder="1" applyAlignment="1">
      <alignment horizontal="center" vertical="center"/>
    </xf>
    <xf numFmtId="166" fontId="0" fillId="0" borderId="28" xfId="0" applyNumberFormat="1" applyBorder="1" applyAlignment="1">
      <alignment horizontal="center" vertical="center"/>
    </xf>
    <xf numFmtId="167" fontId="0" fillId="0" borderId="12" xfId="0" applyNumberFormat="1" applyBorder="1" applyAlignment="1">
      <alignment horizontal="center" vertical="center"/>
    </xf>
    <xf numFmtId="166" fontId="0" fillId="0" borderId="12" xfId="0" applyNumberFormat="1" applyBorder="1" applyAlignment="1">
      <alignment horizontal="center" vertical="center"/>
    </xf>
    <xf numFmtId="167" fontId="0" fillId="0" borderId="31" xfId="0" applyNumberFormat="1" applyBorder="1" applyAlignment="1">
      <alignment horizontal="center" vertical="center"/>
    </xf>
    <xf numFmtId="166" fontId="0" fillId="0" borderId="30" xfId="0" applyNumberFormat="1" applyBorder="1" applyAlignment="1">
      <alignment horizontal="center" vertical="center"/>
    </xf>
    <xf numFmtId="2" fontId="0" fillId="0" borderId="29" xfId="0" applyNumberFormat="1" applyBorder="1" applyAlignment="1">
      <alignment horizontal="center" vertical="center"/>
    </xf>
    <xf numFmtId="2" fontId="0" fillId="0" borderId="28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166" fontId="0" fillId="0" borderId="31" xfId="0" applyNumberFormat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8" fontId="0" fillId="0" borderId="6" xfId="0" applyNumberFormat="1" applyBorder="1" applyAlignment="1">
      <alignment horizontal="center" vertical="center"/>
    </xf>
    <xf numFmtId="168" fontId="0" fillId="0" borderId="20" xfId="0" applyNumberFormat="1" applyBorder="1" applyAlignment="1">
      <alignment horizontal="center" vertical="center"/>
    </xf>
    <xf numFmtId="166" fontId="0" fillId="0" borderId="6" xfId="0" applyNumberFormat="1" applyBorder="1" applyAlignment="1">
      <alignment horizontal="center" vertical="center"/>
    </xf>
    <xf numFmtId="166" fontId="0" fillId="0" borderId="20" xfId="0" applyNumberFormat="1" applyBorder="1" applyAlignment="1">
      <alignment horizontal="center" vertical="center"/>
    </xf>
    <xf numFmtId="171" fontId="0" fillId="0" borderId="5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0" borderId="20" xfId="0" applyNumberFormat="1" applyBorder="1" applyAlignment="1">
      <alignment horizontal="center" vertical="center"/>
    </xf>
    <xf numFmtId="167" fontId="0" fillId="0" borderId="5" xfId="0" applyNumberFormat="1" applyBorder="1" applyAlignment="1">
      <alignment horizontal="center" vertical="center"/>
    </xf>
    <xf numFmtId="166" fontId="0" fillId="0" borderId="5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67" fontId="0" fillId="0" borderId="15" xfId="0" applyNumberFormat="1" applyBorder="1" applyAlignment="1">
      <alignment horizontal="center" vertical="center"/>
    </xf>
    <xf numFmtId="167" fontId="0" fillId="0" borderId="19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1" fontId="0" fillId="0" borderId="28" xfId="0" applyNumberFormat="1" applyBorder="1" applyAlignment="1">
      <alignment horizontal="center" vertical="center"/>
    </xf>
    <xf numFmtId="171" fontId="0" fillId="0" borderId="29" xfId="0" applyNumberFormat="1" applyBorder="1" applyAlignment="1">
      <alignment horizontal="center" vertical="center"/>
    </xf>
    <xf numFmtId="164" fontId="0" fillId="0" borderId="28" xfId="0" applyNumberFormat="1" applyBorder="1" applyAlignment="1">
      <alignment horizontal="center" vertical="center"/>
    </xf>
    <xf numFmtId="2" fontId="0" fillId="0" borderId="31" xfId="0" applyNumberFormat="1" applyBorder="1" applyAlignment="1">
      <alignment horizontal="center" vertical="center"/>
    </xf>
    <xf numFmtId="167" fontId="0" fillId="0" borderId="16" xfId="0" applyNumberFormat="1" applyBorder="1" applyAlignment="1">
      <alignment horizontal="center" vertical="center"/>
    </xf>
    <xf numFmtId="167" fontId="0" fillId="0" borderId="18" xfId="0" applyNumberFormat="1" applyBorder="1" applyAlignment="1">
      <alignment horizontal="center" vertical="center"/>
    </xf>
    <xf numFmtId="167" fontId="0" fillId="0" borderId="21" xfId="0" applyNumberFormat="1" applyBorder="1" applyAlignment="1">
      <alignment horizontal="center" vertical="center"/>
    </xf>
    <xf numFmtId="171" fontId="0" fillId="0" borderId="6" xfId="0" applyNumberFormat="1" applyBorder="1" applyAlignment="1">
      <alignment horizontal="center" vertical="center"/>
    </xf>
    <xf numFmtId="171" fontId="0" fillId="0" borderId="20" xfId="0" applyNumberFormat="1" applyBorder="1" applyAlignment="1">
      <alignment horizontal="center" vertical="center"/>
    </xf>
    <xf numFmtId="166" fontId="0" fillId="0" borderId="16" xfId="0" applyNumberFormat="1" applyBorder="1" applyAlignment="1">
      <alignment horizontal="center" vertical="center"/>
    </xf>
    <xf numFmtId="166" fontId="0" fillId="0" borderId="18" xfId="0" applyNumberFormat="1" applyBorder="1" applyAlignment="1">
      <alignment horizontal="center" vertical="center"/>
    </xf>
    <xf numFmtId="166" fontId="0" fillId="0" borderId="21" xfId="0" applyNumberFormat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49" xfId="0" applyFill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70" fontId="0" fillId="0" borderId="6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167" fontId="0" fillId="0" borderId="28" xfId="0" applyNumberFormat="1" applyBorder="1" applyAlignment="1">
      <alignment horizontal="center" vertical="center"/>
    </xf>
    <xf numFmtId="167" fontId="0" fillId="0" borderId="29" xfId="0" applyNumberFormat="1" applyBorder="1" applyAlignment="1">
      <alignment horizontal="center" vertical="center"/>
    </xf>
    <xf numFmtId="169" fontId="0" fillId="0" borderId="31" xfId="0" applyNumberFormat="1" applyBorder="1" applyAlignment="1">
      <alignment horizontal="center" vertical="center"/>
    </xf>
    <xf numFmtId="169" fontId="0" fillId="0" borderId="12" xfId="0" applyNumberFormat="1" applyBorder="1" applyAlignment="1">
      <alignment horizontal="center" vertical="center"/>
    </xf>
    <xf numFmtId="169" fontId="0" fillId="0" borderId="10" xfId="0" applyNumberFormat="1" applyBorder="1" applyAlignment="1">
      <alignment horizontal="center" vertical="center"/>
    </xf>
    <xf numFmtId="1" fontId="0" fillId="0" borderId="41" xfId="0" applyNumberFormat="1" applyBorder="1" applyAlignment="1">
      <alignment horizontal="center" vertical="center"/>
    </xf>
    <xf numFmtId="0" fontId="1" fillId="3" borderId="54" xfId="0" applyFont="1" applyFill="1" applyBorder="1" applyAlignment="1">
      <alignment horizontal="center" vertical="center"/>
    </xf>
    <xf numFmtId="166" fontId="0" fillId="0" borderId="47" xfId="0" applyNumberFormat="1" applyBorder="1" applyAlignment="1">
      <alignment horizontal="center" vertical="center"/>
    </xf>
    <xf numFmtId="167" fontId="0" fillId="0" borderId="55" xfId="0" applyNumberFormat="1" applyBorder="1" applyAlignment="1">
      <alignment horizontal="center" vertical="center"/>
    </xf>
    <xf numFmtId="167" fontId="0" fillId="0" borderId="56" xfId="0" applyNumberFormat="1" applyBorder="1" applyAlignment="1">
      <alignment horizontal="center" vertical="center"/>
    </xf>
    <xf numFmtId="167" fontId="0" fillId="0" borderId="41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6" fontId="0" fillId="0" borderId="41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44" xfId="0" applyNumberFormat="1" applyBorder="1" applyAlignment="1">
      <alignment horizontal="center" vertical="center"/>
    </xf>
    <xf numFmtId="167" fontId="0" fillId="0" borderId="45" xfId="0" applyNumberFormat="1" applyBorder="1" applyAlignment="1">
      <alignment horizontal="center" vertical="center"/>
    </xf>
    <xf numFmtId="168" fontId="0" fillId="0" borderId="46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58" xfId="0" applyNumberFormat="1" applyBorder="1" applyAlignment="1">
      <alignment horizontal="center" vertical="center"/>
    </xf>
    <xf numFmtId="172" fontId="0" fillId="0" borderId="30" xfId="0" applyNumberFormat="1" applyBorder="1" applyAlignment="1">
      <alignment horizontal="center" vertical="center"/>
    </xf>
    <xf numFmtId="173" fontId="0" fillId="0" borderId="30" xfId="0" applyNumberFormat="1" applyBorder="1" applyAlignment="1">
      <alignment horizontal="center" vertical="center"/>
    </xf>
    <xf numFmtId="0" fontId="0" fillId="5" borderId="49" xfId="0" applyFill="1" applyBorder="1" applyAlignment="1">
      <alignment horizontal="center" vertical="center"/>
    </xf>
    <xf numFmtId="0" fontId="0" fillId="5" borderId="50" xfId="0" applyFill="1" applyBorder="1" applyAlignment="1">
      <alignment horizontal="center" vertical="center"/>
    </xf>
    <xf numFmtId="167" fontId="0" fillId="0" borderId="40" xfId="0" applyNumberFormat="1" applyBorder="1" applyAlignment="1">
      <alignment horizontal="center" vertical="center"/>
    </xf>
    <xf numFmtId="166" fontId="0" fillId="0" borderId="20" xfId="0" applyNumberFormat="1" applyBorder="1" applyAlignment="1">
      <alignment horizontal="center"/>
    </xf>
    <xf numFmtId="167" fontId="0" fillId="0" borderId="20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 vertical="center"/>
    </xf>
    <xf numFmtId="166" fontId="0" fillId="0" borderId="19" xfId="0" applyNumberFormat="1" applyBorder="1" applyAlignment="1">
      <alignment horizontal="center" vertical="center"/>
    </xf>
    <xf numFmtId="0" fontId="0" fillId="10" borderId="57" xfId="0" applyFill="1" applyBorder="1" applyAlignment="1">
      <alignment horizontal="center" vertical="center"/>
    </xf>
    <xf numFmtId="2" fontId="0" fillId="0" borderId="30" xfId="0" applyNumberFormat="1" applyBorder="1" applyAlignment="1">
      <alignment horizontal="center" vertical="center"/>
    </xf>
    <xf numFmtId="167" fontId="0" fillId="2" borderId="17" xfId="0" applyNumberFormat="1" applyFill="1" applyBorder="1" applyAlignment="1">
      <alignment horizontal="center" vertical="center"/>
    </xf>
    <xf numFmtId="167" fontId="0" fillId="2" borderId="6" xfId="0" applyNumberForma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167" fontId="0" fillId="2" borderId="19" xfId="0" applyNumberFormat="1" applyFill="1" applyBorder="1" applyAlignment="1">
      <alignment horizontal="center" vertical="center"/>
    </xf>
    <xf numFmtId="167" fontId="0" fillId="2" borderId="20" xfId="0" applyNumberFormat="1" applyFill="1" applyBorder="1" applyAlignment="1">
      <alignment horizontal="center" vertical="center"/>
    </xf>
    <xf numFmtId="168" fontId="0" fillId="0" borderId="5" xfId="0" applyNumberFormat="1" applyBorder="1" applyAlignment="1">
      <alignment horizontal="center" vertical="center"/>
    </xf>
    <xf numFmtId="2" fontId="0" fillId="0" borderId="41" xfId="0" applyNumberForma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5" xfId="0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4" xfId="0" applyBorder="1" applyAlignment="1">
      <alignment horizontal="center"/>
    </xf>
    <xf numFmtId="167" fontId="0" fillId="0" borderId="4" xfId="0" applyNumberFormat="1" applyBorder="1" applyAlignment="1">
      <alignment horizontal="center"/>
    </xf>
    <xf numFmtId="0" fontId="0" fillId="0" borderId="61" xfId="0" applyBorder="1" applyAlignment="1">
      <alignment horizontal="center"/>
    </xf>
    <xf numFmtId="0" fontId="0" fillId="2" borderId="62" xfId="0" applyFill="1" applyBorder="1" applyAlignment="1">
      <alignment horizontal="center"/>
    </xf>
    <xf numFmtId="167" fontId="0" fillId="0" borderId="63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0" fillId="5" borderId="47" xfId="0" applyFill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0" fontId="0" fillId="5" borderId="48" xfId="0" applyFill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0" fontId="0" fillId="10" borderId="47" xfId="0" applyFill="1" applyBorder="1" applyAlignment="1">
      <alignment horizontal="center"/>
    </xf>
    <xf numFmtId="0" fontId="0" fillId="10" borderId="48" xfId="0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7" fontId="0" fillId="0" borderId="2" xfId="0" applyNumberFormat="1" applyBorder="1" applyAlignment="1">
      <alignment horizontal="center"/>
    </xf>
    <xf numFmtId="0" fontId="3" fillId="0" borderId="53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0" fillId="0" borderId="52" xfId="0" applyBorder="1" applyAlignment="1">
      <alignment horizontal="center"/>
    </xf>
    <xf numFmtId="166" fontId="0" fillId="0" borderId="4" xfId="0" applyNumberFormat="1" applyBorder="1" applyAlignment="1">
      <alignment horizontal="center"/>
    </xf>
    <xf numFmtId="167" fontId="0" fillId="0" borderId="51" xfId="0" applyNumberFormat="1" applyBorder="1" applyAlignment="1">
      <alignment horizontal="center"/>
    </xf>
    <xf numFmtId="167" fontId="0" fillId="0" borderId="18" xfId="0" applyNumberFormat="1" applyBorder="1" applyAlignment="1">
      <alignment horizontal="center"/>
    </xf>
    <xf numFmtId="167" fontId="0" fillId="0" borderId="21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171" fontId="0" fillId="0" borderId="3" xfId="0" applyNumberFormat="1" applyBorder="1" applyAlignment="1">
      <alignment horizontal="center"/>
    </xf>
    <xf numFmtId="166" fontId="0" fillId="0" borderId="40" xfId="0" applyNumberFormat="1" applyBorder="1" applyAlignment="1">
      <alignment horizontal="center"/>
    </xf>
    <xf numFmtId="166" fontId="0" fillId="0" borderId="17" xfId="0" applyNumberFormat="1" applyBorder="1" applyAlignment="1">
      <alignment horizontal="center"/>
    </xf>
    <xf numFmtId="11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169" fontId="0" fillId="0" borderId="8" xfId="0" applyNumberFormat="1" applyBorder="1" applyAlignment="1">
      <alignment horizontal="center"/>
    </xf>
    <xf numFmtId="11" fontId="0" fillId="0" borderId="0" xfId="0" applyNumberFormat="1" applyAlignment="1">
      <alignment horizontal="center"/>
    </xf>
    <xf numFmtId="0" fontId="1" fillId="2" borderId="60" xfId="0" applyFont="1" applyFill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170" fontId="0" fillId="0" borderId="5" xfId="0" applyNumberFormat="1" applyBorder="1" applyAlignment="1">
      <alignment horizontal="center" vertical="center"/>
    </xf>
    <xf numFmtId="170" fontId="0" fillId="0" borderId="20" xfId="0" applyNumberFormat="1" applyBorder="1" applyAlignment="1">
      <alignment horizontal="center" vertical="center"/>
    </xf>
    <xf numFmtId="0" fontId="0" fillId="0" borderId="0" xfId="0" applyAlignment="1">
      <alignment horizontal="left"/>
    </xf>
    <xf numFmtId="169" fontId="0" fillId="0" borderId="28" xfId="0" applyNumberFormat="1" applyBorder="1" applyAlignment="1">
      <alignment horizontal="center" vertical="center"/>
    </xf>
    <xf numFmtId="169" fontId="0" fillId="0" borderId="29" xfId="0" applyNumberFormat="1" applyBorder="1" applyAlignment="1">
      <alignment horizontal="center" vertical="center"/>
    </xf>
    <xf numFmtId="1" fontId="0" fillId="0" borderId="28" xfId="0" applyNumberFormat="1" applyBorder="1" applyAlignment="1">
      <alignment horizontal="center" vertical="center"/>
    </xf>
    <xf numFmtId="1" fontId="0" fillId="0" borderId="29" xfId="0" applyNumberFormat="1" applyBorder="1" applyAlignment="1">
      <alignment horizontal="center" vertical="center"/>
    </xf>
    <xf numFmtId="1" fontId="0" fillId="0" borderId="31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169" fontId="0" fillId="0" borderId="5" xfId="0" applyNumberFormat="1" applyBorder="1" applyAlignment="1">
      <alignment horizontal="center"/>
    </xf>
    <xf numFmtId="169" fontId="0" fillId="0" borderId="7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2" fontId="0" fillId="0" borderId="16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168" fontId="0" fillId="2" borderId="6" xfId="0" applyNumberFormat="1" applyFill="1" applyBorder="1" applyAlignment="1">
      <alignment horizontal="center" vertical="center"/>
    </xf>
    <xf numFmtId="168" fontId="0" fillId="2" borderId="20" xfId="0" applyNumberFormat="1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47" xfId="0" applyFill="1" applyBorder="1" applyAlignment="1">
      <alignment horizontal="center"/>
    </xf>
    <xf numFmtId="0" fontId="0" fillId="11" borderId="48" xfId="0" applyFill="1" applyBorder="1" applyAlignment="1">
      <alignment horizontal="center"/>
    </xf>
    <xf numFmtId="0" fontId="1" fillId="11" borderId="5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1" fillId="11" borderId="7" xfId="0" applyFont="1" applyFill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0" fillId="11" borderId="49" xfId="0" applyFill="1" applyBorder="1" applyAlignment="1">
      <alignment horizontal="center" vertical="center"/>
    </xf>
    <xf numFmtId="0" fontId="0" fillId="11" borderId="50" xfId="0" applyFill="1" applyBorder="1" applyAlignment="1">
      <alignment horizontal="center" vertical="center"/>
    </xf>
    <xf numFmtId="167" fontId="0" fillId="0" borderId="5" xfId="0" applyNumberFormat="1" applyBorder="1" applyAlignment="1">
      <alignment horizontal="center"/>
    </xf>
    <xf numFmtId="167" fontId="0" fillId="0" borderId="7" xfId="0" applyNumberFormat="1" applyBorder="1" applyAlignment="1">
      <alignment horizontal="center"/>
    </xf>
    <xf numFmtId="0" fontId="0" fillId="13" borderId="15" xfId="0" applyFill="1" applyBorder="1" applyAlignment="1">
      <alignment horizontal="center" vertical="center"/>
    </xf>
    <xf numFmtId="167" fontId="0" fillId="13" borderId="5" xfId="0" applyNumberFormat="1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/>
    </xf>
    <xf numFmtId="167" fontId="0" fillId="13" borderId="6" xfId="0" applyNumberFormat="1" applyFill="1" applyBorder="1" applyAlignment="1">
      <alignment horizontal="center" vertical="center"/>
    </xf>
    <xf numFmtId="0" fontId="0" fillId="14" borderId="49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50" xfId="0" applyFill="1" applyBorder="1" applyAlignment="1">
      <alignment horizontal="center" vertical="center"/>
    </xf>
    <xf numFmtId="0" fontId="0" fillId="15" borderId="15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167" fontId="0" fillId="15" borderId="5" xfId="0" applyNumberFormat="1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5" borderId="17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167" fontId="0" fillId="15" borderId="6" xfId="0" applyNumberFormat="1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2" fontId="0" fillId="15" borderId="17" xfId="0" applyNumberFormat="1" applyFill="1" applyBorder="1" applyAlignment="1">
      <alignment horizontal="center" vertical="center"/>
    </xf>
    <xf numFmtId="2" fontId="0" fillId="15" borderId="3" xfId="0" applyNumberFormat="1" applyFill="1" applyBorder="1" applyAlignment="1">
      <alignment horizontal="center" vertical="center"/>
    </xf>
    <xf numFmtId="166" fontId="0" fillId="15" borderId="6" xfId="0" applyNumberFormat="1" applyFill="1" applyBorder="1" applyAlignment="1">
      <alignment horizontal="center" vertical="center"/>
    </xf>
    <xf numFmtId="166" fontId="0" fillId="15" borderId="5" xfId="0" applyNumberFormat="1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4" borderId="47" xfId="0" applyFill="1" applyBorder="1" applyAlignment="1">
      <alignment horizontal="center"/>
    </xf>
    <xf numFmtId="0" fontId="0" fillId="14" borderId="48" xfId="0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14" borderId="6" xfId="0" applyFont="1" applyFill="1" applyBorder="1" applyAlignment="1">
      <alignment horizontal="center"/>
    </xf>
    <xf numFmtId="0" fontId="1" fillId="14" borderId="7" xfId="0" applyFont="1" applyFill="1" applyBorder="1" applyAlignment="1">
      <alignment horizontal="center"/>
    </xf>
    <xf numFmtId="167" fontId="0" fillId="0" borderId="16" xfId="0" applyNumberFormat="1" applyBorder="1" applyAlignment="1">
      <alignment horizontal="center"/>
    </xf>
    <xf numFmtId="167" fontId="0" fillId="0" borderId="15" xfId="0" applyNumberFormat="1" applyBorder="1" applyAlignment="1">
      <alignment horizontal="center"/>
    </xf>
    <xf numFmtId="167" fontId="0" fillId="0" borderId="17" xfId="0" applyNumberFormat="1" applyBorder="1" applyAlignment="1">
      <alignment horizontal="center"/>
    </xf>
    <xf numFmtId="167" fontId="0" fillId="0" borderId="67" xfId="0" applyNumberFormat="1" applyBorder="1" applyAlignment="1">
      <alignment horizontal="center"/>
    </xf>
    <xf numFmtId="167" fontId="0" fillId="0" borderId="59" xfId="0" applyNumberFormat="1" applyBorder="1" applyAlignment="1">
      <alignment horizontal="center"/>
    </xf>
    <xf numFmtId="167" fontId="0" fillId="0" borderId="68" xfId="0" applyNumberFormat="1" applyBorder="1" applyAlignment="1">
      <alignment horizontal="center"/>
    </xf>
    <xf numFmtId="167" fontId="0" fillId="0" borderId="19" xfId="0" applyNumberFormat="1" applyBorder="1" applyAlignment="1">
      <alignment horizontal="center"/>
    </xf>
    <xf numFmtId="0" fontId="0" fillId="18" borderId="49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8" borderId="50" xfId="0" applyFill="1" applyBorder="1" applyAlignment="1">
      <alignment horizontal="center" vertical="center"/>
    </xf>
    <xf numFmtId="0" fontId="0" fillId="18" borderId="5" xfId="0" applyFill="1" applyBorder="1" applyAlignment="1">
      <alignment horizontal="center" vertical="center"/>
    </xf>
    <xf numFmtId="0" fontId="0" fillId="18" borderId="6" xfId="0" applyFill="1" applyBorder="1" applyAlignment="1">
      <alignment horizontal="center" vertical="center"/>
    </xf>
    <xf numFmtId="0" fontId="0" fillId="18" borderId="7" xfId="0" applyFill="1" applyBorder="1" applyAlignment="1">
      <alignment horizontal="center" vertical="center"/>
    </xf>
    <xf numFmtId="0" fontId="0" fillId="18" borderId="47" xfId="0" applyFill="1" applyBorder="1" applyAlignment="1">
      <alignment horizontal="center"/>
    </xf>
    <xf numFmtId="0" fontId="0" fillId="18" borderId="48" xfId="0" applyFill="1" applyBorder="1" applyAlignment="1">
      <alignment horizontal="center"/>
    </xf>
    <xf numFmtId="0" fontId="1" fillId="18" borderId="5" xfId="0" applyFont="1" applyFill="1" applyBorder="1" applyAlignment="1">
      <alignment horizontal="center"/>
    </xf>
    <xf numFmtId="0" fontId="1" fillId="18" borderId="6" xfId="0" applyFont="1" applyFill="1" applyBorder="1" applyAlignment="1">
      <alignment horizontal="center"/>
    </xf>
    <xf numFmtId="0" fontId="1" fillId="18" borderId="7" xfId="0" applyFont="1" applyFill="1" applyBorder="1" applyAlignment="1">
      <alignment horizontal="center"/>
    </xf>
    <xf numFmtId="168" fontId="0" fillId="0" borderId="10" xfId="0" applyNumberFormat="1" applyBorder="1" applyAlignment="1">
      <alignment horizontal="center" vertical="center"/>
    </xf>
    <xf numFmtId="168" fontId="0" fillId="0" borderId="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6" xfId="0" applyNumberFormat="1" applyBorder="1" applyAlignment="1">
      <alignment horizontal="center"/>
    </xf>
    <xf numFmtId="168" fontId="0" fillId="0" borderId="18" xfId="0" applyNumberFormat="1" applyBorder="1" applyAlignment="1">
      <alignment horizontal="center"/>
    </xf>
    <xf numFmtId="168" fontId="0" fillId="0" borderId="21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67" fontId="0" fillId="0" borderId="69" xfId="0" applyNumberFormat="1" applyBorder="1" applyAlignment="1">
      <alignment horizontal="center"/>
    </xf>
    <xf numFmtId="168" fontId="0" fillId="0" borderId="70" xfId="0" applyNumberFormat="1" applyBorder="1" applyAlignment="1">
      <alignment horizontal="center"/>
    </xf>
    <xf numFmtId="168" fontId="0" fillId="0" borderId="71" xfId="0" applyNumberFormat="1" applyBorder="1" applyAlignment="1">
      <alignment horizontal="center"/>
    </xf>
    <xf numFmtId="0" fontId="0" fillId="10" borderId="72" xfId="0" applyFill="1" applyBorder="1" applyAlignment="1">
      <alignment horizontal="center" vertical="center"/>
    </xf>
    <xf numFmtId="166" fontId="0" fillId="0" borderId="2" xfId="0" applyNumberFormat="1" applyBorder="1" applyAlignment="1">
      <alignment horizontal="center" vertical="center"/>
    </xf>
    <xf numFmtId="166" fontId="0" fillId="0" borderId="3" xfId="0" applyNumberFormat="1" applyBorder="1" applyAlignment="1">
      <alignment horizontal="center" vertical="center"/>
    </xf>
    <xf numFmtId="167" fontId="0" fillId="0" borderId="3" xfId="0" applyNumberFormat="1" applyBorder="1" applyAlignment="1">
      <alignment horizontal="center" vertical="center"/>
    </xf>
    <xf numFmtId="167" fontId="0" fillId="0" borderId="58" xfId="0" applyNumberFormat="1" applyBorder="1" applyAlignment="1">
      <alignment horizontal="center" vertical="center"/>
    </xf>
    <xf numFmtId="169" fontId="0" fillId="0" borderId="3" xfId="0" applyNumberFormat="1" applyBorder="1" applyAlignment="1">
      <alignment horizontal="center"/>
    </xf>
    <xf numFmtId="11" fontId="0" fillId="0" borderId="8" xfId="0" applyNumberFormat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171" fontId="0" fillId="0" borderId="6" xfId="0" applyNumberFormat="1" applyBorder="1" applyAlignment="1">
      <alignment horizontal="center"/>
    </xf>
    <xf numFmtId="169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71" fontId="0" fillId="0" borderId="41" xfId="0" applyNumberFormat="1" applyBorder="1" applyAlignment="1">
      <alignment horizontal="center"/>
    </xf>
    <xf numFmtId="169" fontId="0" fillId="0" borderId="41" xfId="0" applyNumberForma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5" borderId="49" xfId="0" applyFill="1" applyBorder="1" applyAlignment="1">
      <alignment horizontal="center"/>
    </xf>
    <xf numFmtId="0" fontId="0" fillId="5" borderId="50" xfId="0" applyFill="1" applyBorder="1" applyAlignment="1">
      <alignment horizontal="center"/>
    </xf>
    <xf numFmtId="2" fontId="0" fillId="0" borderId="51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171" fontId="0" fillId="0" borderId="20" xfId="0" applyNumberFormat="1" applyBorder="1" applyAlignment="1">
      <alignment horizontal="center"/>
    </xf>
    <xf numFmtId="1" fontId="0" fillId="0" borderId="20" xfId="0" applyNumberFormat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0" fontId="0" fillId="10" borderId="49" xfId="0" applyFill="1" applyBorder="1" applyAlignment="1">
      <alignment horizontal="center"/>
    </xf>
    <xf numFmtId="0" fontId="0" fillId="10" borderId="50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73" xfId="0" applyFill="1" applyBorder="1" applyAlignment="1">
      <alignment horizontal="center"/>
    </xf>
    <xf numFmtId="2" fontId="0" fillId="0" borderId="40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169" fontId="0" fillId="0" borderId="17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4" borderId="32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4" borderId="37" xfId="0" applyFill="1" applyBorder="1" applyAlignment="1">
      <alignment horizontal="center"/>
    </xf>
    <xf numFmtId="0" fontId="0" fillId="4" borderId="38" xfId="0" applyFill="1" applyBorder="1" applyAlignment="1">
      <alignment horizontal="center"/>
    </xf>
    <xf numFmtId="0" fontId="0" fillId="4" borderId="39" xfId="0" applyFill="1" applyBorder="1" applyAlignment="1">
      <alignment horizontal="center"/>
    </xf>
    <xf numFmtId="0" fontId="0" fillId="8" borderId="32" xfId="0" applyFill="1" applyBorder="1" applyAlignment="1">
      <alignment horizontal="center" vertical="center"/>
    </xf>
    <xf numFmtId="0" fontId="0" fillId="8" borderId="33" xfId="0" applyFill="1" applyBorder="1" applyAlignment="1">
      <alignment horizontal="center" vertical="center"/>
    </xf>
    <xf numFmtId="0" fontId="0" fillId="8" borderId="34" xfId="0" applyFill="1" applyBorder="1" applyAlignment="1">
      <alignment horizontal="center" vertical="center"/>
    </xf>
    <xf numFmtId="0" fontId="0" fillId="8" borderId="32" xfId="0" applyFill="1" applyBorder="1" applyAlignment="1">
      <alignment horizontal="center"/>
    </xf>
    <xf numFmtId="0" fontId="0" fillId="8" borderId="33" xfId="0" applyFill="1" applyBorder="1" applyAlignment="1">
      <alignment horizontal="center"/>
    </xf>
    <xf numFmtId="0" fontId="0" fillId="8" borderId="34" xfId="0" applyFill="1" applyBorder="1" applyAlignment="1">
      <alignment horizontal="center"/>
    </xf>
    <xf numFmtId="0" fontId="0" fillId="9" borderId="25" xfId="0" applyFill="1" applyBorder="1" applyAlignment="1">
      <alignment horizontal="center" vertical="center"/>
    </xf>
    <xf numFmtId="0" fontId="0" fillId="9" borderId="26" xfId="0" applyFill="1" applyBorder="1" applyAlignment="1">
      <alignment horizontal="center" vertical="center"/>
    </xf>
    <xf numFmtId="0" fontId="0" fillId="9" borderId="27" xfId="0" applyFill="1" applyBorder="1" applyAlignment="1">
      <alignment horizontal="center" vertical="center"/>
    </xf>
    <xf numFmtId="0" fontId="0" fillId="15" borderId="25" xfId="0" applyFill="1" applyBorder="1" applyAlignment="1">
      <alignment horizontal="center" vertical="center"/>
    </xf>
    <xf numFmtId="0" fontId="0" fillId="15" borderId="26" xfId="0" applyFill="1" applyBorder="1" applyAlignment="1">
      <alignment horizontal="center" vertical="center"/>
    </xf>
    <xf numFmtId="0" fontId="0" fillId="15" borderId="27" xfId="0" applyFill="1" applyBorder="1" applyAlignment="1">
      <alignment horizontal="center" vertical="center"/>
    </xf>
    <xf numFmtId="0" fontId="0" fillId="4" borderId="37" xfId="0" applyFill="1" applyBorder="1" applyAlignment="1">
      <alignment horizontal="center" vertical="center"/>
    </xf>
    <xf numFmtId="0" fontId="0" fillId="4" borderId="38" xfId="0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12" borderId="64" xfId="0" applyFill="1" applyBorder="1" applyAlignment="1">
      <alignment horizontal="center"/>
    </xf>
    <xf numFmtId="0" fontId="0" fillId="12" borderId="65" xfId="0" applyFill="1" applyBorder="1" applyAlignment="1">
      <alignment horizontal="center"/>
    </xf>
    <xf numFmtId="0" fontId="0" fillId="12" borderId="66" xfId="0" applyFill="1" applyBorder="1" applyAlignment="1">
      <alignment horizontal="center"/>
    </xf>
    <xf numFmtId="0" fontId="0" fillId="13" borderId="25" xfId="0" applyFill="1" applyBorder="1" applyAlignment="1">
      <alignment horizontal="center" vertical="center"/>
    </xf>
    <xf numFmtId="0" fontId="0" fillId="13" borderId="26" xfId="0" applyFill="1" applyBorder="1" applyAlignment="1">
      <alignment horizontal="center" vertical="center"/>
    </xf>
    <xf numFmtId="0" fontId="0" fillId="13" borderId="27" xfId="0" applyFill="1" applyBorder="1" applyAlignment="1">
      <alignment horizontal="center" vertical="center"/>
    </xf>
    <xf numFmtId="0" fontId="0" fillId="16" borderId="64" xfId="0" applyFill="1" applyBorder="1" applyAlignment="1">
      <alignment horizontal="center"/>
    </xf>
    <xf numFmtId="0" fontId="0" fillId="16" borderId="65" xfId="0" applyFill="1" applyBorder="1" applyAlignment="1">
      <alignment horizontal="center"/>
    </xf>
    <xf numFmtId="0" fontId="0" fillId="16" borderId="66" xfId="0" applyFill="1" applyBorder="1" applyAlignment="1">
      <alignment horizontal="center"/>
    </xf>
    <xf numFmtId="0" fontId="0" fillId="8" borderId="37" xfId="0" applyFill="1" applyBorder="1" applyAlignment="1">
      <alignment horizontal="center" vertical="center"/>
    </xf>
    <xf numFmtId="0" fontId="0" fillId="8" borderId="38" xfId="0" applyFill="1" applyBorder="1" applyAlignment="1">
      <alignment horizontal="center" vertical="center"/>
    </xf>
    <xf numFmtId="0" fontId="0" fillId="8" borderId="39" xfId="0" applyFill="1" applyBorder="1" applyAlignment="1">
      <alignment horizontal="center" vertical="center"/>
    </xf>
    <xf numFmtId="0" fontId="0" fillId="17" borderId="64" xfId="0" applyFill="1" applyBorder="1" applyAlignment="1">
      <alignment horizontal="center"/>
    </xf>
    <xf numFmtId="0" fontId="0" fillId="17" borderId="65" xfId="0" applyFill="1" applyBorder="1" applyAlignment="1">
      <alignment horizontal="center"/>
    </xf>
    <xf numFmtId="0" fontId="0" fillId="17" borderId="66" xfId="0" applyFill="1" applyBorder="1" applyAlignment="1">
      <alignment horizont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8" borderId="37" xfId="0" applyFill="1" applyBorder="1" applyAlignment="1">
      <alignment horizontal="center"/>
    </xf>
    <xf numFmtId="0" fontId="0" fillId="8" borderId="38" xfId="0" applyFill="1" applyBorder="1" applyAlignment="1">
      <alignment horizontal="center"/>
    </xf>
    <xf numFmtId="0" fontId="0" fillId="8" borderId="3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F4F3"/>
      <color rgb="FFFFE1EF"/>
      <color rgb="FFFF9999"/>
      <color rgb="FFFF5050"/>
      <color rgb="FFB9E9E7"/>
      <color rgb="FF90DCD8"/>
      <color rgb="FFC8EEEC"/>
      <color rgb="FFC9EFEE"/>
      <color rgb="FFFFBDDB"/>
      <color rgb="FFFFA3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60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61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Voltímetro - Ajuste de V</a:t>
            </a:r>
            <a:r>
              <a:rPr lang="pt-PT" baseline="-25000"/>
              <a:t>E0</a:t>
            </a:r>
            <a:r>
              <a:rPr lang="pt-PT"/>
              <a:t>(</a:t>
            </a:r>
            <a:r>
              <a:rPr lang="el-GR"/>
              <a:t>ω)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7279008289167095"/>
                  <c:y val="0.1148433584572193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V</a:t>
                    </a:r>
                    <a:r>
                      <a:rPr lang="en-US" baseline="-25000"/>
                      <a:t>E0</a:t>
                    </a:r>
                    <a:r>
                      <a:rPr lang="en-US" baseline="0"/>
                      <a:t> = 9.83E-05</a:t>
                    </a:r>
                    <a:r>
                      <a:rPr lang="el-GR" sz="900" b="0" i="0" u="none" strike="noStrike" baseline="0">
                        <a:effectLst/>
                      </a:rPr>
                      <a:t>ω</a:t>
                    </a:r>
                    <a:r>
                      <a:rPr lang="en-US" baseline="0"/>
                      <a:t> + 0.006</a:t>
                    </a:r>
                    <a:endParaRPr lang="en-US"/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ω!$C$12:$C$23</c:f>
              <c:numCache>
                <c:formatCode>0</c:formatCode>
                <c:ptCount val="12"/>
                <c:pt idx="0">
                  <c:v>2513.2741228718346</c:v>
                </c:pt>
                <c:pt idx="1">
                  <c:v>4052.6545231308332</c:v>
                </c:pt>
                <c:pt idx="2">
                  <c:v>5064.2473575867461</c:v>
                </c:pt>
                <c:pt idx="3">
                  <c:v>6264.3357512580478</c:v>
                </c:pt>
                <c:pt idx="4">
                  <c:v>7652.919704144736</c:v>
                </c:pt>
                <c:pt idx="5">
                  <c:v>9374.5124783119427</c:v>
                </c:pt>
                <c:pt idx="6">
                  <c:v>10807.078728348888</c:v>
                </c:pt>
                <c:pt idx="7">
                  <c:v>11938.052083641214</c:v>
                </c:pt>
                <c:pt idx="8">
                  <c:v>13232.388256920209</c:v>
                </c:pt>
                <c:pt idx="9">
                  <c:v>15079.644737231007</c:v>
                </c:pt>
                <c:pt idx="10">
                  <c:v>13823.00767579509</c:v>
                </c:pt>
                <c:pt idx="11">
                  <c:v>15582.299561805374</c:v>
                </c:pt>
              </c:numCache>
            </c:numRef>
          </c:xVal>
          <c:yVal>
            <c:numRef>
              <c:f>ω!$I$12:$I$23</c:f>
              <c:numCache>
                <c:formatCode>0.0000</c:formatCode>
                <c:ptCount val="12"/>
                <c:pt idx="0">
                  <c:v>0.26106382361407332</c:v>
                </c:pt>
                <c:pt idx="1">
                  <c:v>0.39923248865792477</c:v>
                </c:pt>
                <c:pt idx="2">
                  <c:v>0.50360144956105923</c:v>
                </c:pt>
                <c:pt idx="3">
                  <c:v>0.61518289963229633</c:v>
                </c:pt>
                <c:pt idx="4">
                  <c:v>0.75745278400702976</c:v>
                </c:pt>
                <c:pt idx="5">
                  <c:v>0.92220866402349533</c:v>
                </c:pt>
                <c:pt idx="6">
                  <c:v>1.0762165209659253</c:v>
                </c:pt>
                <c:pt idx="7">
                  <c:v>1.1818582740751955</c:v>
                </c:pt>
                <c:pt idx="8">
                  <c:v>1.3071575957014518</c:v>
                </c:pt>
                <c:pt idx="9">
                  <c:v>1.4839342909980886</c:v>
                </c:pt>
                <c:pt idx="10">
                  <c:v>1.3637261381963757</c:v>
                </c:pt>
                <c:pt idx="11">
                  <c:v>1.5393714626431141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81-4830-B5A2-1A3D716085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120656"/>
        <c:axId val="1361121136"/>
      </c:scatterChart>
      <c:valAx>
        <c:axId val="1361120656"/>
        <c:scaling>
          <c:orientation val="minMax"/>
          <c:max val="16000"/>
          <c:min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ω</a:t>
                </a:r>
                <a:r>
                  <a:rPr lang="pt-PT"/>
                  <a:t> /Hz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1136"/>
        <c:crosses val="autoZero"/>
        <c:crossBetween val="midCat"/>
      </c:valAx>
      <c:valAx>
        <c:axId val="1361121136"/>
        <c:scaling>
          <c:orientation val="minMax"/>
          <c:max val="1.6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-25000"/>
                  <a:t>E0</a:t>
                </a:r>
                <a:r>
                  <a:rPr lang="pt-PT" baseline="0"/>
                  <a:t> /V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0656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t-PT" sz="1400"/>
              <a:t>Osciloscópio - Ajuste de VE0(</a:t>
            </a:r>
            <a:r>
              <a:rPr lang="el-GR" sz="1400"/>
              <a:t>ω)</a:t>
            </a:r>
            <a:endParaRPr lang="pt-PT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6610042395247696"/>
                  <c:y val="0.1232868536950631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ysClr val="windowText" lastClr="000000">
                            <a:lumMod val="65000"/>
                            <a:lumOff val="35000"/>
                          </a:sys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900" b="0" i="0" u="none" strike="noStrike" baseline="0">
                        <a:effectLst/>
                      </a:rPr>
                      <a:t>V</a:t>
                    </a:r>
                    <a:r>
                      <a:rPr lang="en-US" sz="900" b="0" i="0" u="none" strike="noStrike" baseline="-25000">
                        <a:effectLst/>
                      </a:rPr>
                      <a:t>E0</a:t>
                    </a:r>
                    <a:r>
                      <a:rPr lang="en-US" baseline="0"/>
                      <a:t> = 9.98E-05</a:t>
                    </a:r>
                    <a:r>
                      <a:rPr lang="el-GR" sz="900" b="0" i="0" u="none" strike="noStrike" baseline="0">
                        <a:effectLst/>
                      </a:rPr>
                      <a:t>ω</a:t>
                    </a:r>
                    <a:r>
                      <a:rPr lang="en-US" baseline="0"/>
                      <a:t> + 0.000</a:t>
                    </a:r>
                    <a:endParaRPr lang="en-US"/>
                  </a:p>
                </c:rich>
              </c:tx>
              <c:numFmt formatCode="General" sourceLinked="0"/>
              <c:spPr>
                <a:solidFill>
                  <a:sysClr val="window" lastClr="FFFFFF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ω!$C$12:$C$23</c:f>
              <c:numCache>
                <c:formatCode>0</c:formatCode>
                <c:ptCount val="12"/>
                <c:pt idx="0">
                  <c:v>2513.2741228718346</c:v>
                </c:pt>
                <c:pt idx="1">
                  <c:v>4052.6545231308332</c:v>
                </c:pt>
                <c:pt idx="2">
                  <c:v>5064.2473575867461</c:v>
                </c:pt>
                <c:pt idx="3">
                  <c:v>6264.3357512580478</c:v>
                </c:pt>
                <c:pt idx="4">
                  <c:v>7652.919704144736</c:v>
                </c:pt>
                <c:pt idx="5">
                  <c:v>9374.5124783119427</c:v>
                </c:pt>
                <c:pt idx="6">
                  <c:v>10807.078728348888</c:v>
                </c:pt>
                <c:pt idx="7">
                  <c:v>11938.052083641214</c:v>
                </c:pt>
                <c:pt idx="8">
                  <c:v>13232.388256920209</c:v>
                </c:pt>
                <c:pt idx="9">
                  <c:v>15079.644737231007</c:v>
                </c:pt>
                <c:pt idx="10">
                  <c:v>13823.00767579509</c:v>
                </c:pt>
                <c:pt idx="11">
                  <c:v>15582.299561805374</c:v>
                </c:pt>
              </c:numCache>
            </c:numRef>
          </c:xVal>
          <c:yVal>
            <c:numRef>
              <c:f>ω!$R$12:$R$23</c:f>
              <c:numCache>
                <c:formatCode>0.0000</c:formatCode>
                <c:ptCount val="12"/>
                <c:pt idx="0">
                  <c:v>0.26200000000000001</c:v>
                </c:pt>
                <c:pt idx="1">
                  <c:v>0.4</c:v>
                </c:pt>
                <c:pt idx="2" formatCode="0.000">
                  <c:v>0.51</c:v>
                </c:pt>
                <c:pt idx="3" formatCode="0.000">
                  <c:v>0.61499999999999999</c:v>
                </c:pt>
                <c:pt idx="4" formatCode="0.000">
                  <c:v>0.755</c:v>
                </c:pt>
                <c:pt idx="5" formatCode="0.000">
                  <c:v>0.93500000000000005</c:v>
                </c:pt>
                <c:pt idx="6" formatCode="0.000">
                  <c:v>1.085</c:v>
                </c:pt>
                <c:pt idx="7" formatCode="0.000">
                  <c:v>1.2</c:v>
                </c:pt>
                <c:pt idx="8" formatCode="0.000">
                  <c:v>1.32</c:v>
                </c:pt>
                <c:pt idx="9" formatCode="0.000">
                  <c:v>1.5</c:v>
                </c:pt>
                <c:pt idx="10" formatCode="0.000">
                  <c:v>1.38</c:v>
                </c:pt>
                <c:pt idx="11" formatCode="0.000">
                  <c:v>1.56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2D-4459-88B6-25089C423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120656"/>
        <c:axId val="1361121136"/>
      </c:scatterChart>
      <c:valAx>
        <c:axId val="1361120656"/>
        <c:scaling>
          <c:orientation val="minMax"/>
          <c:max val="16000"/>
          <c:min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ω</a:t>
                </a:r>
                <a:r>
                  <a:rPr lang="pt-PT"/>
                  <a:t> /Hz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1136"/>
        <c:crosses val="autoZero"/>
        <c:crossBetween val="midCat"/>
      </c:valAx>
      <c:valAx>
        <c:axId val="1361121136"/>
        <c:scaling>
          <c:orientation val="minMax"/>
          <c:max val="1.6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VE0 /V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0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marL="0" marR="0" lvl="0" indent="0" algn="ctr" defTabSz="914400" rtl="0" eaLnBrk="1" fontAlgn="auto" latinLnBrk="0" hangingPunct="1">
        <a:lnSpc>
          <a:spcPct val="100000"/>
        </a:lnSpc>
        <a:spcBef>
          <a:spcPts val="0"/>
        </a:spcBef>
        <a:spcAft>
          <a:spcPts val="0"/>
        </a:spcAft>
        <a:buClrTx/>
        <a:buSzTx/>
        <a:buFontTx/>
        <a:buNone/>
        <a:tabLst/>
        <a:defRPr sz="900" b="0" i="0" u="none" strike="noStrike" kern="1200" baseline="0">
          <a:solidFill>
            <a:sysClr val="windowText" lastClr="000000">
              <a:lumMod val="65000"/>
              <a:lumOff val="35000"/>
            </a:sysClr>
          </a:solidFill>
          <a:latin typeface="+mn-lt"/>
          <a:ea typeface="+mn-ea"/>
          <a:cs typeface="+mn-cs"/>
        </a:defRPr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Voltímetro - Ajuste de log(V</a:t>
            </a:r>
            <a:r>
              <a:rPr lang="pt-PT" baseline="-25000"/>
              <a:t>E0</a:t>
            </a:r>
            <a:r>
              <a:rPr lang="pt-PT"/>
              <a:t>)[log(</a:t>
            </a:r>
            <a:r>
              <a:rPr lang="el-GR"/>
              <a:t>ω)</a:t>
            </a:r>
            <a:r>
              <a:rPr lang="pt-PT"/>
              <a:t>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1726534188008065"/>
                  <c:y val="0.1146976422390503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pt-PT" sz="900" b="0" i="0" u="none" strike="noStrike" baseline="0">
                        <a:effectLst/>
                      </a:rPr>
                      <a:t>log(V</a:t>
                    </a:r>
                    <a:r>
                      <a:rPr lang="pt-PT" sz="900" b="0" i="0" u="none" strike="noStrike" baseline="-25000">
                        <a:effectLst/>
                      </a:rPr>
                      <a:t>E0</a:t>
                    </a:r>
                    <a:r>
                      <a:rPr lang="pt-PT" sz="900" b="0" i="0" u="none" strike="noStrike" baseline="0">
                        <a:effectLst/>
                      </a:rPr>
                      <a:t>) = 0.984log(</a:t>
                    </a:r>
                    <a:r>
                      <a:rPr lang="el-GR" sz="900" b="0" i="0" u="none" strike="noStrike" baseline="0">
                        <a:effectLst/>
                      </a:rPr>
                      <a:t>ω)</a:t>
                    </a:r>
                    <a:r>
                      <a:rPr lang="pt-PT" sz="900" b="0" i="0" u="none" strike="noStrike" baseline="0">
                        <a:effectLst/>
                      </a:rPr>
                      <a:t> - 3.94</a:t>
                    </a:r>
                    <a:endParaRPr lang="en-US"/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ω!$D$12:$D$23</c:f>
              <c:numCache>
                <c:formatCode>0.0000</c:formatCode>
                <c:ptCount val="12"/>
                <c:pt idx="0" formatCode="0.000">
                  <c:v>3.4002398596860774</c:v>
                </c:pt>
                <c:pt idx="1">
                  <c:v>3.6077395829933829</c:v>
                </c:pt>
                <c:pt idx="2">
                  <c:v>3.7045149101632058</c:v>
                </c:pt>
                <c:pt idx="3">
                  <c:v>3.7968750266697708</c:v>
                </c:pt>
                <c:pt idx="4">
                  <c:v>3.8838271566549718</c:v>
                </c:pt>
                <c:pt idx="5">
                  <c:v>3.9719486914947648</c:v>
                </c:pt>
                <c:pt idx="6">
                  <c:v>4.0337083152656641</c:v>
                </c:pt>
                <c:pt idx="7">
                  <c:v>4.0769334693109442</c:v>
                </c:pt>
                <c:pt idx="8">
                  <c:v>4.1216382352075831</c:v>
                </c:pt>
                <c:pt idx="9">
                  <c:v>4.1783911100697209</c:v>
                </c:pt>
                <c:pt idx="10">
                  <c:v>4.1406025491803211</c:v>
                </c:pt>
                <c:pt idx="11">
                  <c:v>4.1926315491843313</c:v>
                </c:pt>
              </c:numCache>
            </c:numRef>
          </c:xVal>
          <c:yVal>
            <c:numRef>
              <c:f>ω!$L$12:$L$23</c:f>
              <c:numCache>
                <c:formatCode>0.0000</c:formatCode>
                <c:ptCount val="12"/>
                <c:pt idx="0">
                  <c:v>-0.58325330547811616</c:v>
                </c:pt>
                <c:pt idx="1">
                  <c:v>-0.39877412402109003</c:v>
                </c:pt>
                <c:pt idx="2">
                  <c:v>-0.29791302849375567</c:v>
                </c:pt>
                <c:pt idx="3">
                  <c:v>-0.21099574521337208</c:v>
                </c:pt>
                <c:pt idx="4" formatCode="0.00000">
                  <c:v>-0.12064443382803801</c:v>
                </c:pt>
                <c:pt idx="5" formatCode="0.00000">
                  <c:v>-3.5170801960549808E-2</c:v>
                </c:pt>
                <c:pt idx="6" formatCode="0.00000">
                  <c:v>3.1899654602563429E-2</c:v>
                </c:pt>
                <c:pt idx="7" formatCode="0.00000">
                  <c:v>7.2565399999164393E-2</c:v>
                </c:pt>
                <c:pt idx="8" formatCode="0.00000">
                  <c:v>0.1163279508685937</c:v>
                </c:pt>
                <c:pt idx="9" formatCode="0.00000">
                  <c:v>0.17141467069452687</c:v>
                </c:pt>
                <c:pt idx="10" formatCode="0.00000">
                  <c:v>0.13472716459342449</c:v>
                </c:pt>
                <c:pt idx="11" formatCode="0.00000">
                  <c:v>0.18734343120910377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BA-45C6-B7C1-A377C6194F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120656"/>
        <c:axId val="1361121136"/>
      </c:scatterChart>
      <c:valAx>
        <c:axId val="1361120656"/>
        <c:scaling>
          <c:orientation val="minMax"/>
          <c:min val="3.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log(</a:t>
                </a:r>
                <a:r>
                  <a:rPr lang="el-GR"/>
                  <a:t>ω</a:t>
                </a:r>
                <a:r>
                  <a:rPr lang="pt-PT"/>
                  <a:t>) /s.u.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1136"/>
        <c:crossesAt val="-0.70000000000000007"/>
        <c:crossBetween val="midCat"/>
      </c:valAx>
      <c:valAx>
        <c:axId val="136112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log(V</a:t>
                </a:r>
                <a:r>
                  <a:rPr lang="pt-PT" baseline="-25000"/>
                  <a:t>E0</a:t>
                </a:r>
                <a:r>
                  <a:rPr lang="pt-PT" baseline="0"/>
                  <a:t>) /s.u.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0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Osciloscópio - Ajuste de log(V</a:t>
            </a:r>
            <a:r>
              <a:rPr lang="pt-PT" baseline="-25000"/>
              <a:t>E0</a:t>
            </a:r>
            <a:r>
              <a:rPr lang="pt-PT"/>
              <a:t>)[log(</a:t>
            </a:r>
            <a:r>
              <a:rPr lang="el-GR"/>
              <a:t>ω)</a:t>
            </a:r>
            <a:r>
              <a:rPr lang="pt-PT"/>
              <a:t>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0719664308351732"/>
                  <c:y val="0.1178902497321829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pt-PT" baseline="0"/>
                      <a:t>log(</a:t>
                    </a:r>
                    <a:r>
                      <a:rPr lang="en-US" sz="900" b="0" i="0" u="none" strike="noStrike" baseline="0">
                        <a:effectLst/>
                      </a:rPr>
                      <a:t>V</a:t>
                    </a:r>
                    <a:r>
                      <a:rPr lang="en-US" sz="900" b="0" i="0" u="none" strike="noStrike" baseline="-25000">
                        <a:effectLst/>
                      </a:rPr>
                      <a:t>E0</a:t>
                    </a:r>
                    <a:r>
                      <a:rPr lang="en-US" sz="900" b="0" i="0" u="none" strike="noStrike" baseline="0">
                        <a:effectLst/>
                      </a:rPr>
                      <a:t>)</a:t>
                    </a:r>
                    <a:r>
                      <a:rPr lang="pt-PT" baseline="0"/>
                      <a:t> = 0.989log(</a:t>
                    </a:r>
                    <a:r>
                      <a:rPr lang="el-GR" sz="900" b="0" i="0" u="none" strike="noStrike" baseline="0">
                        <a:effectLst/>
                      </a:rPr>
                      <a:t>ω</a:t>
                    </a:r>
                    <a:r>
                      <a:rPr lang="en-US" sz="900" b="0" i="0" u="none" strike="noStrike" baseline="0">
                        <a:effectLst/>
                      </a:rPr>
                      <a:t>) </a:t>
                    </a:r>
                    <a:r>
                      <a:rPr lang="pt-PT" baseline="0"/>
                      <a:t>- 3.96</a:t>
                    </a:r>
                    <a:endParaRPr lang="pt-PT"/>
                  </a:p>
                </c:rich>
              </c:tx>
              <c:numFmt formatCode="General" sourceLinked="0"/>
              <c:spPr>
                <a:solidFill>
                  <a:sysClr val="window" lastClr="FFFFFF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ω!$D$12:$D$23</c:f>
              <c:numCache>
                <c:formatCode>0.0000</c:formatCode>
                <c:ptCount val="12"/>
                <c:pt idx="0" formatCode="0.000">
                  <c:v>3.4002398596860774</c:v>
                </c:pt>
                <c:pt idx="1">
                  <c:v>3.6077395829933829</c:v>
                </c:pt>
                <c:pt idx="2">
                  <c:v>3.7045149101632058</c:v>
                </c:pt>
                <c:pt idx="3">
                  <c:v>3.7968750266697708</c:v>
                </c:pt>
                <c:pt idx="4">
                  <c:v>3.8838271566549718</c:v>
                </c:pt>
                <c:pt idx="5">
                  <c:v>3.9719486914947648</c:v>
                </c:pt>
                <c:pt idx="6">
                  <c:v>4.0337083152656641</c:v>
                </c:pt>
                <c:pt idx="7">
                  <c:v>4.0769334693109442</c:v>
                </c:pt>
                <c:pt idx="8">
                  <c:v>4.1216382352075831</c:v>
                </c:pt>
                <c:pt idx="9">
                  <c:v>4.1783911100697209</c:v>
                </c:pt>
                <c:pt idx="10">
                  <c:v>4.1406025491803211</c:v>
                </c:pt>
                <c:pt idx="11">
                  <c:v>4.1926315491843313</c:v>
                </c:pt>
              </c:numCache>
            </c:numRef>
          </c:xVal>
          <c:yVal>
            <c:numRef>
              <c:f>ω!$V$12:$V$23</c:f>
              <c:numCache>
                <c:formatCode>0.000</c:formatCode>
                <c:ptCount val="12"/>
                <c:pt idx="0">
                  <c:v>-0.58169870868025453</c:v>
                </c:pt>
                <c:pt idx="1">
                  <c:v>-0.3979400086720376</c:v>
                </c:pt>
                <c:pt idx="2">
                  <c:v>-0.29242982390206362</c:v>
                </c:pt>
                <c:pt idx="3">
                  <c:v>-0.21112488422458328</c:v>
                </c:pt>
                <c:pt idx="4">
                  <c:v>-0.12205304837081175</c:v>
                </c:pt>
                <c:pt idx="5">
                  <c:v>-2.91883891274822E-2</c:v>
                </c:pt>
                <c:pt idx="6">
                  <c:v>3.5429738184548303E-2</c:v>
                </c:pt>
                <c:pt idx="7">
                  <c:v>7.9181246047624818E-2</c:v>
                </c:pt>
                <c:pt idx="8">
                  <c:v>0.12057393120584989</c:v>
                </c:pt>
                <c:pt idx="9">
                  <c:v>0.17609125905568124</c:v>
                </c:pt>
                <c:pt idx="10">
                  <c:v>0.13987908640123647</c:v>
                </c:pt>
                <c:pt idx="11">
                  <c:v>0.19312459835446161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91-4E1E-9B04-696673F1C2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120656"/>
        <c:axId val="1361121136"/>
      </c:scatterChart>
      <c:valAx>
        <c:axId val="1361120656"/>
        <c:scaling>
          <c:orientation val="minMax"/>
          <c:min val="3.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log(</a:t>
                </a:r>
                <a:r>
                  <a:rPr lang="el-GR"/>
                  <a:t>ω</a:t>
                </a:r>
                <a:r>
                  <a:rPr lang="pt-PT"/>
                  <a:t>) /s.u.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1136"/>
        <c:crossesAt val="-0.70000000000000007"/>
        <c:crossBetween val="midCat"/>
      </c:valAx>
      <c:valAx>
        <c:axId val="136112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log(V</a:t>
                </a:r>
                <a:r>
                  <a:rPr lang="pt-PT" baseline="-25000"/>
                  <a:t>E0</a:t>
                </a:r>
                <a:r>
                  <a:rPr lang="pt-PT" baseline="0"/>
                  <a:t>) /s.u.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0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Voltímetro - Resíduos de V</a:t>
            </a:r>
            <a:r>
              <a:rPr lang="pt-PT" baseline="-25000"/>
              <a:t>E0</a:t>
            </a:r>
            <a:r>
              <a:rPr lang="pt-PT"/>
              <a:t>(</a:t>
            </a:r>
            <a:r>
              <a:rPr lang="el-GR"/>
              <a:t>ω)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136018509905214"/>
          <c:y val="0.19832946124657647"/>
          <c:w val="0.80379476363043112"/>
          <c:h val="0.60636151298153451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ω!$I$3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ω!$I$3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ω!$C$12:$C$23</c:f>
              <c:numCache>
                <c:formatCode>0</c:formatCode>
                <c:ptCount val="12"/>
                <c:pt idx="0">
                  <c:v>2513.2741228718346</c:v>
                </c:pt>
                <c:pt idx="1">
                  <c:v>4052.6545231308332</c:v>
                </c:pt>
                <c:pt idx="2">
                  <c:v>5064.2473575867461</c:v>
                </c:pt>
                <c:pt idx="3">
                  <c:v>6264.3357512580478</c:v>
                </c:pt>
                <c:pt idx="4">
                  <c:v>7652.919704144736</c:v>
                </c:pt>
                <c:pt idx="5">
                  <c:v>9374.5124783119427</c:v>
                </c:pt>
                <c:pt idx="6">
                  <c:v>10807.078728348888</c:v>
                </c:pt>
                <c:pt idx="7">
                  <c:v>11938.052083641214</c:v>
                </c:pt>
                <c:pt idx="8">
                  <c:v>13232.388256920209</c:v>
                </c:pt>
                <c:pt idx="9">
                  <c:v>15079.644737231007</c:v>
                </c:pt>
                <c:pt idx="10">
                  <c:v>13823.00767579509</c:v>
                </c:pt>
                <c:pt idx="11">
                  <c:v>15582.299561805374</c:v>
                </c:pt>
              </c:numCache>
            </c:numRef>
          </c:xVal>
          <c:yVal>
            <c:numRef>
              <c:f>ω!$K$12:$K$23</c:f>
              <c:numCache>
                <c:formatCode>0.000</c:formatCode>
                <c:ptCount val="12"/>
                <c:pt idx="0">
                  <c:v>8.1298912281170255E-3</c:v>
                </c:pt>
                <c:pt idx="1">
                  <c:v>-4.989471215787078E-3</c:v>
                </c:pt>
                <c:pt idx="2">
                  <c:v>-3.8356947463347169E-5</c:v>
                </c:pt>
                <c:pt idx="3">
                  <c:v>-6.3998181013744659E-3</c:v>
                </c:pt>
                <c:pt idx="4">
                  <c:v>-5.9790954212657343E-4</c:v>
                </c:pt>
                <c:pt idx="5">
                  <c:v>-5.0376194507427696E-3</c:v>
                </c:pt>
                <c:pt idx="6">
                  <c:v>8.179746605122995E-3</c:v>
                </c:pt>
                <c:pt idx="7">
                  <c:v>2.6711121723685949E-3</c:v>
                </c:pt>
                <c:pt idx="8">
                  <c:v>7.649902783080087E-4</c:v>
                </c:pt>
                <c:pt idx="9">
                  <c:v>-4.0039474103619188E-3</c:v>
                </c:pt>
                <c:pt idx="10">
                  <c:v>-7.1166960982549377E-4</c:v>
                </c:pt>
                <c:pt idx="11">
                  <c:v>2.0330519937639124E-3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AE-443D-8117-B59A6EB6D917}"/>
            </c:ext>
          </c:extLst>
        </c:ser>
        <c:ser>
          <c:idx val="1"/>
          <c:order val="1"/>
          <c:tx>
            <c:v>u(VE0)</c:v>
          </c:tx>
          <c:spPr>
            <a:ln w="22225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2000</c:v>
              </c:pt>
              <c:pt idx="1">
                <c:v>16000</c:v>
              </c:pt>
            </c:numLit>
          </c:xVal>
          <c:yVal>
            <c:numRef>
              <c:f>(ω!$D$30,ω!$D$30)</c:f>
              <c:numCache>
                <c:formatCode>0.00</c:formatCode>
                <c:ptCount val="2"/>
                <c:pt idx="0">
                  <c:v>1.0059500518942074E-2</c:v>
                </c:pt>
                <c:pt idx="1">
                  <c:v>1.0059500518942074E-2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87-4F1B-BFF4-B77453A8BF1F}"/>
            </c:ext>
          </c:extLst>
        </c:ser>
        <c:ser>
          <c:idx val="2"/>
          <c:order val="2"/>
          <c:tx>
            <c:v>-u(VE0)</c:v>
          </c:tx>
          <c:spPr>
            <a:ln w="22225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2000</c:v>
              </c:pt>
              <c:pt idx="1">
                <c:v>16000</c:v>
              </c:pt>
            </c:numLit>
          </c:xVal>
          <c:yVal>
            <c:numRef>
              <c:f>(ω!$D$31,ω!$D$31)</c:f>
              <c:numCache>
                <c:formatCode>0.00</c:formatCode>
                <c:ptCount val="2"/>
                <c:pt idx="0">
                  <c:v>-1.0059500518942074E-2</c:v>
                </c:pt>
                <c:pt idx="1">
                  <c:v>-1.0059500518942074E-2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87-4F1B-BFF4-B77453A8BF1F}"/>
            </c:ext>
          </c:extLst>
        </c:ser>
        <c:ser>
          <c:idx val="3"/>
          <c:order val="3"/>
          <c:tx>
            <c:v>Pontos duvidosos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(ω!$C$12,ω!$C$18)</c:f>
              <c:numCache>
                <c:formatCode>0</c:formatCode>
                <c:ptCount val="2"/>
                <c:pt idx="0">
                  <c:v>2513.2741228718346</c:v>
                </c:pt>
                <c:pt idx="1">
                  <c:v>10807.078728348888</c:v>
                </c:pt>
              </c:numCache>
            </c:numRef>
          </c:xVal>
          <c:yVal>
            <c:numRef>
              <c:f>(ω!$K$12,ω!$K$18)</c:f>
              <c:numCache>
                <c:formatCode>0.000</c:formatCode>
                <c:ptCount val="2"/>
                <c:pt idx="0">
                  <c:v>8.1298912281170255E-3</c:v>
                </c:pt>
                <c:pt idx="1">
                  <c:v>8.179746605122995E-3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2A-4472-BC1C-18AAD6A2E8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120656"/>
        <c:axId val="1361121136"/>
      </c:scatterChart>
      <c:valAx>
        <c:axId val="1361120656"/>
        <c:scaling>
          <c:orientation val="minMax"/>
          <c:max val="16000"/>
          <c:min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ω</a:t>
                </a:r>
                <a:r>
                  <a:rPr lang="pt-PT"/>
                  <a:t> /Hz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1136"/>
        <c:crossesAt val="-1.2000000000000002E-2"/>
        <c:crossBetween val="midCat"/>
      </c:valAx>
      <c:valAx>
        <c:axId val="136112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-25000"/>
                  <a:t>E0</a:t>
                </a:r>
                <a:r>
                  <a:rPr lang="pt-PT" baseline="0"/>
                  <a:t> - V</a:t>
                </a:r>
                <a:r>
                  <a:rPr lang="pt-PT" baseline="-25000"/>
                  <a:t>E0|ajuste</a:t>
                </a:r>
                <a:r>
                  <a:rPr lang="pt-PT" baseline="0"/>
                  <a:t> /V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0656"/>
        <c:crosses val="autoZero"/>
        <c:crossBetween val="midCat"/>
        <c:majorUnit val="4.000000000000001E-3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13516520150721753"/>
          <c:y val="0.10927839264760686"/>
          <c:w val="0.678620786834229"/>
          <c:h val="8.20196340597399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Voltímetro - Resíduos de log(V</a:t>
            </a:r>
            <a:r>
              <a:rPr lang="pt-PT" baseline="-25000"/>
              <a:t>E0</a:t>
            </a:r>
            <a:r>
              <a:rPr lang="pt-PT"/>
              <a:t>)[log(</a:t>
            </a:r>
            <a:r>
              <a:rPr lang="el-GR"/>
              <a:t>ω)</a:t>
            </a:r>
            <a:r>
              <a:rPr lang="pt-PT"/>
              <a:t>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17733116907842"/>
          <c:y val="0.19137229209404233"/>
          <c:w val="0.7780055881937572"/>
          <c:h val="0.60673740964696532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ω!$M$12:$M$23</c:f>
                <c:numCache>
                  <c:formatCode>General</c:formatCode>
                  <c:ptCount val="12"/>
                  <c:pt idx="0">
                    <c:v>2.3526244956839211E-4</c:v>
                  </c:pt>
                  <c:pt idx="1">
                    <c:v>1.5384147428382989E-4</c:v>
                  </c:pt>
                  <c:pt idx="2">
                    <c:v>1.2195857396889967E-4</c:v>
                  </c:pt>
                  <c:pt idx="3">
                    <c:v>9.9837811931782021E-5</c:v>
                  </c:pt>
                  <c:pt idx="4">
                    <c:v>8.1085601550271049E-5</c:v>
                  </c:pt>
                  <c:pt idx="5">
                    <c:v>6.6599368486927119E-5</c:v>
                  </c:pt>
                  <c:pt idx="6">
                    <c:v>5.7068920092411538E-5</c:v>
                  </c:pt>
                  <c:pt idx="7">
                    <c:v>5.1967749420037311E-5</c:v>
                  </c:pt>
                  <c:pt idx="8">
                    <c:v>4.6986312009439769E-5</c:v>
                  </c:pt>
                  <c:pt idx="9">
                    <c:v>4.1388971876798993E-5</c:v>
                  </c:pt>
                  <c:pt idx="10">
                    <c:v>4.5037279052499406E-5</c:v>
                  </c:pt>
                  <c:pt idx="11">
                    <c:v>3.989843655519079E-5</c:v>
                  </c:pt>
                </c:numCache>
              </c:numRef>
            </c:plus>
            <c:minus>
              <c:numRef>
                <c:f>ω!$M$12:$M$23</c:f>
                <c:numCache>
                  <c:formatCode>General</c:formatCode>
                  <c:ptCount val="12"/>
                  <c:pt idx="0">
                    <c:v>2.3526244956839211E-4</c:v>
                  </c:pt>
                  <c:pt idx="1">
                    <c:v>1.5384147428382989E-4</c:v>
                  </c:pt>
                  <c:pt idx="2">
                    <c:v>1.2195857396889967E-4</c:v>
                  </c:pt>
                  <c:pt idx="3">
                    <c:v>9.9837811931782021E-5</c:v>
                  </c:pt>
                  <c:pt idx="4">
                    <c:v>8.1085601550271049E-5</c:v>
                  </c:pt>
                  <c:pt idx="5">
                    <c:v>6.6599368486927119E-5</c:v>
                  </c:pt>
                  <c:pt idx="6">
                    <c:v>5.7068920092411538E-5</c:v>
                  </c:pt>
                  <c:pt idx="7">
                    <c:v>5.1967749420037311E-5</c:v>
                  </c:pt>
                  <c:pt idx="8">
                    <c:v>4.6986312009439769E-5</c:v>
                  </c:pt>
                  <c:pt idx="9">
                    <c:v>4.1388971876798993E-5</c:v>
                  </c:pt>
                  <c:pt idx="10">
                    <c:v>4.5037279052499406E-5</c:v>
                  </c:pt>
                  <c:pt idx="11">
                    <c:v>3.989843655519079E-5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ω!$D$12:$D$23</c:f>
              <c:numCache>
                <c:formatCode>0.0000</c:formatCode>
                <c:ptCount val="12"/>
                <c:pt idx="0" formatCode="0.000">
                  <c:v>3.4002398596860774</c:v>
                </c:pt>
                <c:pt idx="1">
                  <c:v>3.6077395829933829</c:v>
                </c:pt>
                <c:pt idx="2">
                  <c:v>3.7045149101632058</c:v>
                </c:pt>
                <c:pt idx="3">
                  <c:v>3.7968750266697708</c:v>
                </c:pt>
                <c:pt idx="4">
                  <c:v>3.8838271566549718</c:v>
                </c:pt>
                <c:pt idx="5">
                  <c:v>3.9719486914947648</c:v>
                </c:pt>
                <c:pt idx="6">
                  <c:v>4.0337083152656641</c:v>
                </c:pt>
                <c:pt idx="7">
                  <c:v>4.0769334693109442</c:v>
                </c:pt>
                <c:pt idx="8">
                  <c:v>4.1216382352075831</c:v>
                </c:pt>
                <c:pt idx="9">
                  <c:v>4.1783911100697209</c:v>
                </c:pt>
                <c:pt idx="10">
                  <c:v>4.1406025491803211</c:v>
                </c:pt>
                <c:pt idx="11">
                  <c:v>4.1926315491843313</c:v>
                </c:pt>
              </c:numCache>
            </c:numRef>
          </c:xVal>
          <c:yVal>
            <c:numRef>
              <c:f>ω!$O$12:$O$23</c:f>
              <c:numCache>
                <c:formatCode>0.000</c:formatCode>
                <c:ptCount val="12"/>
                <c:pt idx="0">
                  <c:v>1.1325305121097529E-2</c:v>
                </c:pt>
                <c:pt idx="1">
                  <c:v>-8.2830031946377058E-3</c:v>
                </c:pt>
                <c:pt idx="2">
                  <c:v>-2.6058109478697133E-3</c:v>
                </c:pt>
                <c:pt idx="3">
                  <c:v>-6.529826308779324E-3</c:v>
                </c:pt>
                <c:pt idx="4">
                  <c:v>-1.7007587906961857E-3</c:v>
                </c:pt>
                <c:pt idx="5">
                  <c:v>-2.8995453424912887E-3</c:v>
                </c:pt>
                <c:pt idx="6">
                  <c:v>3.4268948729661436E-3</c:v>
                </c:pt>
                <c:pt idx="7">
                  <c:v>1.5783031729469932E-3</c:v>
                </c:pt>
                <c:pt idx="8">
                  <c:v>1.3712366023956729E-3</c:v>
                </c:pt>
                <c:pt idx="9">
                  <c:v>6.3835540241485855E-4</c:v>
                </c:pt>
                <c:pt idx="10">
                  <c:v>1.1179954117732649E-3</c:v>
                </c:pt>
                <c:pt idx="11">
                  <c:v>2.5608540008814351E-3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C2-4C6D-B562-630748C4982D}"/>
            </c:ext>
          </c:extLst>
        </c:ser>
        <c:ser>
          <c:idx val="1"/>
          <c:order val="1"/>
          <c:tx>
            <c:v>u(log(VE0))</c:v>
          </c:tx>
          <c:spPr>
            <a:ln w="22225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3.3</c:v>
              </c:pt>
              <c:pt idx="1">
                <c:v>4.3</c:v>
              </c:pt>
            </c:numLit>
          </c:xVal>
          <c:yVal>
            <c:numRef>
              <c:f>(ω!$D$46,ω!$D$46)</c:f>
              <c:numCache>
                <c:formatCode>0.00</c:formatCode>
                <c:ptCount val="2"/>
                <c:pt idx="0">
                  <c:v>1.0619412935839964E-2</c:v>
                </c:pt>
                <c:pt idx="1">
                  <c:v>1.0619412935839964E-2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0BF-4C03-BDBB-3C67D1FA7A54}"/>
            </c:ext>
          </c:extLst>
        </c:ser>
        <c:ser>
          <c:idx val="2"/>
          <c:order val="2"/>
          <c:tx>
            <c:v>-u(y)</c:v>
          </c:tx>
          <c:spPr>
            <a:ln w="22225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3.3</c:v>
              </c:pt>
              <c:pt idx="1">
                <c:v>4.3</c:v>
              </c:pt>
            </c:numLit>
          </c:xVal>
          <c:yVal>
            <c:numRef>
              <c:f>(ω!$D$47,ω!$D$47)</c:f>
              <c:numCache>
                <c:formatCode>0.00</c:formatCode>
                <c:ptCount val="2"/>
                <c:pt idx="0">
                  <c:v>-1.0619412935839964E-2</c:v>
                </c:pt>
                <c:pt idx="1">
                  <c:v>-1.0619412935839964E-2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0BF-4C03-BDBB-3C67D1FA7A54}"/>
            </c:ext>
          </c:extLst>
        </c:ser>
        <c:ser>
          <c:idx val="3"/>
          <c:order val="3"/>
          <c:tx>
            <c:v>Pontos duvidosos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(ω!$D$12,ω!$D$18)</c:f>
              <c:numCache>
                <c:formatCode>0.0000</c:formatCode>
                <c:ptCount val="2"/>
                <c:pt idx="0" formatCode="0.000">
                  <c:v>3.4002398596860774</c:v>
                </c:pt>
                <c:pt idx="1">
                  <c:v>4.0337083152656641</c:v>
                </c:pt>
              </c:numCache>
            </c:numRef>
          </c:xVal>
          <c:yVal>
            <c:numRef>
              <c:f>(ω!$O$12,ω!$O$18)</c:f>
              <c:numCache>
                <c:formatCode>0.000</c:formatCode>
                <c:ptCount val="2"/>
                <c:pt idx="0">
                  <c:v>1.1325305121097529E-2</c:v>
                </c:pt>
                <c:pt idx="1">
                  <c:v>3.4268948729661436E-3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0BF-4C03-BDBB-3C67D1FA7A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120656"/>
        <c:axId val="1361121136"/>
      </c:scatterChart>
      <c:valAx>
        <c:axId val="1361120656"/>
        <c:scaling>
          <c:orientation val="minMax"/>
          <c:max val="4.3"/>
          <c:min val="3.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log(</a:t>
                </a:r>
                <a:r>
                  <a:rPr lang="el-GR"/>
                  <a:t>ω</a:t>
                </a:r>
                <a:r>
                  <a:rPr lang="pt-PT"/>
                  <a:t>) /s.u.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1136"/>
        <c:crossesAt val="-1.5000000000000003E-2"/>
        <c:crossBetween val="midCat"/>
      </c:valAx>
      <c:valAx>
        <c:axId val="136112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log(V</a:t>
                </a:r>
                <a:r>
                  <a:rPr lang="pt-PT" baseline="-25000"/>
                  <a:t>E0</a:t>
                </a:r>
                <a:r>
                  <a:rPr lang="pt-PT" baseline="0"/>
                  <a:t>) - </a:t>
                </a:r>
                <a:r>
                  <a:rPr lang="pt-PT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log(V</a:t>
                </a:r>
                <a:r>
                  <a:rPr lang="pt-PT" sz="8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E0</a:t>
                </a:r>
                <a:r>
                  <a:rPr lang="pt-PT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)ajuste</a:t>
                </a: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/</a:t>
                </a:r>
                <a:r>
                  <a:rPr lang="pt-PT" baseline="0"/>
                  <a:t>s.u.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0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7.1910466601687345E-2"/>
          <c:y val="0.11230993001614738"/>
          <c:w val="0.80508566430990491"/>
          <c:h val="7.10444255891966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Osciloscópio - Resíduos de V</a:t>
            </a:r>
            <a:r>
              <a:rPr lang="pt-PT" baseline="-25000"/>
              <a:t>E0</a:t>
            </a:r>
            <a:r>
              <a:rPr lang="pt-PT"/>
              <a:t>(</a:t>
            </a:r>
            <a:r>
              <a:rPr lang="el-GR"/>
              <a:t>ω)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184290575812814"/>
          <c:y val="0.20071468128509443"/>
          <c:w val="0.79671842889633659"/>
          <c:h val="0.58382170471991079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ω!$S$12:$S$23</c:f>
                <c:numCache>
                  <c:formatCode>General</c:formatCode>
                  <c:ptCount val="12"/>
                  <c:pt idx="0">
                    <c:v>5.0000000000000001E-4</c:v>
                  </c:pt>
                  <c:pt idx="1">
                    <c:v>5.0000000000000001E-4</c:v>
                  </c:pt>
                  <c:pt idx="2">
                    <c:v>5.0000000000000001E-3</c:v>
                  </c:pt>
                  <c:pt idx="3">
                    <c:v>5.0000000000000001E-3</c:v>
                  </c:pt>
                  <c:pt idx="4">
                    <c:v>5.0000000000000001E-3</c:v>
                  </c:pt>
                  <c:pt idx="5">
                    <c:v>5.0000000000000001E-3</c:v>
                  </c:pt>
                  <c:pt idx="6">
                    <c:v>5.0000000000000001E-3</c:v>
                  </c:pt>
                  <c:pt idx="7">
                    <c:v>5.0000000000000001E-3</c:v>
                  </c:pt>
                  <c:pt idx="8">
                    <c:v>5.0000000000000001E-3</c:v>
                  </c:pt>
                  <c:pt idx="9">
                    <c:v>5.0000000000000001E-3</c:v>
                  </c:pt>
                  <c:pt idx="10">
                    <c:v>5.0000000000000001E-3</c:v>
                  </c:pt>
                  <c:pt idx="11">
                    <c:v>5.0000000000000001E-3</c:v>
                  </c:pt>
                </c:numCache>
              </c:numRef>
            </c:plus>
            <c:minus>
              <c:numRef>
                <c:f>ω!$S$12:$S$23</c:f>
                <c:numCache>
                  <c:formatCode>General</c:formatCode>
                  <c:ptCount val="12"/>
                  <c:pt idx="0">
                    <c:v>5.0000000000000001E-4</c:v>
                  </c:pt>
                  <c:pt idx="1">
                    <c:v>5.0000000000000001E-4</c:v>
                  </c:pt>
                  <c:pt idx="2">
                    <c:v>5.0000000000000001E-3</c:v>
                  </c:pt>
                  <c:pt idx="3">
                    <c:v>5.0000000000000001E-3</c:v>
                  </c:pt>
                  <c:pt idx="4">
                    <c:v>5.0000000000000001E-3</c:v>
                  </c:pt>
                  <c:pt idx="5">
                    <c:v>5.0000000000000001E-3</c:v>
                  </c:pt>
                  <c:pt idx="6">
                    <c:v>5.0000000000000001E-3</c:v>
                  </c:pt>
                  <c:pt idx="7">
                    <c:v>5.0000000000000001E-3</c:v>
                  </c:pt>
                  <c:pt idx="8">
                    <c:v>5.0000000000000001E-3</c:v>
                  </c:pt>
                  <c:pt idx="9">
                    <c:v>5.0000000000000001E-3</c:v>
                  </c:pt>
                  <c:pt idx="10">
                    <c:v>5.0000000000000001E-3</c:v>
                  </c:pt>
                  <c:pt idx="11">
                    <c:v>5.0000000000000001E-3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ω!$C$12:$C$23</c:f>
              <c:numCache>
                <c:formatCode>0</c:formatCode>
                <c:ptCount val="12"/>
                <c:pt idx="0">
                  <c:v>2513.2741228718346</c:v>
                </c:pt>
                <c:pt idx="1">
                  <c:v>4052.6545231308332</c:v>
                </c:pt>
                <c:pt idx="2">
                  <c:v>5064.2473575867461</c:v>
                </c:pt>
                <c:pt idx="3">
                  <c:v>6264.3357512580478</c:v>
                </c:pt>
                <c:pt idx="4">
                  <c:v>7652.919704144736</c:v>
                </c:pt>
                <c:pt idx="5">
                  <c:v>9374.5124783119427</c:v>
                </c:pt>
                <c:pt idx="6">
                  <c:v>10807.078728348888</c:v>
                </c:pt>
                <c:pt idx="7">
                  <c:v>11938.052083641214</c:v>
                </c:pt>
                <c:pt idx="8">
                  <c:v>13232.388256920209</c:v>
                </c:pt>
                <c:pt idx="9">
                  <c:v>15079.644737231007</c:v>
                </c:pt>
                <c:pt idx="10">
                  <c:v>13823.00767579509</c:v>
                </c:pt>
                <c:pt idx="11">
                  <c:v>15582.299561805374</c:v>
                </c:pt>
              </c:numCache>
            </c:numRef>
          </c:xVal>
          <c:yVal>
            <c:numRef>
              <c:f>ω!$U$12:$U$23</c:f>
              <c:numCache>
                <c:formatCode>0.000</c:formatCode>
                <c:ptCount val="12"/>
                <c:pt idx="0">
                  <c:v>1.0800653351538569E-2</c:v>
                </c:pt>
                <c:pt idx="1">
                  <c:v>-4.8681700673292583E-3</c:v>
                </c:pt>
                <c:pt idx="2">
                  <c:v>4.1494602574146944E-3</c:v>
                </c:pt>
                <c:pt idx="3">
                  <c:v>-1.0649500040559867E-2</c:v>
                </c:pt>
                <c:pt idx="4">
                  <c:v>-9.265050961252852E-3</c:v>
                </c:pt>
                <c:pt idx="5">
                  <c:v>-1.1232453154152999E-3</c:v>
                </c:pt>
                <c:pt idx="6">
                  <c:v>5.8706659519238702E-3</c:v>
                </c:pt>
                <c:pt idx="7">
                  <c:v>7.9711222156126915E-3</c:v>
                </c:pt>
                <c:pt idx="8">
                  <c:v>-1.2361333937209729E-3</c:v>
                </c:pt>
                <c:pt idx="9">
                  <c:v>-5.6387214963622423E-3</c:v>
                </c:pt>
                <c:pt idx="10">
                  <c:v>-1.9478401157235758E-4</c:v>
                </c:pt>
                <c:pt idx="11">
                  <c:v>4.1837035097216368E-3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2D-4D5F-ADA3-DFBFAB7290BF}"/>
            </c:ext>
          </c:extLst>
        </c:ser>
        <c:ser>
          <c:idx val="1"/>
          <c:order val="1"/>
          <c:tx>
            <c:v>u(VE0)</c:v>
          </c:tx>
          <c:spPr>
            <a:ln w="22225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2000</c:v>
              </c:pt>
              <c:pt idx="1">
                <c:v>16000</c:v>
              </c:pt>
            </c:numLit>
          </c:xVal>
          <c:yVal>
            <c:numRef>
              <c:f>(ω!$D$62,ω!$D$62)</c:f>
              <c:numCache>
                <c:formatCode>0.00</c:formatCode>
                <c:ptCount val="2"/>
                <c:pt idx="0">
                  <c:v>1.4240139653301806E-2</c:v>
                </c:pt>
                <c:pt idx="1">
                  <c:v>1.4240139653301806E-2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D0-42F0-9FFD-A8B65C0E23A2}"/>
            </c:ext>
          </c:extLst>
        </c:ser>
        <c:ser>
          <c:idx val="2"/>
          <c:order val="2"/>
          <c:tx>
            <c:v>-u(y)</c:v>
          </c:tx>
          <c:spPr>
            <a:ln w="22225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2000</c:v>
              </c:pt>
              <c:pt idx="1">
                <c:v>16000</c:v>
              </c:pt>
            </c:numLit>
          </c:xVal>
          <c:yVal>
            <c:numRef>
              <c:f>(ω!$D$63,ω!$D$63)</c:f>
              <c:numCache>
                <c:formatCode>0.00</c:formatCode>
                <c:ptCount val="2"/>
                <c:pt idx="0">
                  <c:v>-1.4240139653301806E-2</c:v>
                </c:pt>
                <c:pt idx="1">
                  <c:v>-1.4240139653301806E-2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D0-42F0-9FFD-A8B65C0E23A2}"/>
            </c:ext>
          </c:extLst>
        </c:ser>
        <c:ser>
          <c:idx val="3"/>
          <c:order val="3"/>
          <c:tx>
            <c:v>Ponto duvidoso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ω!$C$12</c:f>
              <c:numCache>
                <c:formatCode>0</c:formatCode>
                <c:ptCount val="1"/>
                <c:pt idx="0">
                  <c:v>2513.2741228718346</c:v>
                </c:pt>
              </c:numCache>
            </c:numRef>
          </c:xVal>
          <c:yVal>
            <c:numRef>
              <c:f>ω!$U$12</c:f>
              <c:numCache>
                <c:formatCode>0.000</c:formatCode>
                <c:ptCount val="1"/>
                <c:pt idx="0">
                  <c:v>1.0800653351538569E-2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83-4282-8C97-C9C8E69BF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120656"/>
        <c:axId val="1361121136"/>
      </c:scatterChart>
      <c:valAx>
        <c:axId val="1361120656"/>
        <c:scaling>
          <c:orientation val="minMax"/>
          <c:max val="16000"/>
          <c:min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ω</a:t>
                </a:r>
                <a:r>
                  <a:rPr lang="pt-PT"/>
                  <a:t> /Hz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1136"/>
        <c:crossesAt val="-2.0000000000000004E-2"/>
        <c:crossBetween val="midCat"/>
      </c:valAx>
      <c:valAx>
        <c:axId val="1361121136"/>
        <c:scaling>
          <c:orientation val="minMax"/>
          <c:max val="1.8000000000000002E-2"/>
          <c:min val="-1.8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-25000"/>
                  <a:t>E0</a:t>
                </a:r>
                <a:r>
                  <a:rPr lang="pt-PT" baseline="0"/>
                  <a:t> - V</a:t>
                </a:r>
                <a:r>
                  <a:rPr lang="pt-PT" baseline="-25000"/>
                  <a:t>E0|ajuste</a:t>
                </a:r>
                <a:r>
                  <a:rPr lang="pt-PT" baseline="0"/>
                  <a:t> /V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0656"/>
        <c:crosses val="autoZero"/>
        <c:crossBetween val="midCat"/>
        <c:majorUnit val="6.0000000000000019E-3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1524248284327592"/>
          <c:y val="0.10457935801361365"/>
          <c:w val="0.6715528828268178"/>
          <c:h val="0.1095224070541588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Osciloscópio - Resíduos de log(V</a:t>
            </a:r>
            <a:r>
              <a:rPr lang="pt-PT" baseline="-25000"/>
              <a:t>E0</a:t>
            </a:r>
            <a:r>
              <a:rPr lang="pt-PT"/>
              <a:t>)[log(</a:t>
            </a:r>
            <a:r>
              <a:rPr lang="el-GR"/>
              <a:t>ω)</a:t>
            </a:r>
            <a:r>
              <a:rPr lang="pt-PT"/>
              <a:t>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186589346200993"/>
          <c:y val="0.19910797657967369"/>
          <c:w val="0.81819329027851773"/>
          <c:h val="0.60036916954276598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ω!$W$12:$W$23</c:f>
                <c:numCache>
                  <c:formatCode>General</c:formatCode>
                  <c:ptCount val="12"/>
                  <c:pt idx="0">
                    <c:v>8.2880626317414466E-4</c:v>
                  </c:pt>
                  <c:pt idx="1">
                    <c:v>5.4286810237906471E-4</c:v>
                  </c:pt>
                  <c:pt idx="2">
                    <c:v>4.2577890382671738E-3</c:v>
                  </c:pt>
                  <c:pt idx="3">
                    <c:v>3.5308494463679009E-3</c:v>
                  </c:pt>
                  <c:pt idx="4">
                    <c:v>2.8761223967102767E-3</c:v>
                  </c:pt>
                  <c:pt idx="5">
                    <c:v>2.3224303845093678E-3</c:v>
                  </c:pt>
                  <c:pt idx="6">
                    <c:v>2.0013570594619896E-3</c:v>
                  </c:pt>
                  <c:pt idx="7">
                    <c:v>1.8095603412635493E-3</c:v>
                  </c:pt>
                  <c:pt idx="8">
                    <c:v>1.6450548556941355E-3</c:v>
                  </c:pt>
                  <c:pt idx="9">
                    <c:v>1.4476482730108394E-3</c:v>
                  </c:pt>
                  <c:pt idx="10">
                    <c:v>1.5735307315335211E-3</c:v>
                  </c:pt>
                  <c:pt idx="11">
                    <c:v>1.3919694932796531E-3</c:v>
                  </c:pt>
                </c:numCache>
              </c:numRef>
            </c:plus>
            <c:minus>
              <c:numRef>
                <c:f>ω!$W$12:$W$23</c:f>
                <c:numCache>
                  <c:formatCode>General</c:formatCode>
                  <c:ptCount val="12"/>
                  <c:pt idx="0">
                    <c:v>8.2880626317414466E-4</c:v>
                  </c:pt>
                  <c:pt idx="1">
                    <c:v>5.4286810237906471E-4</c:v>
                  </c:pt>
                  <c:pt idx="2">
                    <c:v>4.2577890382671738E-3</c:v>
                  </c:pt>
                  <c:pt idx="3">
                    <c:v>3.5308494463679009E-3</c:v>
                  </c:pt>
                  <c:pt idx="4">
                    <c:v>2.8761223967102767E-3</c:v>
                  </c:pt>
                  <c:pt idx="5">
                    <c:v>2.3224303845093678E-3</c:v>
                  </c:pt>
                  <c:pt idx="6">
                    <c:v>2.0013570594619896E-3</c:v>
                  </c:pt>
                  <c:pt idx="7">
                    <c:v>1.8095603412635493E-3</c:v>
                  </c:pt>
                  <c:pt idx="8">
                    <c:v>1.6450548556941355E-3</c:v>
                  </c:pt>
                  <c:pt idx="9">
                    <c:v>1.4476482730108394E-3</c:v>
                  </c:pt>
                  <c:pt idx="10">
                    <c:v>1.5735307315335211E-3</c:v>
                  </c:pt>
                  <c:pt idx="11">
                    <c:v>1.3919694932796531E-3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ω!$D$12:$D$23</c:f>
              <c:numCache>
                <c:formatCode>0.0000</c:formatCode>
                <c:ptCount val="12"/>
                <c:pt idx="0" formatCode="0.000">
                  <c:v>3.4002398596860774</c:v>
                </c:pt>
                <c:pt idx="1">
                  <c:v>3.6077395829933829</c:v>
                </c:pt>
                <c:pt idx="2">
                  <c:v>3.7045149101632058</c:v>
                </c:pt>
                <c:pt idx="3">
                  <c:v>3.7968750266697708</c:v>
                </c:pt>
                <c:pt idx="4">
                  <c:v>3.8838271566549718</c:v>
                </c:pt>
                <c:pt idx="5">
                  <c:v>3.9719486914947648</c:v>
                </c:pt>
                <c:pt idx="6">
                  <c:v>4.0337083152656641</c:v>
                </c:pt>
                <c:pt idx="7">
                  <c:v>4.0769334693109442</c:v>
                </c:pt>
                <c:pt idx="8">
                  <c:v>4.1216382352075831</c:v>
                </c:pt>
                <c:pt idx="9">
                  <c:v>4.1783911100697209</c:v>
                </c:pt>
                <c:pt idx="10">
                  <c:v>4.1406025491803211</c:v>
                </c:pt>
                <c:pt idx="11">
                  <c:v>4.1926315491843313</c:v>
                </c:pt>
              </c:numCache>
            </c:numRef>
          </c:xVal>
          <c:yVal>
            <c:numRef>
              <c:f>ω!$Y$12:$Y$23</c:f>
              <c:numCache>
                <c:formatCode>0.000</c:formatCode>
                <c:ptCount val="12"/>
                <c:pt idx="0">
                  <c:v>1.2428436766999118E-2</c:v>
                </c:pt>
                <c:pt idx="1">
                  <c:v>-9.1145381286567018E-3</c:v>
                </c:pt>
                <c:pt idx="2">
                  <c:v>6.454623005393012E-4</c:v>
                </c:pt>
                <c:pt idx="3">
                  <c:v>-9.4313421076455961E-3</c:v>
                </c:pt>
                <c:pt idx="4">
                  <c:v>-6.3905507193322414E-3</c:v>
                </c:pt>
                <c:pt idx="5">
                  <c:v>-7.139532688182626E-4</c:v>
                </c:pt>
                <c:pt idx="6">
                  <c:v>2.7987711081895947E-3</c:v>
                </c:pt>
                <c:pt idx="7">
                  <c:v>3.7830097815560321E-3</c:v>
                </c:pt>
                <c:pt idx="8">
                  <c:v>9.4448745439587589E-4</c:v>
                </c:pt>
                <c:pt idx="9">
                  <c:v>3.1012469425462097E-4</c:v>
                </c:pt>
                <c:pt idx="10">
                  <c:v>1.4862180054033836E-3</c:v>
                </c:pt>
                <c:pt idx="11">
                  <c:v>3.2538741131173943E-3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6C-43B0-9371-41DFE973DC77}"/>
            </c:ext>
          </c:extLst>
        </c:ser>
        <c:ser>
          <c:idx val="1"/>
          <c:order val="1"/>
          <c:tx>
            <c:v>u(log(VE0))</c:v>
          </c:tx>
          <c:spPr>
            <a:ln w="22225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3.3</c:v>
              </c:pt>
              <c:pt idx="1">
                <c:v>4.3</c:v>
              </c:pt>
            </c:numLit>
          </c:xVal>
          <c:yVal>
            <c:numRef>
              <c:f>(ω!$D$78,ω!$D$78)</c:f>
              <c:numCache>
                <c:formatCode>0.00</c:formatCode>
                <c:ptCount val="2"/>
                <c:pt idx="0">
                  <c:v>1.2715118660457674E-2</c:v>
                </c:pt>
                <c:pt idx="1">
                  <c:v>1.2715118660457674E-2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73-42F7-86CE-57B1472C2977}"/>
            </c:ext>
          </c:extLst>
        </c:ser>
        <c:ser>
          <c:idx val="2"/>
          <c:order val="2"/>
          <c:tx>
            <c:v>-u(y)</c:v>
          </c:tx>
          <c:spPr>
            <a:ln w="25400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3.3</c:v>
              </c:pt>
              <c:pt idx="1">
                <c:v>4.3</c:v>
              </c:pt>
            </c:numLit>
          </c:xVal>
          <c:yVal>
            <c:numRef>
              <c:f>(ω!$D$79,ω!$D$79)</c:f>
              <c:numCache>
                <c:formatCode>0.00</c:formatCode>
                <c:ptCount val="2"/>
                <c:pt idx="0">
                  <c:v>-1.2715118660457674E-2</c:v>
                </c:pt>
                <c:pt idx="1">
                  <c:v>-1.2715118660457674E-2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073-42F7-86CE-57B1472C2977}"/>
            </c:ext>
          </c:extLst>
        </c:ser>
        <c:ser>
          <c:idx val="3"/>
          <c:order val="3"/>
          <c:tx>
            <c:v>Ponto duvidoso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ω!$D$12</c:f>
              <c:numCache>
                <c:formatCode>0.000</c:formatCode>
                <c:ptCount val="1"/>
                <c:pt idx="0">
                  <c:v>3.4002398596860774</c:v>
                </c:pt>
              </c:numCache>
            </c:numRef>
          </c:xVal>
          <c:yVal>
            <c:numRef>
              <c:f>ω!$Y$12</c:f>
              <c:numCache>
                <c:formatCode>0.000</c:formatCode>
                <c:ptCount val="1"/>
                <c:pt idx="0">
                  <c:v>1.2428436766999118E-2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073-42F7-86CE-57B1472C29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120656"/>
        <c:axId val="1361121136"/>
      </c:scatterChart>
      <c:valAx>
        <c:axId val="1361120656"/>
        <c:scaling>
          <c:orientation val="minMax"/>
          <c:max val="4.3"/>
          <c:min val="3.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log(</a:t>
                </a:r>
                <a:r>
                  <a:rPr lang="el-GR"/>
                  <a:t>ω</a:t>
                </a:r>
                <a:r>
                  <a:rPr lang="pt-PT"/>
                  <a:t>) /s.u.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1136"/>
        <c:crossesAt val="-1.5000000000000003E-2"/>
        <c:crossBetween val="midCat"/>
      </c:valAx>
      <c:valAx>
        <c:axId val="136112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log(V</a:t>
                </a:r>
                <a:r>
                  <a:rPr lang="pt-PT" baseline="-25000"/>
                  <a:t>E0</a:t>
                </a:r>
                <a:r>
                  <a:rPr lang="pt-PT" baseline="0"/>
                  <a:t>) - log(V</a:t>
                </a:r>
                <a:r>
                  <a:rPr lang="pt-PT" baseline="-25000"/>
                  <a:t>E0</a:t>
                </a:r>
                <a:r>
                  <a:rPr lang="pt-PT" baseline="0"/>
                  <a:t>)</a:t>
                </a:r>
                <a:r>
                  <a:rPr lang="pt-PT" baseline="-25000"/>
                  <a:t>ajuste </a:t>
                </a:r>
                <a:r>
                  <a:rPr lang="pt-PT" baseline="0"/>
                  <a:t>/s.u.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0656"/>
        <c:crossesAt val="0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1222994539448914"/>
          <c:y val="0.10973698858241383"/>
          <c:w val="0.71384934587064464"/>
          <c:h val="8.08836411087488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Voltímetro - 2.º Ajuste de V</a:t>
            </a:r>
            <a:r>
              <a:rPr lang="pt-PT" baseline="-25000"/>
              <a:t>E0</a:t>
            </a:r>
            <a:r>
              <a:rPr lang="pt-PT"/>
              <a:t>(</a:t>
            </a:r>
            <a:r>
              <a:rPr lang="el-GR"/>
              <a:t>ω)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7279008289167095"/>
                  <c:y val="0.1148433584572193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V</a:t>
                    </a:r>
                    <a:r>
                      <a:rPr lang="en-US" baseline="-25000"/>
                      <a:t>E0</a:t>
                    </a:r>
                    <a:r>
                      <a:rPr lang="en-US" baseline="0"/>
                      <a:t> = 9.87E-05</a:t>
                    </a:r>
                    <a:r>
                      <a:rPr lang="el-GR" sz="900" b="0" i="0" u="none" strike="noStrike" baseline="0">
                        <a:effectLst/>
                      </a:rPr>
                      <a:t>ω</a:t>
                    </a:r>
                    <a:r>
                      <a:rPr lang="en-US" baseline="0"/>
                      <a:t> + 0.001</a:t>
                    </a:r>
                    <a:endParaRPr lang="en-US"/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ω!$AB$13:$AB$22</c:f>
              <c:numCache>
                <c:formatCode>0</c:formatCode>
                <c:ptCount val="10"/>
                <c:pt idx="0">
                  <c:v>4052.6545231308332</c:v>
                </c:pt>
                <c:pt idx="1">
                  <c:v>5064.2473575867461</c:v>
                </c:pt>
                <c:pt idx="2">
                  <c:v>6264.3357512580478</c:v>
                </c:pt>
                <c:pt idx="3">
                  <c:v>7652.919704144736</c:v>
                </c:pt>
                <c:pt idx="4">
                  <c:v>9374.5124783119427</c:v>
                </c:pt>
                <c:pt idx="5">
                  <c:v>11938.052083641214</c:v>
                </c:pt>
                <c:pt idx="6">
                  <c:v>13232.388256920209</c:v>
                </c:pt>
                <c:pt idx="7">
                  <c:v>15079.644737231007</c:v>
                </c:pt>
                <c:pt idx="8">
                  <c:v>13823.00767579509</c:v>
                </c:pt>
                <c:pt idx="9">
                  <c:v>15582.299561805374</c:v>
                </c:pt>
              </c:numCache>
            </c:numRef>
          </c:xVal>
          <c:yVal>
            <c:numRef>
              <c:f>ω!$AE$13:$AE$22</c:f>
              <c:numCache>
                <c:formatCode>0.0000</c:formatCode>
                <c:ptCount val="10"/>
                <c:pt idx="0">
                  <c:v>0.39923248865792477</c:v>
                </c:pt>
                <c:pt idx="1">
                  <c:v>0.50360144956105923</c:v>
                </c:pt>
                <c:pt idx="2">
                  <c:v>0.61518289963229633</c:v>
                </c:pt>
                <c:pt idx="3">
                  <c:v>0.75745278400702976</c:v>
                </c:pt>
                <c:pt idx="4">
                  <c:v>0.92220866402349533</c:v>
                </c:pt>
                <c:pt idx="5">
                  <c:v>1.1818582740751955</c:v>
                </c:pt>
                <c:pt idx="6">
                  <c:v>1.3071575957014518</c:v>
                </c:pt>
                <c:pt idx="7">
                  <c:v>1.4839342909980886</c:v>
                </c:pt>
                <c:pt idx="8">
                  <c:v>1.3637261381963757</c:v>
                </c:pt>
                <c:pt idx="9">
                  <c:v>1.5393714626431141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30-46C3-90A0-2159C5D01A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120656"/>
        <c:axId val="1361121136"/>
      </c:scatterChart>
      <c:valAx>
        <c:axId val="1361120656"/>
        <c:scaling>
          <c:orientation val="minMax"/>
          <c:max val="17000"/>
          <c:min val="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ω</a:t>
                </a:r>
                <a:r>
                  <a:rPr lang="pt-PT"/>
                  <a:t> /Hz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1136"/>
        <c:crosses val="autoZero"/>
        <c:crossBetween val="midCat"/>
      </c:valAx>
      <c:valAx>
        <c:axId val="1361121136"/>
        <c:scaling>
          <c:orientation val="minMax"/>
          <c:max val="1.7000000000000002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-25000"/>
                  <a:t>E0</a:t>
                </a:r>
                <a:r>
                  <a:rPr lang="pt-PT" baseline="0"/>
                  <a:t> /V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0656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Voltímetro - 2.º Ajuste de log(V</a:t>
            </a:r>
            <a:r>
              <a:rPr lang="pt-PT" baseline="-25000"/>
              <a:t>E0</a:t>
            </a:r>
            <a:r>
              <a:rPr lang="pt-PT"/>
              <a:t>)[log(</a:t>
            </a:r>
            <a:r>
              <a:rPr lang="el-GR"/>
              <a:t>ω)</a:t>
            </a:r>
            <a:r>
              <a:rPr lang="pt-PT"/>
              <a:t>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926835166487826"/>
          <c:y val="0.15669465301947838"/>
          <c:w val="0.83166148573566312"/>
          <c:h val="0.62476021003987103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1726534188008065"/>
                  <c:y val="0.1146976422390503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pt-PT" sz="900" b="0" i="0" u="none" strike="noStrike" baseline="0">
                        <a:effectLst/>
                      </a:rPr>
                      <a:t>log(V</a:t>
                    </a:r>
                    <a:r>
                      <a:rPr lang="pt-PT" sz="900" b="0" i="0" u="none" strike="noStrike" baseline="-25000">
                        <a:effectLst/>
                      </a:rPr>
                      <a:t>E0</a:t>
                    </a:r>
                    <a:r>
                      <a:rPr lang="pt-PT" sz="900" b="0" i="0" u="none" strike="noStrike" baseline="0">
                        <a:effectLst/>
                      </a:rPr>
                      <a:t>) = 1.000log(</a:t>
                    </a:r>
                    <a:r>
                      <a:rPr lang="el-GR" sz="900" b="0" i="0" u="none" strike="noStrike" baseline="0">
                        <a:effectLst/>
                      </a:rPr>
                      <a:t>ω)</a:t>
                    </a:r>
                    <a:r>
                      <a:rPr lang="pt-PT" sz="900" b="0" i="0" u="none" strike="noStrike" baseline="0">
                        <a:effectLst/>
                      </a:rPr>
                      <a:t> - 4.00</a:t>
                    </a:r>
                    <a:endParaRPr lang="en-US"/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ω!$AC$13:$AC$22</c:f>
              <c:numCache>
                <c:formatCode>0.0000</c:formatCode>
                <c:ptCount val="10"/>
                <c:pt idx="0" formatCode="0.000">
                  <c:v>3.6077395829933829</c:v>
                </c:pt>
                <c:pt idx="1">
                  <c:v>3.7045149101632058</c:v>
                </c:pt>
                <c:pt idx="2">
                  <c:v>3.7968750266697708</c:v>
                </c:pt>
                <c:pt idx="3">
                  <c:v>3.8838271566549718</c:v>
                </c:pt>
                <c:pt idx="4">
                  <c:v>3.9719486914947648</c:v>
                </c:pt>
                <c:pt idx="5">
                  <c:v>4.0769334693109442</c:v>
                </c:pt>
                <c:pt idx="6">
                  <c:v>4.1216382352075831</c:v>
                </c:pt>
                <c:pt idx="7">
                  <c:v>4.1783911100697209</c:v>
                </c:pt>
                <c:pt idx="8">
                  <c:v>4.1406025491803211</c:v>
                </c:pt>
                <c:pt idx="9">
                  <c:v>4.1926315491843313</c:v>
                </c:pt>
              </c:numCache>
            </c:numRef>
          </c:xVal>
          <c:yVal>
            <c:numRef>
              <c:f>ω!$AH$13:$AH$22</c:f>
              <c:numCache>
                <c:formatCode>0.0000</c:formatCode>
                <c:ptCount val="10"/>
                <c:pt idx="0">
                  <c:v>-0.39877412402109003</c:v>
                </c:pt>
                <c:pt idx="1">
                  <c:v>-0.29791302849375567</c:v>
                </c:pt>
                <c:pt idx="2">
                  <c:v>-0.21099574521337208</c:v>
                </c:pt>
                <c:pt idx="3">
                  <c:v>-0.12064443382803801</c:v>
                </c:pt>
                <c:pt idx="4">
                  <c:v>-3.5170801960549808E-2</c:v>
                </c:pt>
                <c:pt idx="5">
                  <c:v>7.2565399999164393E-2</c:v>
                </c:pt>
                <c:pt idx="6">
                  <c:v>0.1163279508685937</c:v>
                </c:pt>
                <c:pt idx="7">
                  <c:v>0.17141467069452687</c:v>
                </c:pt>
                <c:pt idx="8">
                  <c:v>0.13472716459342449</c:v>
                </c:pt>
                <c:pt idx="9">
                  <c:v>0.18734343120910377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6D6-476F-906D-AD7A743306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120656"/>
        <c:axId val="1361121136"/>
      </c:scatterChart>
      <c:valAx>
        <c:axId val="1361120656"/>
        <c:scaling>
          <c:orientation val="minMax"/>
          <c:min val="3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log(</a:t>
                </a:r>
                <a:r>
                  <a:rPr lang="el-GR"/>
                  <a:t>ω</a:t>
                </a:r>
                <a:r>
                  <a:rPr lang="pt-PT"/>
                  <a:t>) /s.u.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1136"/>
        <c:crossesAt val="-0.70000000000000007"/>
        <c:crossBetween val="midCat"/>
      </c:valAx>
      <c:valAx>
        <c:axId val="136112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log(V</a:t>
                </a:r>
                <a:r>
                  <a:rPr lang="pt-PT" baseline="-25000"/>
                  <a:t>E0</a:t>
                </a:r>
                <a:r>
                  <a:rPr lang="pt-PT" baseline="0"/>
                  <a:t>) /s.u.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0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t-PT" sz="1400"/>
              <a:t>Osciloscópio - 2.º Ajuste de VE0(</a:t>
            </a:r>
            <a:r>
              <a:rPr lang="el-GR" sz="1400"/>
              <a:t>ω)</a:t>
            </a:r>
            <a:endParaRPr lang="pt-PT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6610042395247696"/>
                  <c:y val="0.1232868536950631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ysClr val="windowText" lastClr="000000">
                            <a:lumMod val="65000"/>
                            <a:lumOff val="35000"/>
                          </a:sys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900" b="0" i="0" u="none" strike="noStrike" baseline="0">
                        <a:effectLst/>
                      </a:rPr>
                      <a:t>V</a:t>
                    </a:r>
                    <a:r>
                      <a:rPr lang="en-US" sz="900" b="0" i="0" u="none" strike="noStrike" baseline="-25000">
                        <a:effectLst/>
                      </a:rPr>
                      <a:t>E0</a:t>
                    </a:r>
                    <a:r>
                      <a:rPr lang="en-US" baseline="0"/>
                      <a:t> = 1.003E-04</a:t>
                    </a:r>
                    <a:r>
                      <a:rPr lang="el-GR" sz="900" b="0" i="0" u="none" strike="noStrike" baseline="0">
                        <a:effectLst/>
                      </a:rPr>
                      <a:t>ω</a:t>
                    </a:r>
                    <a:r>
                      <a:rPr lang="en-US" baseline="0"/>
                      <a:t> + 0.006</a:t>
                    </a:r>
                    <a:endParaRPr lang="en-US"/>
                  </a:p>
                </c:rich>
              </c:tx>
              <c:numFmt formatCode="General" sourceLinked="0"/>
              <c:spPr>
                <a:solidFill>
                  <a:sysClr val="window" lastClr="FFFFFF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ω!$C$13:$C$23</c:f>
              <c:numCache>
                <c:formatCode>0</c:formatCode>
                <c:ptCount val="11"/>
                <c:pt idx="0">
                  <c:v>4052.6545231308332</c:v>
                </c:pt>
                <c:pt idx="1">
                  <c:v>5064.2473575867461</c:v>
                </c:pt>
                <c:pt idx="2">
                  <c:v>6264.3357512580478</c:v>
                </c:pt>
                <c:pt idx="3">
                  <c:v>7652.919704144736</c:v>
                </c:pt>
                <c:pt idx="4">
                  <c:v>9374.5124783119427</c:v>
                </c:pt>
                <c:pt idx="5">
                  <c:v>10807.078728348888</c:v>
                </c:pt>
                <c:pt idx="6">
                  <c:v>11938.052083641214</c:v>
                </c:pt>
                <c:pt idx="7">
                  <c:v>13232.388256920209</c:v>
                </c:pt>
                <c:pt idx="8">
                  <c:v>15079.644737231007</c:v>
                </c:pt>
                <c:pt idx="9">
                  <c:v>13823.00767579509</c:v>
                </c:pt>
                <c:pt idx="10">
                  <c:v>15582.299561805374</c:v>
                </c:pt>
              </c:numCache>
            </c:numRef>
          </c:xVal>
          <c:yVal>
            <c:numRef>
              <c:f>ω!$R$13:$R$23</c:f>
              <c:numCache>
                <c:formatCode>0.000</c:formatCode>
                <c:ptCount val="11"/>
                <c:pt idx="0" formatCode="0.0000">
                  <c:v>0.4</c:v>
                </c:pt>
                <c:pt idx="1">
                  <c:v>0.51</c:v>
                </c:pt>
                <c:pt idx="2">
                  <c:v>0.61499999999999999</c:v>
                </c:pt>
                <c:pt idx="3">
                  <c:v>0.755</c:v>
                </c:pt>
                <c:pt idx="4">
                  <c:v>0.93500000000000005</c:v>
                </c:pt>
                <c:pt idx="5">
                  <c:v>1.085</c:v>
                </c:pt>
                <c:pt idx="6">
                  <c:v>1.2</c:v>
                </c:pt>
                <c:pt idx="7">
                  <c:v>1.32</c:v>
                </c:pt>
                <c:pt idx="8">
                  <c:v>1.5</c:v>
                </c:pt>
                <c:pt idx="9">
                  <c:v>1.38</c:v>
                </c:pt>
                <c:pt idx="10">
                  <c:v>1.56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C3-4E3A-AD8D-96B8A24313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120656"/>
        <c:axId val="1361121136"/>
      </c:scatterChart>
      <c:valAx>
        <c:axId val="1361120656"/>
        <c:scaling>
          <c:orientation val="minMax"/>
          <c:max val="17000"/>
          <c:min val="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ω</a:t>
                </a:r>
                <a:r>
                  <a:rPr lang="pt-PT"/>
                  <a:t> /Hz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1136"/>
        <c:crosses val="autoZero"/>
        <c:crossBetween val="midCat"/>
      </c:valAx>
      <c:valAx>
        <c:axId val="1361121136"/>
        <c:scaling>
          <c:orientation val="minMax"/>
          <c:max val="1.7000000000000002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VE0 /V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0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marL="0" marR="0" lvl="0" indent="0" algn="ctr" defTabSz="914400" rtl="0" eaLnBrk="1" fontAlgn="auto" latinLnBrk="0" hangingPunct="1">
        <a:lnSpc>
          <a:spcPct val="100000"/>
        </a:lnSpc>
        <a:spcBef>
          <a:spcPts val="0"/>
        </a:spcBef>
        <a:spcAft>
          <a:spcPts val="0"/>
        </a:spcAft>
        <a:buClrTx/>
        <a:buSzTx/>
        <a:buFontTx/>
        <a:buNone/>
        <a:tabLst/>
        <a:defRPr sz="900" b="0" i="0" u="none" strike="noStrike" kern="1200" baseline="0">
          <a:solidFill>
            <a:sysClr val="windowText" lastClr="000000">
              <a:lumMod val="65000"/>
              <a:lumOff val="35000"/>
            </a:sysClr>
          </a:solidFill>
          <a:latin typeface="+mn-lt"/>
          <a:ea typeface="+mn-ea"/>
          <a:cs typeface="+mn-cs"/>
        </a:defRPr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Osciloscópio - 2.º Ajuste de log(V</a:t>
            </a:r>
            <a:r>
              <a:rPr lang="pt-PT" baseline="-25000"/>
              <a:t>E0</a:t>
            </a:r>
            <a:r>
              <a:rPr lang="pt-PT"/>
              <a:t>)[log(</a:t>
            </a:r>
            <a:r>
              <a:rPr lang="el-GR"/>
              <a:t>ω)</a:t>
            </a:r>
            <a:r>
              <a:rPr lang="pt-PT"/>
              <a:t>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0719664308351732"/>
                  <c:y val="0.1178902497321829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pt-PT" baseline="0"/>
                      <a:t>log(</a:t>
                    </a:r>
                    <a:r>
                      <a:rPr lang="en-US" sz="900" b="0" i="0" u="none" strike="noStrike" baseline="0">
                        <a:effectLst/>
                      </a:rPr>
                      <a:t>V</a:t>
                    </a:r>
                    <a:r>
                      <a:rPr lang="en-US" sz="900" b="0" i="0" u="none" strike="noStrike" baseline="-25000">
                        <a:effectLst/>
                      </a:rPr>
                      <a:t>E0</a:t>
                    </a:r>
                    <a:r>
                      <a:rPr lang="en-US" sz="900" b="0" i="0" u="none" strike="noStrike" baseline="0">
                        <a:effectLst/>
                      </a:rPr>
                      <a:t>)</a:t>
                    </a:r>
                    <a:r>
                      <a:rPr lang="pt-PT" baseline="0"/>
                      <a:t> = 0.989log(</a:t>
                    </a:r>
                    <a:r>
                      <a:rPr lang="el-GR" sz="900" b="0" i="0" u="none" strike="noStrike" baseline="0">
                        <a:effectLst/>
                      </a:rPr>
                      <a:t>ω</a:t>
                    </a:r>
                    <a:r>
                      <a:rPr lang="en-US" sz="900" b="0" i="0" u="none" strike="noStrike" baseline="0">
                        <a:effectLst/>
                      </a:rPr>
                      <a:t>) </a:t>
                    </a:r>
                    <a:r>
                      <a:rPr lang="pt-PT" baseline="0"/>
                      <a:t>- 3.96</a:t>
                    </a:r>
                    <a:endParaRPr lang="pt-PT"/>
                  </a:p>
                </c:rich>
              </c:tx>
              <c:numFmt formatCode="General" sourceLinked="0"/>
              <c:spPr>
                <a:solidFill>
                  <a:sysClr val="window" lastClr="FFFFFF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ω!$D$13:$D$23</c:f>
              <c:numCache>
                <c:formatCode>0.0000</c:formatCode>
                <c:ptCount val="11"/>
                <c:pt idx="0">
                  <c:v>3.6077395829933829</c:v>
                </c:pt>
                <c:pt idx="1">
                  <c:v>3.7045149101632058</c:v>
                </c:pt>
                <c:pt idx="2">
                  <c:v>3.7968750266697708</c:v>
                </c:pt>
                <c:pt idx="3">
                  <c:v>3.8838271566549718</c:v>
                </c:pt>
                <c:pt idx="4">
                  <c:v>3.9719486914947648</c:v>
                </c:pt>
                <c:pt idx="5">
                  <c:v>4.0337083152656641</c:v>
                </c:pt>
                <c:pt idx="6">
                  <c:v>4.0769334693109442</c:v>
                </c:pt>
                <c:pt idx="7">
                  <c:v>4.1216382352075831</c:v>
                </c:pt>
                <c:pt idx="8">
                  <c:v>4.1783911100697209</c:v>
                </c:pt>
                <c:pt idx="9">
                  <c:v>4.1406025491803211</c:v>
                </c:pt>
                <c:pt idx="10">
                  <c:v>4.1926315491843313</c:v>
                </c:pt>
              </c:numCache>
            </c:numRef>
          </c:xVal>
          <c:yVal>
            <c:numRef>
              <c:f>ω!$V$13:$V$23</c:f>
              <c:numCache>
                <c:formatCode>0.000</c:formatCode>
                <c:ptCount val="11"/>
                <c:pt idx="0">
                  <c:v>-0.3979400086720376</c:v>
                </c:pt>
                <c:pt idx="1">
                  <c:v>-0.29242982390206362</c:v>
                </c:pt>
                <c:pt idx="2">
                  <c:v>-0.21112488422458328</c:v>
                </c:pt>
                <c:pt idx="3">
                  <c:v>-0.12205304837081175</c:v>
                </c:pt>
                <c:pt idx="4">
                  <c:v>-2.91883891274822E-2</c:v>
                </c:pt>
                <c:pt idx="5">
                  <c:v>3.5429738184548303E-2</c:v>
                </c:pt>
                <c:pt idx="6">
                  <c:v>7.9181246047624818E-2</c:v>
                </c:pt>
                <c:pt idx="7">
                  <c:v>0.12057393120584989</c:v>
                </c:pt>
                <c:pt idx="8">
                  <c:v>0.17609125905568124</c:v>
                </c:pt>
                <c:pt idx="9">
                  <c:v>0.13987908640123647</c:v>
                </c:pt>
                <c:pt idx="10">
                  <c:v>0.19312459835446161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33-4AEE-8211-94B289BE9F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120656"/>
        <c:axId val="1361121136"/>
      </c:scatterChart>
      <c:valAx>
        <c:axId val="1361120656"/>
        <c:scaling>
          <c:orientation val="minMax"/>
          <c:min val="3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log(</a:t>
                </a:r>
                <a:r>
                  <a:rPr lang="el-GR"/>
                  <a:t>ω</a:t>
                </a:r>
                <a:r>
                  <a:rPr lang="pt-PT"/>
                  <a:t>) /s.u.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1136"/>
        <c:crossesAt val="-0.70000000000000007"/>
        <c:crossBetween val="midCat"/>
      </c:valAx>
      <c:valAx>
        <c:axId val="136112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log(V</a:t>
                </a:r>
                <a:r>
                  <a:rPr lang="pt-PT" baseline="-25000"/>
                  <a:t>E0</a:t>
                </a:r>
                <a:r>
                  <a:rPr lang="pt-PT" baseline="0"/>
                  <a:t>) /s.u.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0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Voltímetro - Resíduos de V</a:t>
            </a:r>
            <a:r>
              <a:rPr lang="pt-PT" baseline="-25000"/>
              <a:t>E0</a:t>
            </a:r>
            <a:r>
              <a:rPr lang="pt-PT"/>
              <a:t>(</a:t>
            </a:r>
            <a:r>
              <a:rPr lang="el-GR"/>
              <a:t>ω)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136018509905214"/>
          <c:y val="0.19832946124657647"/>
          <c:w val="0.80379476363043112"/>
          <c:h val="0.60636151298153451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ω!$I$3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ω!$I$3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ω!$AB$13:$AB$22</c:f>
              <c:numCache>
                <c:formatCode>0</c:formatCode>
                <c:ptCount val="10"/>
                <c:pt idx="0">
                  <c:v>4052.6545231308332</c:v>
                </c:pt>
                <c:pt idx="1">
                  <c:v>5064.2473575867461</c:v>
                </c:pt>
                <c:pt idx="2">
                  <c:v>6264.3357512580478</c:v>
                </c:pt>
                <c:pt idx="3">
                  <c:v>7652.919704144736</c:v>
                </c:pt>
                <c:pt idx="4">
                  <c:v>9374.5124783119427</c:v>
                </c:pt>
                <c:pt idx="5">
                  <c:v>11938.052083641214</c:v>
                </c:pt>
                <c:pt idx="6">
                  <c:v>13232.388256920209</c:v>
                </c:pt>
                <c:pt idx="7">
                  <c:v>15079.644737231007</c:v>
                </c:pt>
                <c:pt idx="8">
                  <c:v>13823.00767579509</c:v>
                </c:pt>
                <c:pt idx="9">
                  <c:v>15582.299561805374</c:v>
                </c:pt>
              </c:numCache>
            </c:numRef>
          </c:xVal>
          <c:yVal>
            <c:numRef>
              <c:f>ω!$AG$13:$AG$22</c:f>
              <c:numCache>
                <c:formatCode>0.000</c:formatCode>
                <c:ptCount val="10"/>
                <c:pt idx="0">
                  <c:v>-1.208434498019384E-3</c:v>
                </c:pt>
                <c:pt idx="1">
                  <c:v>3.3892371090368245E-3</c:v>
                </c:pt>
                <c:pt idx="2">
                  <c:v>-3.3915255871234118E-3</c:v>
                </c:pt>
                <c:pt idx="3">
                  <c:v>1.9252225488939345E-3</c:v>
                </c:pt>
                <c:pt idx="4">
                  <c:v>-3.1159984726868428E-3</c:v>
                </c:pt>
                <c:pt idx="5">
                  <c:v>3.6970523690758039E-3</c:v>
                </c:pt>
                <c:pt idx="6">
                  <c:v>1.3386994922754969E-3</c:v>
                </c:pt>
                <c:pt idx="7">
                  <c:v>-4.0756552300134086E-3</c:v>
                </c:pt>
                <c:pt idx="8">
                  <c:v>-3.4431822293345959E-4</c:v>
                </c:pt>
                <c:pt idx="9">
                  <c:v>1.7857204914950575E-3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B5-4BF5-AB50-67835EE51E9E}"/>
            </c:ext>
          </c:extLst>
        </c:ser>
        <c:ser>
          <c:idx val="1"/>
          <c:order val="1"/>
          <c:tx>
            <c:v>u(VE0)</c:v>
          </c:tx>
          <c:spPr>
            <a:ln w="22225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3000</c:v>
              </c:pt>
              <c:pt idx="1">
                <c:v>17000</c:v>
              </c:pt>
            </c:numLit>
          </c:xVal>
          <c:yVal>
            <c:numRef>
              <c:f>(ω!$X$30,ω!$X$30)</c:f>
              <c:numCache>
                <c:formatCode>0.000</c:formatCode>
                <c:ptCount val="2"/>
                <c:pt idx="0">
                  <c:v>6.0516215631256981E-3</c:v>
                </c:pt>
                <c:pt idx="1">
                  <c:v>6.0516215631256981E-3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B5-4BF5-AB50-67835EE51E9E}"/>
            </c:ext>
          </c:extLst>
        </c:ser>
        <c:ser>
          <c:idx val="2"/>
          <c:order val="2"/>
          <c:tx>
            <c:v>-u(y)</c:v>
          </c:tx>
          <c:spPr>
            <a:ln w="22225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3000</c:v>
              </c:pt>
              <c:pt idx="1">
                <c:v>17000</c:v>
              </c:pt>
            </c:numLit>
          </c:xVal>
          <c:yVal>
            <c:numRef>
              <c:f>(ω!$X$31,ω!$X$31)</c:f>
              <c:numCache>
                <c:formatCode>0.000</c:formatCode>
                <c:ptCount val="2"/>
                <c:pt idx="0">
                  <c:v>-6.0516215631256981E-3</c:v>
                </c:pt>
                <c:pt idx="1">
                  <c:v>-6.0516215631256981E-3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8B5-4BF5-AB50-67835EE51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120656"/>
        <c:axId val="1361121136"/>
      </c:scatterChart>
      <c:valAx>
        <c:axId val="1361120656"/>
        <c:scaling>
          <c:orientation val="minMax"/>
          <c:max val="17000"/>
          <c:min val="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ω</a:t>
                </a:r>
                <a:r>
                  <a:rPr lang="pt-PT"/>
                  <a:t> /Hz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1136"/>
        <c:crossesAt val="-1.2000000000000002E-2"/>
        <c:crossBetween val="midCat"/>
      </c:valAx>
      <c:valAx>
        <c:axId val="136112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-25000"/>
                  <a:t>E0</a:t>
                </a:r>
                <a:r>
                  <a:rPr lang="pt-PT" baseline="0"/>
                  <a:t> - V</a:t>
                </a:r>
                <a:r>
                  <a:rPr lang="pt-PT" baseline="-25000"/>
                  <a:t>E0|ajuste</a:t>
                </a:r>
                <a:r>
                  <a:rPr lang="pt-PT" baseline="0"/>
                  <a:t> /V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0656"/>
        <c:crosses val="autoZero"/>
        <c:crossBetween val="midCat"/>
        <c:majorUnit val="4.000000000000001E-3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16517289647428177"/>
          <c:y val="0.10927839264760686"/>
          <c:w val="0.62559413102918549"/>
          <c:h val="6.92777969419519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Voltímetro - Resíduos de log(V</a:t>
            </a:r>
            <a:r>
              <a:rPr lang="pt-PT" baseline="-25000"/>
              <a:t>E0</a:t>
            </a:r>
            <a:r>
              <a:rPr lang="pt-PT"/>
              <a:t>)[log(</a:t>
            </a:r>
            <a:r>
              <a:rPr lang="el-GR"/>
              <a:t>ω)</a:t>
            </a:r>
            <a:r>
              <a:rPr lang="pt-PT"/>
              <a:t>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17733116907842"/>
          <c:y val="0.19137229209404233"/>
          <c:w val="0.7780055881937572"/>
          <c:h val="0.60673740964696532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(ω!$E$13:$E$17,ω!$E$19:$E$23)</c:f>
                <c:numCache>
                  <c:formatCode>General</c:formatCode>
                  <c:ptCount val="10"/>
                  <c:pt idx="0">
                    <c:v>6.7332477814457633E-4</c:v>
                  </c:pt>
                  <c:pt idx="1">
                    <c:v>5.3882690062438188E-4</c:v>
                  </c:pt>
                  <c:pt idx="2">
                    <c:v>4.3560128576053332E-4</c:v>
                  </c:pt>
                  <c:pt idx="3">
                    <c:v>3.5656361404207859E-4</c:v>
                  </c:pt>
                  <c:pt idx="4">
                    <c:v>2.9108209242845293E-4</c:v>
                  </c:pt>
                  <c:pt idx="5">
                    <c:v>2.2857604310697462E-4</c:v>
                  </c:pt>
                  <c:pt idx="6">
                    <c:v>2.0621770270809676E-4</c:v>
                  </c:pt>
                  <c:pt idx="7">
                    <c:v>1.8095603412635492E-4</c:v>
                  </c:pt>
                  <c:pt idx="8">
                    <c:v>1.9740658268329627E-4</c:v>
                  </c:pt>
                  <c:pt idx="9">
                    <c:v>1.751187427029241E-4</c:v>
                  </c:pt>
                </c:numCache>
              </c:numRef>
            </c:plus>
            <c:minus>
              <c:numRef>
                <c:f>(ω!$E$13:$E$17,ω!$E$19:$E$23)</c:f>
                <c:numCache>
                  <c:formatCode>General</c:formatCode>
                  <c:ptCount val="10"/>
                  <c:pt idx="0">
                    <c:v>6.7332477814457633E-4</c:v>
                  </c:pt>
                  <c:pt idx="1">
                    <c:v>5.3882690062438188E-4</c:v>
                  </c:pt>
                  <c:pt idx="2">
                    <c:v>4.3560128576053332E-4</c:v>
                  </c:pt>
                  <c:pt idx="3">
                    <c:v>3.5656361404207859E-4</c:v>
                  </c:pt>
                  <c:pt idx="4">
                    <c:v>2.9108209242845293E-4</c:v>
                  </c:pt>
                  <c:pt idx="5">
                    <c:v>2.2857604310697462E-4</c:v>
                  </c:pt>
                  <c:pt idx="6">
                    <c:v>2.0621770270809676E-4</c:v>
                  </c:pt>
                  <c:pt idx="7">
                    <c:v>1.8095603412635492E-4</c:v>
                  </c:pt>
                  <c:pt idx="8">
                    <c:v>1.9740658268329627E-4</c:v>
                  </c:pt>
                  <c:pt idx="9">
                    <c:v>1.751187427029241E-4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ω!$AC$13:$AC$22</c:f>
              <c:numCache>
                <c:formatCode>0.0000</c:formatCode>
                <c:ptCount val="10"/>
                <c:pt idx="0" formatCode="0.000">
                  <c:v>3.6077395829933829</c:v>
                </c:pt>
                <c:pt idx="1">
                  <c:v>3.7045149101632058</c:v>
                </c:pt>
                <c:pt idx="2">
                  <c:v>3.7968750266697708</c:v>
                </c:pt>
                <c:pt idx="3">
                  <c:v>3.8838271566549718</c:v>
                </c:pt>
                <c:pt idx="4">
                  <c:v>3.9719486914947648</c:v>
                </c:pt>
                <c:pt idx="5">
                  <c:v>4.0769334693109442</c:v>
                </c:pt>
                <c:pt idx="6">
                  <c:v>4.1216382352075831</c:v>
                </c:pt>
                <c:pt idx="7">
                  <c:v>4.1783911100697209</c:v>
                </c:pt>
                <c:pt idx="8">
                  <c:v>4.1406025491803211</c:v>
                </c:pt>
                <c:pt idx="9">
                  <c:v>4.1926315491843313</c:v>
                </c:pt>
              </c:numCache>
            </c:numRef>
          </c:xVal>
          <c:yVal>
            <c:numRef>
              <c:f>ω!$AJ$13:$AJ$22</c:f>
              <c:numCache>
                <c:formatCode>0.0000</c:formatCode>
                <c:ptCount val="10"/>
                <c:pt idx="0">
                  <c:v>-1.3095982568118725E-3</c:v>
                </c:pt>
                <c:pt idx="1">
                  <c:v>2.7950567966645856E-3</c:v>
                </c:pt>
                <c:pt idx="2">
                  <c:v>-2.6297514071191019E-3</c:v>
                </c:pt>
                <c:pt idx="3">
                  <c:v>7.863995914706573E-4</c:v>
                </c:pt>
                <c:pt idx="4">
                  <c:v>-1.844305561047227E-3</c:v>
                </c:pt>
                <c:pt idx="5">
                  <c:v>9.2760743680203595E-4</c:v>
                </c:pt>
                <c:pt idx="6">
                  <c:v>-5.8829976179591847E-6</c:v>
                </c:pt>
                <c:pt idx="7">
                  <c:v>-1.6609621292086318E-3</c:v>
                </c:pt>
                <c:pt idx="8">
                  <c:v>-5.6728216548007637E-4</c:v>
                </c:pt>
                <c:pt idx="9">
                  <c:v>3.01384382565828E-5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2C-40B6-9EE2-F602D856E568}"/>
            </c:ext>
          </c:extLst>
        </c:ser>
        <c:ser>
          <c:idx val="1"/>
          <c:order val="1"/>
          <c:tx>
            <c:v>u(log(VE0))</c:v>
          </c:tx>
          <c:spPr>
            <a:ln w="22225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3.5</c:v>
              </c:pt>
              <c:pt idx="1">
                <c:v>4.3</c:v>
              </c:pt>
            </c:numLit>
          </c:xVal>
          <c:yVal>
            <c:numRef>
              <c:f>(ω!$X$46,ω!$X$46)</c:f>
              <c:numCache>
                <c:formatCode>0.000</c:formatCode>
                <c:ptCount val="2"/>
                <c:pt idx="0">
                  <c:v>4.027979543150215E-3</c:v>
                </c:pt>
                <c:pt idx="1">
                  <c:v>4.027979543150215E-3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2C-40B6-9EE2-F602D856E568}"/>
            </c:ext>
          </c:extLst>
        </c:ser>
        <c:ser>
          <c:idx val="2"/>
          <c:order val="2"/>
          <c:tx>
            <c:v>-u(y)</c:v>
          </c:tx>
          <c:spPr>
            <a:ln w="22225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3.5</c:v>
              </c:pt>
              <c:pt idx="1">
                <c:v>4.3</c:v>
              </c:pt>
            </c:numLit>
          </c:xVal>
          <c:yVal>
            <c:numRef>
              <c:f>(ω!$X$47,ω!$X$47)</c:f>
              <c:numCache>
                <c:formatCode>0.000</c:formatCode>
                <c:ptCount val="2"/>
                <c:pt idx="0">
                  <c:v>-4.027979543150215E-3</c:v>
                </c:pt>
                <c:pt idx="1">
                  <c:v>-4.027979543150215E-3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E2C-40B6-9EE2-F602D856E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120656"/>
        <c:axId val="1361121136"/>
      </c:scatterChart>
      <c:valAx>
        <c:axId val="1361120656"/>
        <c:scaling>
          <c:orientation val="minMax"/>
          <c:max val="4.3"/>
          <c:min val="3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log(</a:t>
                </a:r>
                <a:r>
                  <a:rPr lang="el-GR"/>
                  <a:t>ω</a:t>
                </a:r>
                <a:r>
                  <a:rPr lang="pt-PT"/>
                  <a:t>) /s.u.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1136"/>
        <c:crossesAt val="-1.5000000000000003E-2"/>
        <c:crossBetween val="midCat"/>
      </c:valAx>
      <c:valAx>
        <c:axId val="136112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log(V</a:t>
                </a:r>
                <a:r>
                  <a:rPr lang="pt-PT" baseline="-25000"/>
                  <a:t>E0</a:t>
                </a:r>
                <a:r>
                  <a:rPr lang="pt-PT" baseline="0"/>
                  <a:t>) - </a:t>
                </a:r>
                <a:r>
                  <a:rPr lang="pt-PT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log(V</a:t>
                </a:r>
                <a:r>
                  <a:rPr lang="pt-PT" sz="8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E0</a:t>
                </a:r>
                <a:r>
                  <a:rPr lang="pt-PT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)ajuste</a:t>
                </a: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/</a:t>
                </a:r>
                <a:r>
                  <a:rPr lang="pt-PT" baseline="0"/>
                  <a:t>s.u.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0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7.1910466601687345E-2"/>
          <c:y val="0.11230993001614738"/>
          <c:w val="0.80508566430990491"/>
          <c:h val="7.10444255891966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Osciloscópio - Resíduos de V</a:t>
            </a:r>
            <a:r>
              <a:rPr lang="pt-PT" baseline="-25000"/>
              <a:t>E0</a:t>
            </a:r>
            <a:r>
              <a:rPr lang="pt-PT"/>
              <a:t>(</a:t>
            </a:r>
            <a:r>
              <a:rPr lang="el-GR"/>
              <a:t>ω)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184290575812814"/>
          <c:y val="0.20071468128509443"/>
          <c:w val="0.79671842889633659"/>
          <c:h val="0.58382170471991079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ω!$S$13:$S$23</c:f>
                <c:numCache>
                  <c:formatCode>General</c:formatCode>
                  <c:ptCount val="11"/>
                  <c:pt idx="0">
                    <c:v>5.0000000000000001E-4</c:v>
                  </c:pt>
                  <c:pt idx="1">
                    <c:v>5.0000000000000001E-3</c:v>
                  </c:pt>
                  <c:pt idx="2">
                    <c:v>5.0000000000000001E-3</c:v>
                  </c:pt>
                  <c:pt idx="3">
                    <c:v>5.0000000000000001E-3</c:v>
                  </c:pt>
                  <c:pt idx="4">
                    <c:v>5.0000000000000001E-3</c:v>
                  </c:pt>
                  <c:pt idx="5">
                    <c:v>5.0000000000000001E-3</c:v>
                  </c:pt>
                  <c:pt idx="6">
                    <c:v>5.0000000000000001E-3</c:v>
                  </c:pt>
                  <c:pt idx="7">
                    <c:v>5.0000000000000001E-3</c:v>
                  </c:pt>
                  <c:pt idx="8">
                    <c:v>5.0000000000000001E-3</c:v>
                  </c:pt>
                  <c:pt idx="9">
                    <c:v>5.0000000000000001E-3</c:v>
                  </c:pt>
                  <c:pt idx="10">
                    <c:v>5.0000000000000001E-3</c:v>
                  </c:pt>
                </c:numCache>
              </c:numRef>
            </c:plus>
            <c:minus>
              <c:numRef>
                <c:f>ω!$S$13:$S$23</c:f>
                <c:numCache>
                  <c:formatCode>General</c:formatCode>
                  <c:ptCount val="11"/>
                  <c:pt idx="0">
                    <c:v>5.0000000000000001E-4</c:v>
                  </c:pt>
                  <c:pt idx="1">
                    <c:v>5.0000000000000001E-3</c:v>
                  </c:pt>
                  <c:pt idx="2">
                    <c:v>5.0000000000000001E-3</c:v>
                  </c:pt>
                  <c:pt idx="3">
                    <c:v>5.0000000000000001E-3</c:v>
                  </c:pt>
                  <c:pt idx="4">
                    <c:v>5.0000000000000001E-3</c:v>
                  </c:pt>
                  <c:pt idx="5">
                    <c:v>5.0000000000000001E-3</c:v>
                  </c:pt>
                  <c:pt idx="6">
                    <c:v>5.0000000000000001E-3</c:v>
                  </c:pt>
                  <c:pt idx="7">
                    <c:v>5.0000000000000001E-3</c:v>
                  </c:pt>
                  <c:pt idx="8">
                    <c:v>5.0000000000000001E-3</c:v>
                  </c:pt>
                  <c:pt idx="9">
                    <c:v>5.0000000000000001E-3</c:v>
                  </c:pt>
                  <c:pt idx="10">
                    <c:v>5.0000000000000001E-3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ω!$C$13:$C$23</c:f>
              <c:numCache>
                <c:formatCode>0</c:formatCode>
                <c:ptCount val="11"/>
                <c:pt idx="0">
                  <c:v>4052.6545231308332</c:v>
                </c:pt>
                <c:pt idx="1">
                  <c:v>5064.2473575867461</c:v>
                </c:pt>
                <c:pt idx="2">
                  <c:v>6264.3357512580478</c:v>
                </c:pt>
                <c:pt idx="3">
                  <c:v>7652.919704144736</c:v>
                </c:pt>
                <c:pt idx="4">
                  <c:v>9374.5124783119427</c:v>
                </c:pt>
                <c:pt idx="5">
                  <c:v>10807.078728348888</c:v>
                </c:pt>
                <c:pt idx="6">
                  <c:v>11938.052083641214</c:v>
                </c:pt>
                <c:pt idx="7">
                  <c:v>13232.388256920209</c:v>
                </c:pt>
                <c:pt idx="8">
                  <c:v>15079.644737231007</c:v>
                </c:pt>
                <c:pt idx="9">
                  <c:v>13823.00767579509</c:v>
                </c:pt>
                <c:pt idx="10">
                  <c:v>15582.299561805374</c:v>
                </c:pt>
              </c:numCache>
            </c:numRef>
          </c:xVal>
          <c:yVal>
            <c:numRef>
              <c:f>ω!$AM$13:$AM$23</c:f>
              <c:numCache>
                <c:formatCode>0.000</c:formatCode>
                <c:ptCount val="11"/>
                <c:pt idx="0">
                  <c:v>-7.4291722353186929E-4</c:v>
                </c:pt>
                <c:pt idx="1">
                  <c:v>7.7625300487907944E-3</c:v>
                </c:pt>
                <c:pt idx="2">
                  <c:v>-7.6440511374600284E-3</c:v>
                </c:pt>
                <c:pt idx="3">
                  <c:v>-6.9626607822842468E-3</c:v>
                </c:pt>
                <c:pt idx="4">
                  <c:v>3.0747929607854996E-4</c:v>
                </c:pt>
                <c:pt idx="5">
                  <c:v>6.5760630109206186E-3</c:v>
                </c:pt>
                <c:pt idx="6">
                  <c:v>8.1038922594798279E-3</c:v>
                </c:pt>
                <c:pt idx="7">
                  <c:v>-1.7587031560575284E-3</c:v>
                </c:pt>
                <c:pt idx="8">
                  <c:v>-7.096582050077016E-3</c:v>
                </c:pt>
                <c:pt idx="9">
                  <c:v>-1.0163923262542784E-3</c:v>
                </c:pt>
                <c:pt idx="10">
                  <c:v>2.4713420603938996E-3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A2-4ECB-A98A-69CD6CA744F6}"/>
            </c:ext>
          </c:extLst>
        </c:ser>
        <c:ser>
          <c:idx val="1"/>
          <c:order val="1"/>
          <c:tx>
            <c:v>u(VE0)</c:v>
          </c:tx>
          <c:spPr>
            <a:ln w="22225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3000</c:v>
              </c:pt>
              <c:pt idx="1">
                <c:v>17000</c:v>
              </c:pt>
            </c:numLit>
          </c:xVal>
          <c:yVal>
            <c:numRef>
              <c:f>(ω!$X$62,ω!$X$62)</c:f>
              <c:numCache>
                <c:formatCode>0.00</c:formatCode>
                <c:ptCount val="2"/>
                <c:pt idx="0">
                  <c:v>1.2244296236569896E-2</c:v>
                </c:pt>
                <c:pt idx="1">
                  <c:v>1.2244296236569896E-2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A2-4ECB-A98A-69CD6CA744F6}"/>
            </c:ext>
          </c:extLst>
        </c:ser>
        <c:ser>
          <c:idx val="2"/>
          <c:order val="2"/>
          <c:tx>
            <c:v>-u(y)</c:v>
          </c:tx>
          <c:spPr>
            <a:ln w="22225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3000</c:v>
              </c:pt>
              <c:pt idx="1">
                <c:v>17000</c:v>
              </c:pt>
            </c:numLit>
          </c:xVal>
          <c:yVal>
            <c:numRef>
              <c:f>(ω!$X$63,ω!$X$63)</c:f>
              <c:numCache>
                <c:formatCode>0.00</c:formatCode>
                <c:ptCount val="2"/>
                <c:pt idx="0">
                  <c:v>-1.2244296236569896E-2</c:v>
                </c:pt>
                <c:pt idx="1">
                  <c:v>-1.2244296236569896E-2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BA2-4ECB-A98A-69CD6CA744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120656"/>
        <c:axId val="1361121136"/>
      </c:scatterChart>
      <c:valAx>
        <c:axId val="1361120656"/>
        <c:scaling>
          <c:orientation val="minMax"/>
          <c:max val="17000"/>
          <c:min val="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ω</a:t>
                </a:r>
                <a:r>
                  <a:rPr lang="pt-PT"/>
                  <a:t> /Hz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1136"/>
        <c:crossesAt val="-2.0000000000000004E-2"/>
        <c:crossBetween val="midCat"/>
      </c:valAx>
      <c:valAx>
        <c:axId val="1361121136"/>
        <c:scaling>
          <c:orientation val="minMax"/>
          <c:max val="1.8000000000000002E-2"/>
          <c:min val="-1.8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-25000"/>
                  <a:t>E0</a:t>
                </a:r>
                <a:r>
                  <a:rPr lang="pt-PT" baseline="0"/>
                  <a:t> - V</a:t>
                </a:r>
                <a:r>
                  <a:rPr lang="pt-PT" baseline="-25000"/>
                  <a:t>E0|ajuste</a:t>
                </a:r>
                <a:r>
                  <a:rPr lang="pt-PT" baseline="0"/>
                  <a:t> /V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0656"/>
        <c:crosses val="autoZero"/>
        <c:crossBetween val="midCat"/>
        <c:majorUnit val="6.0000000000000019E-3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21502147641256686"/>
          <c:y val="0.10457935801361365"/>
          <c:w val="0.50589924768671057"/>
          <c:h val="9.23680871497570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Osciloscópio - Resíduos de log(V</a:t>
            </a:r>
            <a:r>
              <a:rPr lang="pt-PT" baseline="-25000"/>
              <a:t>E0</a:t>
            </a:r>
            <a:r>
              <a:rPr lang="pt-PT"/>
              <a:t>)[log(</a:t>
            </a:r>
            <a:r>
              <a:rPr lang="el-GR"/>
              <a:t>ω)</a:t>
            </a:r>
            <a:r>
              <a:rPr lang="pt-PT"/>
              <a:t>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186589346200993"/>
          <c:y val="0.19910797657967369"/>
          <c:w val="0.81819329027851773"/>
          <c:h val="0.60036916954276598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ω!$W$13:$W$23</c:f>
                <c:numCache>
                  <c:formatCode>General</c:formatCode>
                  <c:ptCount val="11"/>
                  <c:pt idx="0">
                    <c:v>5.4286810237906471E-4</c:v>
                  </c:pt>
                  <c:pt idx="1">
                    <c:v>4.2577890382671738E-3</c:v>
                  </c:pt>
                  <c:pt idx="2">
                    <c:v>3.5308494463679009E-3</c:v>
                  </c:pt>
                  <c:pt idx="3">
                    <c:v>2.8761223967102767E-3</c:v>
                  </c:pt>
                  <c:pt idx="4">
                    <c:v>2.3224303845093678E-3</c:v>
                  </c:pt>
                  <c:pt idx="5">
                    <c:v>2.0013570594619896E-3</c:v>
                  </c:pt>
                  <c:pt idx="6">
                    <c:v>1.8095603412635493E-3</c:v>
                  </c:pt>
                  <c:pt idx="7">
                    <c:v>1.6450548556941355E-3</c:v>
                  </c:pt>
                  <c:pt idx="8">
                    <c:v>1.4476482730108394E-3</c:v>
                  </c:pt>
                  <c:pt idx="9">
                    <c:v>1.5735307315335211E-3</c:v>
                  </c:pt>
                  <c:pt idx="10">
                    <c:v>1.3919694932796531E-3</c:v>
                  </c:pt>
                </c:numCache>
              </c:numRef>
            </c:plus>
            <c:minus>
              <c:numRef>
                <c:f>ω!$W$13:$W$23</c:f>
                <c:numCache>
                  <c:formatCode>General</c:formatCode>
                  <c:ptCount val="11"/>
                  <c:pt idx="0">
                    <c:v>5.4286810237906471E-4</c:v>
                  </c:pt>
                  <c:pt idx="1">
                    <c:v>4.2577890382671738E-3</c:v>
                  </c:pt>
                  <c:pt idx="2">
                    <c:v>3.5308494463679009E-3</c:v>
                  </c:pt>
                  <c:pt idx="3">
                    <c:v>2.8761223967102767E-3</c:v>
                  </c:pt>
                  <c:pt idx="4">
                    <c:v>2.3224303845093678E-3</c:v>
                  </c:pt>
                  <c:pt idx="5">
                    <c:v>2.0013570594619896E-3</c:v>
                  </c:pt>
                  <c:pt idx="6">
                    <c:v>1.8095603412635493E-3</c:v>
                  </c:pt>
                  <c:pt idx="7">
                    <c:v>1.6450548556941355E-3</c:v>
                  </c:pt>
                  <c:pt idx="8">
                    <c:v>1.4476482730108394E-3</c:v>
                  </c:pt>
                  <c:pt idx="9">
                    <c:v>1.5735307315335211E-3</c:v>
                  </c:pt>
                  <c:pt idx="10">
                    <c:v>1.3919694932796531E-3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ω!$D$13:$D$23</c:f>
              <c:numCache>
                <c:formatCode>0.0000</c:formatCode>
                <c:ptCount val="11"/>
                <c:pt idx="0">
                  <c:v>3.6077395829933829</c:v>
                </c:pt>
                <c:pt idx="1">
                  <c:v>3.7045149101632058</c:v>
                </c:pt>
                <c:pt idx="2">
                  <c:v>3.7968750266697708</c:v>
                </c:pt>
                <c:pt idx="3">
                  <c:v>3.8838271566549718</c:v>
                </c:pt>
                <c:pt idx="4">
                  <c:v>3.9719486914947648</c:v>
                </c:pt>
                <c:pt idx="5">
                  <c:v>4.0337083152656641</c:v>
                </c:pt>
                <c:pt idx="6">
                  <c:v>4.0769334693109442</c:v>
                </c:pt>
                <c:pt idx="7">
                  <c:v>4.1216382352075831</c:v>
                </c:pt>
                <c:pt idx="8">
                  <c:v>4.1783911100697209</c:v>
                </c:pt>
                <c:pt idx="9">
                  <c:v>4.1406025491803211</c:v>
                </c:pt>
                <c:pt idx="10">
                  <c:v>4.1926315491843313</c:v>
                </c:pt>
              </c:numCache>
            </c:numRef>
          </c:xVal>
          <c:yVal>
            <c:numRef>
              <c:f>ω!$AO$13:$AO$23</c:f>
              <c:numCache>
                <c:formatCode>0.000</c:formatCode>
                <c:ptCount val="11"/>
                <c:pt idx="0">
                  <c:v>-1.4618946551495648E-3</c:v>
                </c:pt>
                <c:pt idx="1">
                  <c:v>6.5723969422230022E-3</c:v>
                </c:pt>
                <c:pt idx="2">
                  <c:v>-5.1513837503605886E-3</c:v>
                </c:pt>
                <c:pt idx="3">
                  <c:v>-3.6611328050464159E-3</c:v>
                </c:pt>
                <c:pt idx="4">
                  <c:v>4.4407123979042784E-4</c:v>
                </c:pt>
                <c:pt idx="5">
                  <c:v>2.8554908596007886E-3</c:v>
                </c:pt>
                <c:pt idx="6">
                  <c:v>3.068933584512365E-3</c:v>
                </c:pt>
                <c:pt idx="7">
                  <c:v>-5.6676930083968124E-4</c:v>
                </c:pt>
                <c:pt idx="8">
                  <c:v>-2.2131558923145223E-3</c:v>
                </c:pt>
                <c:pt idx="9">
                  <c:v>-3.6321259092675362E-4</c:v>
                </c:pt>
                <c:pt idx="10">
                  <c:v>4.7665636851634829E-4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90-480B-BA3F-E15B1BE0E86C}"/>
            </c:ext>
          </c:extLst>
        </c:ser>
        <c:ser>
          <c:idx val="1"/>
          <c:order val="1"/>
          <c:tx>
            <c:v>u(log(VE0))</c:v>
          </c:tx>
          <c:spPr>
            <a:ln w="22225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3.5</c:v>
              </c:pt>
              <c:pt idx="1">
                <c:v>4.3</c:v>
              </c:pt>
            </c:numLit>
          </c:xVal>
          <c:yVal>
            <c:numRef>
              <c:f>(ω!$D$78,ω!$D$78)</c:f>
              <c:numCache>
                <c:formatCode>0.00</c:formatCode>
                <c:ptCount val="2"/>
                <c:pt idx="0">
                  <c:v>1.2715118660457674E-2</c:v>
                </c:pt>
                <c:pt idx="1">
                  <c:v>1.2715118660457674E-2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90-480B-BA3F-E15B1BE0E86C}"/>
            </c:ext>
          </c:extLst>
        </c:ser>
        <c:ser>
          <c:idx val="2"/>
          <c:order val="2"/>
          <c:tx>
            <c:v>-u(y)</c:v>
          </c:tx>
          <c:spPr>
            <a:ln w="25400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3.5</c:v>
              </c:pt>
              <c:pt idx="1">
                <c:v>4.3</c:v>
              </c:pt>
            </c:numLit>
          </c:xVal>
          <c:yVal>
            <c:numRef>
              <c:f>(ω!$D$79,ω!$D$79)</c:f>
              <c:numCache>
                <c:formatCode>0.00</c:formatCode>
                <c:ptCount val="2"/>
                <c:pt idx="0">
                  <c:v>-1.2715118660457674E-2</c:v>
                </c:pt>
                <c:pt idx="1">
                  <c:v>-1.2715118660457674E-2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290-480B-BA3F-E15B1BE0E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120656"/>
        <c:axId val="1361121136"/>
      </c:scatterChart>
      <c:valAx>
        <c:axId val="1361120656"/>
        <c:scaling>
          <c:orientation val="minMax"/>
          <c:max val="4.3"/>
          <c:min val="3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log(</a:t>
                </a:r>
                <a:r>
                  <a:rPr lang="el-GR"/>
                  <a:t>ω</a:t>
                </a:r>
                <a:r>
                  <a:rPr lang="pt-PT"/>
                  <a:t>) /s.u.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1136"/>
        <c:crossesAt val="-1.5000000000000003E-2"/>
        <c:crossBetween val="midCat"/>
      </c:valAx>
      <c:valAx>
        <c:axId val="136112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log(V</a:t>
                </a:r>
                <a:r>
                  <a:rPr lang="pt-PT" baseline="-25000"/>
                  <a:t>E0</a:t>
                </a:r>
                <a:r>
                  <a:rPr lang="pt-PT" baseline="0"/>
                  <a:t>) - log(V</a:t>
                </a:r>
                <a:r>
                  <a:rPr lang="pt-PT" baseline="-25000"/>
                  <a:t>E0</a:t>
                </a:r>
                <a:r>
                  <a:rPr lang="pt-PT" baseline="0"/>
                  <a:t>)</a:t>
                </a:r>
                <a:r>
                  <a:rPr lang="pt-PT" baseline="-25000"/>
                  <a:t>ajuste </a:t>
                </a:r>
                <a:r>
                  <a:rPr lang="pt-PT" baseline="0"/>
                  <a:t>/s.u.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0656"/>
        <c:crossesAt val="0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1222994539448914"/>
          <c:y val="0.10973698858241383"/>
          <c:w val="0.71384934587064464"/>
          <c:h val="8.08836411087488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Voltímetro - Ajuste de V</a:t>
            </a:r>
            <a:r>
              <a:rPr lang="pt-PT" baseline="-25000"/>
              <a:t>E0</a:t>
            </a:r>
            <a:r>
              <a:rPr lang="pt-PT"/>
              <a:t>(i</a:t>
            </a:r>
            <a:r>
              <a:rPr lang="pt-PT" baseline="-25000"/>
              <a:t>0</a:t>
            </a:r>
            <a:r>
              <a:rPr lang="el-GR"/>
              <a:t>)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2219299751480023"/>
                  <c:y val="9.5515539762223295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pt-PT" sz="900" b="0" i="0" u="none" strike="noStrike" baseline="0">
                        <a:effectLst/>
                      </a:rPr>
                      <a:t>V</a:t>
                    </a:r>
                    <a:r>
                      <a:rPr lang="pt-PT" sz="900" b="0" i="0" u="none" strike="noStrike" baseline="-25000">
                        <a:effectLst/>
                      </a:rPr>
                      <a:t>E0</a:t>
                    </a:r>
                    <a:r>
                      <a:rPr lang="en-US" baseline="0"/>
                      <a:t> = 2.1537</a:t>
                    </a:r>
                    <a:r>
                      <a:rPr lang="pt-PT" sz="900" b="0" i="0" u="none" strike="noStrike" baseline="0">
                        <a:effectLst/>
                      </a:rPr>
                      <a:t>i</a:t>
                    </a:r>
                    <a:r>
                      <a:rPr lang="pt-PT" sz="900" b="0" i="0" u="none" strike="noStrike" baseline="-25000">
                        <a:effectLst/>
                      </a:rPr>
                      <a:t>0</a:t>
                    </a:r>
                    <a:r>
                      <a:rPr lang="en-US" baseline="0"/>
                      <a:t> - 0.0016</a:t>
                    </a:r>
                    <a:endParaRPr lang="en-US"/>
                  </a:p>
                </c:rich>
              </c:tx>
              <c:numFmt formatCode="General" sourceLinked="0"/>
              <c:spPr>
                <a:solidFill>
                  <a:sysClr val="window" lastClr="FFFFFF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i0!$C$13:$C$26</c:f>
              <c:numCache>
                <c:formatCode>0.0000</c:formatCode>
                <c:ptCount val="14"/>
                <c:pt idx="0">
                  <c:v>7.9620223561605266E-2</c:v>
                </c:pt>
                <c:pt idx="1">
                  <c:v>0.1038032754781852</c:v>
                </c:pt>
                <c:pt idx="2">
                  <c:v>0.12360226535140853</c:v>
                </c:pt>
                <c:pt idx="3">
                  <c:v>0.16716004307249985</c:v>
                </c:pt>
                <c:pt idx="4">
                  <c:v>0.24564889578420662</c:v>
                </c:pt>
                <c:pt idx="5">
                  <c:v>0.29373215690489185</c:v>
                </c:pt>
                <c:pt idx="6">
                  <c:v>0.36557420587344508</c:v>
                </c:pt>
                <c:pt idx="7">
                  <c:v>0.4259611249867763</c:v>
                </c:pt>
                <c:pt idx="8">
                  <c:v>0.50275292142363526</c:v>
                </c:pt>
                <c:pt idx="9">
                  <c:v>0.54673496321343862</c:v>
                </c:pt>
                <c:pt idx="10">
                  <c:v>0.57417070632347667</c:v>
                </c:pt>
                <c:pt idx="11">
                  <c:v>0.59524248840283578</c:v>
                </c:pt>
                <c:pt idx="12">
                  <c:v>0.63795173798650318</c:v>
                </c:pt>
                <c:pt idx="13">
                  <c:v>0.67274139162088142</c:v>
                </c:pt>
              </c:numCache>
            </c:numRef>
          </c:xVal>
          <c:yVal>
            <c:numRef>
              <c:f>i0!$G$13:$G$26</c:f>
              <c:numCache>
                <c:formatCode>0.0000</c:formatCode>
                <c:ptCount val="14"/>
                <c:pt idx="0">
                  <c:v>0.17069557697843257</c:v>
                </c:pt>
                <c:pt idx="1">
                  <c:v>0.22259721471752519</c:v>
                </c:pt>
                <c:pt idx="2">
                  <c:v>0.26488220023248071</c:v>
                </c:pt>
                <c:pt idx="3">
                  <c:v>0.35822029534910504</c:v>
                </c:pt>
                <c:pt idx="4">
                  <c:v>0.52693597334021525</c:v>
                </c:pt>
                <c:pt idx="5">
                  <c:v>0.63017356339345121</c:v>
                </c:pt>
                <c:pt idx="6">
                  <c:v>0.78502994847330521</c:v>
                </c:pt>
                <c:pt idx="7">
                  <c:v>0.91499617485539264</c:v>
                </c:pt>
                <c:pt idx="8">
                  <c:v>1.080600583009282</c:v>
                </c:pt>
                <c:pt idx="9">
                  <c:v>1.175635734400754</c:v>
                </c:pt>
                <c:pt idx="10">
                  <c:v>1.2351741253766613</c:v>
                </c:pt>
                <c:pt idx="11">
                  <c:v>1.2805703807288376</c:v>
                </c:pt>
                <c:pt idx="12">
                  <c:v>1.3727771049955635</c:v>
                </c:pt>
                <c:pt idx="13">
                  <c:v>1.4481546878700495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0E2-4979-9208-F5BAA32C3E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120656"/>
        <c:axId val="1361121136"/>
      </c:scatterChart>
      <c:valAx>
        <c:axId val="1361120656"/>
        <c:scaling>
          <c:orientation val="minMax"/>
          <c:max val="0.70000000000000007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i</a:t>
                </a:r>
                <a:r>
                  <a:rPr lang="pt-PT" baseline="-25000"/>
                  <a:t>0</a:t>
                </a:r>
                <a:r>
                  <a:rPr lang="pt-PT" baseline="0"/>
                  <a:t> /A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1136"/>
        <c:crosses val="autoZero"/>
        <c:crossBetween val="midCat"/>
        <c:majorUnit val="0.1"/>
      </c:valAx>
      <c:valAx>
        <c:axId val="136112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-25000"/>
                  <a:t>E0</a:t>
                </a:r>
                <a:r>
                  <a:rPr lang="pt-PT" baseline="0"/>
                  <a:t> /V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0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Voltímetro - Ajuste de log(V</a:t>
            </a:r>
            <a:r>
              <a:rPr lang="pt-PT" baseline="-25000"/>
              <a:t>E0</a:t>
            </a:r>
            <a:r>
              <a:rPr lang="pt-PT"/>
              <a:t>)[log(i</a:t>
            </a:r>
            <a:r>
              <a:rPr lang="pt-PT" baseline="-25000"/>
              <a:t>0</a:t>
            </a:r>
            <a:r>
              <a:rPr lang="el-GR"/>
              <a:t>)</a:t>
            </a:r>
            <a:r>
              <a:rPr lang="pt-PT"/>
              <a:t>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1024863552519366"/>
                  <c:y val="7.9229154874384991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log(</a:t>
                    </a:r>
                    <a:r>
                      <a:rPr lang="pt-PT" sz="900" b="0" i="0" u="none" strike="noStrike" baseline="0">
                        <a:effectLst/>
                      </a:rPr>
                      <a:t>V</a:t>
                    </a:r>
                    <a:r>
                      <a:rPr lang="pt-PT" sz="900" b="0" i="0" u="none" strike="noStrike" baseline="-25000">
                        <a:effectLst/>
                      </a:rPr>
                      <a:t>E0</a:t>
                    </a:r>
                    <a:r>
                      <a:rPr lang="en-US" baseline="0"/>
                      <a:t>) = 1.0020log(</a:t>
                    </a:r>
                    <a:r>
                      <a:rPr lang="pt-PT" sz="900" b="0" i="0" u="none" strike="noStrike" baseline="0">
                        <a:effectLst/>
                      </a:rPr>
                      <a:t>i</a:t>
                    </a:r>
                    <a:r>
                      <a:rPr lang="pt-PT" sz="900" b="0" i="0" u="none" strike="noStrike" baseline="-25000">
                        <a:effectLst/>
                      </a:rPr>
                      <a:t>0</a:t>
                    </a:r>
                    <a:r>
                      <a:rPr lang="en-US" baseline="0"/>
                      <a:t>) + 0.3330</a:t>
                    </a:r>
                    <a:endParaRPr lang="en-US"/>
                  </a:p>
                </c:rich>
              </c:tx>
              <c:numFmt formatCode="General" sourceLinked="0"/>
              <c:spPr>
                <a:solidFill>
                  <a:sysClr val="window" lastClr="FFFFFF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i0!$D$13:$D$32</c:f>
              <c:numCache>
                <c:formatCode>0.0000</c:formatCode>
                <c:ptCount val="20"/>
                <c:pt idx="0">
                  <c:v>-1.0989766073166631</c:v>
                </c:pt>
                <c:pt idx="1">
                  <c:v>-0.9837889422519388</c:v>
                </c:pt>
                <c:pt idx="2">
                  <c:v>-0.90797356953360631</c:v>
                </c:pt>
                <c:pt idx="3">
                  <c:v>-0.77686752562277284</c:v>
                </c:pt>
                <c:pt idx="4">
                  <c:v>-0.60968518372091074</c:v>
                </c:pt>
                <c:pt idx="5">
                  <c:v>-0.53204850563291028</c:v>
                </c:pt>
                <c:pt idx="6">
                  <c:v>-0.43702445473804807</c:v>
                </c:pt>
                <c:pt idx="7">
                  <c:v>-0.37063003463934635</c:v>
                </c:pt>
                <c:pt idx="8">
                  <c:v>-0.29864539710222432</c:v>
                </c:pt>
                <c:pt idx="9">
                  <c:v>-0.26222315247547512</c:v>
                </c:pt>
                <c:pt idx="10">
                  <c:v>-0.24095896859081523</c:v>
                </c:pt>
                <c:pt idx="11">
                  <c:v>-0.22530607641998701</c:v>
                </c:pt>
                <c:pt idx="12">
                  <c:v>-0.19521217507029892</c:v>
                </c:pt>
                <c:pt idx="13" formatCode="0.00000">
                  <c:v>-0.1721518507481076</c:v>
                </c:pt>
              </c:numCache>
            </c:numRef>
          </c:xVal>
          <c:yVal>
            <c:numRef>
              <c:f>i0!$J$13:$J$32</c:f>
              <c:numCache>
                <c:formatCode>0.0000</c:formatCode>
                <c:ptCount val="20"/>
                <c:pt idx="0">
                  <c:v>-0.76777773207066013</c:v>
                </c:pt>
                <c:pt idx="1">
                  <c:v>-0.65248027414496357</c:v>
                </c:pt>
                <c:pt idx="2">
                  <c:v>-0.57694722479277205</c:v>
                </c:pt>
                <c:pt idx="3">
                  <c:v>-0.44584981237746135</c:v>
                </c:pt>
                <c:pt idx="4">
                  <c:v>-0.27824215160778554</c:v>
                </c:pt>
                <c:pt idx="5">
                  <c:v>-0.20053982000233689</c:v>
                </c:pt>
                <c:pt idx="6" formatCode="0.00000">
                  <c:v>-0.10511377483614869</c:v>
                </c:pt>
                <c:pt idx="7" formatCode="0.00000">
                  <c:v>-3.8580721499308947E-2</c:v>
                </c:pt>
                <c:pt idx="8" formatCode="0.00000">
                  <c:v>3.3665197515268162E-2</c:v>
                </c:pt>
                <c:pt idx="9" formatCode="0.00000">
                  <c:v>7.0272778333884789E-2</c:v>
                </c:pt>
                <c:pt idx="10" formatCode="0.00000">
                  <c:v>9.1728185417311925E-2</c:v>
                </c:pt>
                <c:pt idx="11" formatCode="0.00000">
                  <c:v>0.10740345248206781</c:v>
                </c:pt>
                <c:pt idx="12" formatCode="0.00000">
                  <c:v>0.13760002745611261</c:v>
                </c:pt>
                <c:pt idx="13" formatCode="0.00000">
                  <c:v>0.16081495447180261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28-4A65-A910-9C87C29B7D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120656"/>
        <c:axId val="1361121136"/>
      </c:scatterChart>
      <c:valAx>
        <c:axId val="1361120656"/>
        <c:scaling>
          <c:orientation val="minMax"/>
          <c:max val="-0.1"/>
          <c:min val="-1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log(i</a:t>
                </a:r>
                <a:r>
                  <a:rPr lang="pt-PT" baseline="-25000"/>
                  <a:t>0</a:t>
                </a:r>
                <a:r>
                  <a:rPr lang="pt-PT" baseline="0"/>
                  <a:t>) /A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1136"/>
        <c:crossesAt val="-1"/>
        <c:crossBetween val="midCat"/>
        <c:majorUnit val="0.1"/>
      </c:valAx>
      <c:valAx>
        <c:axId val="1361121136"/>
        <c:scaling>
          <c:orientation val="minMax"/>
          <c:max val="0.2"/>
          <c:min val="-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log(V</a:t>
                </a:r>
                <a:r>
                  <a:rPr lang="pt-PT" baseline="-25000"/>
                  <a:t>E0</a:t>
                </a:r>
                <a:r>
                  <a:rPr lang="pt-PT" baseline="0"/>
                  <a:t>) /s.u.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0656"/>
        <c:crossesAt val="-1.2"/>
        <c:crossBetween val="midCat"/>
        <c:maj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Osciloscópio - Ajuste de V</a:t>
            </a:r>
            <a:r>
              <a:rPr lang="pt-PT" baseline="-25000"/>
              <a:t>E0</a:t>
            </a:r>
            <a:r>
              <a:rPr lang="pt-PT"/>
              <a:t>(i</a:t>
            </a:r>
            <a:r>
              <a:rPr lang="pt-PT" baseline="-25000"/>
              <a:t>0</a:t>
            </a:r>
            <a:r>
              <a:rPr lang="el-GR"/>
              <a:t>)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8241427126627189"/>
                  <c:y val="0.1176548959098246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pt-PT" sz="900" b="0" i="0" u="none" strike="noStrike" baseline="0">
                        <a:effectLst/>
                      </a:rPr>
                      <a:t>V</a:t>
                    </a:r>
                    <a:r>
                      <a:rPr lang="pt-PT" sz="900" b="0" i="0" u="none" strike="noStrike" baseline="-25000">
                        <a:effectLst/>
                      </a:rPr>
                      <a:t>E0</a:t>
                    </a:r>
                    <a:r>
                      <a:rPr lang="en-US" baseline="0"/>
                      <a:t> = 2.181</a:t>
                    </a:r>
                    <a:r>
                      <a:rPr lang="pt-PT" sz="900" b="0" i="0" u="none" strike="noStrike" baseline="0">
                        <a:effectLst/>
                      </a:rPr>
                      <a:t>i</a:t>
                    </a:r>
                    <a:r>
                      <a:rPr lang="pt-PT" sz="900" b="0" i="0" u="none" strike="noStrike" baseline="-25000">
                        <a:effectLst/>
                      </a:rPr>
                      <a:t>0</a:t>
                    </a:r>
                    <a:r>
                      <a:rPr lang="en-US" baseline="0"/>
                      <a:t> - 0.006</a:t>
                    </a:r>
                    <a:endParaRPr lang="en-US"/>
                  </a:p>
                </c:rich>
              </c:tx>
              <c:numFmt formatCode="General" sourceLinked="0"/>
              <c:spPr>
                <a:solidFill>
                  <a:sysClr val="window" lastClr="FFFFFF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i0!$C$13:$C$26</c:f>
              <c:numCache>
                <c:formatCode>0.0000</c:formatCode>
                <c:ptCount val="14"/>
                <c:pt idx="0">
                  <c:v>7.9620223561605266E-2</c:v>
                </c:pt>
                <c:pt idx="1">
                  <c:v>0.1038032754781852</c:v>
                </c:pt>
                <c:pt idx="2">
                  <c:v>0.12360226535140853</c:v>
                </c:pt>
                <c:pt idx="3">
                  <c:v>0.16716004307249985</c:v>
                </c:pt>
                <c:pt idx="4">
                  <c:v>0.24564889578420662</c:v>
                </c:pt>
                <c:pt idx="5">
                  <c:v>0.29373215690489185</c:v>
                </c:pt>
                <c:pt idx="6">
                  <c:v>0.36557420587344508</c:v>
                </c:pt>
                <c:pt idx="7">
                  <c:v>0.4259611249867763</c:v>
                </c:pt>
                <c:pt idx="8">
                  <c:v>0.50275292142363526</c:v>
                </c:pt>
                <c:pt idx="9">
                  <c:v>0.54673496321343862</c:v>
                </c:pt>
                <c:pt idx="10">
                  <c:v>0.57417070632347667</c:v>
                </c:pt>
                <c:pt idx="11">
                  <c:v>0.59524248840283578</c:v>
                </c:pt>
                <c:pt idx="12">
                  <c:v>0.63795173798650318</c:v>
                </c:pt>
                <c:pt idx="13">
                  <c:v>0.67274139162088142</c:v>
                </c:pt>
              </c:numCache>
            </c:numRef>
          </c:xVal>
          <c:yVal>
            <c:numRef>
              <c:f>i0!$P$13:$P$26</c:f>
              <c:numCache>
                <c:formatCode>0.0000</c:formatCode>
                <c:ptCount val="14"/>
                <c:pt idx="0">
                  <c:v>0.17100000000000001</c:v>
                </c:pt>
                <c:pt idx="1">
                  <c:v>0.222</c:v>
                </c:pt>
                <c:pt idx="2">
                  <c:v>0.26600000000000001</c:v>
                </c:pt>
                <c:pt idx="3">
                  <c:v>0.35799999999999998</c:v>
                </c:pt>
                <c:pt idx="4" formatCode="0.000">
                  <c:v>0.52500000000000002</c:v>
                </c:pt>
                <c:pt idx="5" formatCode="0.000">
                  <c:v>0.63</c:v>
                </c:pt>
                <c:pt idx="6" formatCode="0.000">
                  <c:v>0.78500000000000003</c:v>
                </c:pt>
                <c:pt idx="7" formatCode="0.000">
                  <c:v>0.93</c:v>
                </c:pt>
                <c:pt idx="8" formatCode="0.000">
                  <c:v>1.1000000000000001</c:v>
                </c:pt>
                <c:pt idx="9" formatCode="0.000">
                  <c:v>1.18</c:v>
                </c:pt>
                <c:pt idx="10" formatCode="0.000">
                  <c:v>1.25</c:v>
                </c:pt>
                <c:pt idx="11" formatCode="0.000">
                  <c:v>1.3</c:v>
                </c:pt>
                <c:pt idx="12" formatCode="0.000">
                  <c:v>1.38</c:v>
                </c:pt>
                <c:pt idx="13" formatCode="0.000">
                  <c:v>1.46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56-4FF3-8DAF-DA3EE09186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120656"/>
        <c:axId val="1361121136"/>
      </c:scatterChart>
      <c:valAx>
        <c:axId val="1361120656"/>
        <c:scaling>
          <c:orientation val="minMax"/>
          <c:max val="0.70000000000000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i</a:t>
                </a:r>
                <a:r>
                  <a:rPr lang="pt-PT" baseline="-25000"/>
                  <a:t>0</a:t>
                </a:r>
                <a:r>
                  <a:rPr lang="pt-PT" baseline="0"/>
                  <a:t> /A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1136"/>
        <c:crosses val="autoZero"/>
        <c:crossBetween val="midCat"/>
      </c:valAx>
      <c:valAx>
        <c:axId val="136112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-25000"/>
                  <a:t>E0</a:t>
                </a:r>
                <a:r>
                  <a:rPr lang="pt-PT" baseline="0"/>
                  <a:t> /V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0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Osciloscópio - Ajuste de log(V</a:t>
            </a:r>
            <a:r>
              <a:rPr lang="pt-PT" baseline="-25000"/>
              <a:t>E0</a:t>
            </a:r>
            <a:r>
              <a:rPr lang="pt-PT"/>
              <a:t>)[log(i</a:t>
            </a:r>
            <a:r>
              <a:rPr lang="pt-PT" baseline="-25000"/>
              <a:t>0</a:t>
            </a:r>
            <a:r>
              <a:rPr lang="el-GR"/>
              <a:t>)</a:t>
            </a:r>
            <a:r>
              <a:rPr lang="pt-PT"/>
              <a:t>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8653758629794903"/>
                  <c:y val="6.026246353463665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log(</a:t>
                    </a:r>
                    <a:r>
                      <a:rPr lang="pt-PT" sz="900" b="0" i="0" u="none" strike="noStrike" baseline="0">
                        <a:effectLst/>
                      </a:rPr>
                      <a:t>V</a:t>
                    </a:r>
                    <a:r>
                      <a:rPr lang="pt-PT" sz="900" b="0" i="0" u="none" strike="noStrike" baseline="-25000">
                        <a:effectLst/>
                      </a:rPr>
                      <a:t>E0</a:t>
                    </a:r>
                    <a:r>
                      <a:rPr lang="pt-PT" sz="900" b="0" i="0" u="none" strike="noStrike" baseline="0">
                        <a:effectLst/>
                      </a:rPr>
                      <a:t>)</a:t>
                    </a:r>
                    <a:r>
                      <a:rPr lang="en-US" baseline="0"/>
                      <a:t> = 1.008log(</a:t>
                    </a:r>
                    <a:r>
                      <a:rPr lang="pt-PT" sz="900" b="0" i="0" u="none" strike="noStrike" baseline="0">
                        <a:effectLst/>
                      </a:rPr>
                      <a:t>i</a:t>
                    </a:r>
                    <a:r>
                      <a:rPr lang="pt-PT" sz="900" b="0" i="0" u="none" strike="noStrike" baseline="-25000">
                        <a:effectLst/>
                      </a:rPr>
                      <a:t>0</a:t>
                    </a:r>
                    <a:r>
                      <a:rPr lang="en-US" baseline="0"/>
                      <a:t>) + 0.338</a:t>
                    </a:r>
                    <a:endParaRPr lang="en-US"/>
                  </a:p>
                </c:rich>
              </c:tx>
              <c:numFmt formatCode="General" sourceLinked="0"/>
              <c:spPr>
                <a:solidFill>
                  <a:sysClr val="window" lastClr="FFFFFF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i0!$D$13:$D$26</c:f>
              <c:numCache>
                <c:formatCode>0.0000</c:formatCode>
                <c:ptCount val="14"/>
                <c:pt idx="0">
                  <c:v>-1.0989766073166631</c:v>
                </c:pt>
                <c:pt idx="1">
                  <c:v>-0.9837889422519388</c:v>
                </c:pt>
                <c:pt idx="2">
                  <c:v>-0.90797356953360631</c:v>
                </c:pt>
                <c:pt idx="3">
                  <c:v>-0.77686752562277284</c:v>
                </c:pt>
                <c:pt idx="4">
                  <c:v>-0.60968518372091074</c:v>
                </c:pt>
                <c:pt idx="5">
                  <c:v>-0.53204850563291028</c:v>
                </c:pt>
                <c:pt idx="6">
                  <c:v>-0.43702445473804807</c:v>
                </c:pt>
                <c:pt idx="7">
                  <c:v>-0.37063003463934635</c:v>
                </c:pt>
                <c:pt idx="8">
                  <c:v>-0.29864539710222432</c:v>
                </c:pt>
                <c:pt idx="9">
                  <c:v>-0.26222315247547512</c:v>
                </c:pt>
                <c:pt idx="10">
                  <c:v>-0.24095896859081523</c:v>
                </c:pt>
                <c:pt idx="11">
                  <c:v>-0.22530607641998701</c:v>
                </c:pt>
                <c:pt idx="12">
                  <c:v>-0.19521217507029892</c:v>
                </c:pt>
                <c:pt idx="13" formatCode="0.00000">
                  <c:v>-0.1721518507481076</c:v>
                </c:pt>
              </c:numCache>
            </c:numRef>
          </c:xVal>
          <c:yVal>
            <c:numRef>
              <c:f>i0!$T$13:$T$26</c:f>
              <c:numCache>
                <c:formatCode>0.000</c:formatCode>
                <c:ptCount val="14"/>
                <c:pt idx="0">
                  <c:v>-0.76700388960784616</c:v>
                </c:pt>
                <c:pt idx="1">
                  <c:v>-0.65364702554936138</c:v>
                </c:pt>
                <c:pt idx="2" formatCode="0.0000">
                  <c:v>-0.57511836336893296</c:v>
                </c:pt>
                <c:pt idx="3" formatCode="0.0000">
                  <c:v>-0.44611697335612566</c:v>
                </c:pt>
                <c:pt idx="4">
                  <c:v>-0.27984069659404309</c:v>
                </c:pt>
                <c:pt idx="5">
                  <c:v>-0.20065945054641829</c:v>
                </c:pt>
                <c:pt idx="6">
                  <c:v>-0.10513034325474745</c:v>
                </c:pt>
                <c:pt idx="7">
                  <c:v>-3.1517051446064863E-2</c:v>
                </c:pt>
                <c:pt idx="8">
                  <c:v>4.1392685158225077E-2</c:v>
                </c:pt>
                <c:pt idx="9">
                  <c:v>7.1882007306125359E-2</c:v>
                </c:pt>
                <c:pt idx="10">
                  <c:v>9.691001300805642E-2</c:v>
                </c:pt>
                <c:pt idx="11">
                  <c:v>0.11394335230683679</c:v>
                </c:pt>
                <c:pt idx="12">
                  <c:v>0.13987908640123647</c:v>
                </c:pt>
                <c:pt idx="13">
                  <c:v>0.16435285578443709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36-42E9-BA00-3459AF666B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120656"/>
        <c:axId val="1361121136"/>
      </c:scatterChart>
      <c:valAx>
        <c:axId val="1361120656"/>
        <c:scaling>
          <c:orientation val="minMax"/>
          <c:max val="-0.1"/>
          <c:min val="-1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i</a:t>
                </a:r>
                <a:r>
                  <a:rPr lang="pt-PT" baseline="-25000"/>
                  <a:t>0</a:t>
                </a:r>
                <a:r>
                  <a:rPr lang="pt-PT" baseline="0"/>
                  <a:t> /A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1136"/>
        <c:crossesAt val="-1"/>
        <c:crossBetween val="midCat"/>
        <c:majorUnit val="0.1"/>
      </c:valAx>
      <c:valAx>
        <c:axId val="136112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-25000"/>
                  <a:t>E0</a:t>
                </a:r>
                <a:r>
                  <a:rPr lang="pt-PT" baseline="0"/>
                  <a:t> /V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0656"/>
        <c:crossesAt val="-1.2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Voltímetro - Resíduos de V</a:t>
            </a:r>
            <a:r>
              <a:rPr lang="pt-PT" baseline="-25000"/>
              <a:t>E0</a:t>
            </a:r>
            <a:r>
              <a:rPr lang="pt-PT"/>
              <a:t>(i</a:t>
            </a:r>
            <a:r>
              <a:rPr lang="pt-PT" baseline="-25000"/>
              <a:t>0</a:t>
            </a:r>
            <a:r>
              <a:rPr lang="el-GR"/>
              <a:t>)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885606309080316"/>
          <c:y val="0.19889742150327827"/>
          <c:w val="0.79173064025808104"/>
          <c:h val="0.60554205113391724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i0!$I$3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i0!$I$3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i0!$C$13:$C$26</c:f>
              <c:numCache>
                <c:formatCode>0.0000</c:formatCode>
                <c:ptCount val="14"/>
                <c:pt idx="0">
                  <c:v>7.9620223561605266E-2</c:v>
                </c:pt>
                <c:pt idx="1">
                  <c:v>0.1038032754781852</c:v>
                </c:pt>
                <c:pt idx="2">
                  <c:v>0.12360226535140853</c:v>
                </c:pt>
                <c:pt idx="3">
                  <c:v>0.16716004307249985</c:v>
                </c:pt>
                <c:pt idx="4">
                  <c:v>0.24564889578420662</c:v>
                </c:pt>
                <c:pt idx="5">
                  <c:v>0.29373215690489185</c:v>
                </c:pt>
                <c:pt idx="6">
                  <c:v>0.36557420587344508</c:v>
                </c:pt>
                <c:pt idx="7">
                  <c:v>0.4259611249867763</c:v>
                </c:pt>
                <c:pt idx="8">
                  <c:v>0.50275292142363526</c:v>
                </c:pt>
                <c:pt idx="9">
                  <c:v>0.54673496321343862</c:v>
                </c:pt>
                <c:pt idx="10">
                  <c:v>0.57417070632347667</c:v>
                </c:pt>
                <c:pt idx="11">
                  <c:v>0.59524248840283578</c:v>
                </c:pt>
                <c:pt idx="12">
                  <c:v>0.63795173798650318</c:v>
                </c:pt>
                <c:pt idx="13">
                  <c:v>0.67274139162088142</c:v>
                </c:pt>
              </c:numCache>
            </c:numRef>
          </c:xVal>
          <c:yVal>
            <c:numRef>
              <c:f>i0!$I$13:$I$26</c:f>
              <c:numCache>
                <c:formatCode>0.0000</c:formatCode>
                <c:ptCount val="14"/>
                <c:pt idx="0">
                  <c:v>8.4731619588976348E-4</c:v>
                </c:pt>
                <c:pt idx="1">
                  <c:v>6.663429067352844E-4</c:v>
                </c:pt>
                <c:pt idx="2">
                  <c:v>3.1059424651774803E-4</c:v>
                </c:pt>
                <c:pt idx="3">
                  <c:v>-1.6092582223858898E-4</c:v>
                </c:pt>
                <c:pt idx="4">
                  <c:v>-4.8530116842160353E-4</c:v>
                </c:pt>
                <c:pt idx="5">
                  <c:v>-8.0377982632018341E-4</c:v>
                </c:pt>
                <c:pt idx="6">
                  <c:v>-6.7234446780839452E-4</c:v>
                </c:pt>
                <c:pt idx="7">
                  <c:v>-7.6035731999890555E-4</c:v>
                </c:pt>
                <c:pt idx="8">
                  <c:v>-5.4108243124484368E-4</c:v>
                </c:pt>
                <c:pt idx="9">
                  <c:v>-2.292762431932438E-4</c:v>
                </c:pt>
                <c:pt idx="10">
                  <c:v>2.2124023283143224E-4</c:v>
                </c:pt>
                <c:pt idx="11">
                  <c:v>2.3557135571650178E-4</c:v>
                </c:pt>
                <c:pt idx="12">
                  <c:v>4.6014047314058004E-4</c:v>
                </c:pt>
                <c:pt idx="13">
                  <c:v>9.1186186839387062E-4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E0-45CA-A91B-86C1A005D60C}"/>
            </c:ext>
          </c:extLst>
        </c:ser>
        <c:ser>
          <c:idx val="1"/>
          <c:order val="1"/>
          <c:tx>
            <c:v>u(VE0)</c:v>
          </c:tx>
          <c:spPr>
            <a:ln w="22225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0.7</c:v>
              </c:pt>
            </c:numLit>
          </c:xVal>
          <c:yVal>
            <c:numRef>
              <c:f>(i0!$D$40,i0!$D$40)</c:f>
              <c:numCache>
                <c:formatCode>0.000</c:formatCode>
                <c:ptCount val="2"/>
                <c:pt idx="0">
                  <c:v>1.2502124221573433E-3</c:v>
                </c:pt>
                <c:pt idx="1">
                  <c:v>1.2502124221573433E-3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ED-4E66-ABE8-EE51CCC0A94F}"/>
            </c:ext>
          </c:extLst>
        </c:ser>
        <c:ser>
          <c:idx val="2"/>
          <c:order val="2"/>
          <c:tx>
            <c:v>-u(y)</c:v>
          </c:tx>
          <c:spPr>
            <a:ln w="22225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0.7</c:v>
              </c:pt>
            </c:numLit>
          </c:xVal>
          <c:yVal>
            <c:numRef>
              <c:f>(i0!$D$41,i0!$D$41)</c:f>
              <c:numCache>
                <c:formatCode>0.000</c:formatCode>
                <c:ptCount val="2"/>
                <c:pt idx="0">
                  <c:v>-1.2502124221573433E-3</c:v>
                </c:pt>
                <c:pt idx="1">
                  <c:v>-1.2502124221573433E-3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ED-4E66-ABE8-EE51CCC0A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120656"/>
        <c:axId val="1361121136"/>
      </c:scatterChart>
      <c:valAx>
        <c:axId val="1361120656"/>
        <c:scaling>
          <c:orientation val="minMax"/>
          <c:max val="0.70000000000000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i</a:t>
                </a:r>
                <a:r>
                  <a:rPr lang="pt-PT" baseline="-25000"/>
                  <a:t>0</a:t>
                </a:r>
                <a:r>
                  <a:rPr lang="pt-PT" baseline="0"/>
                  <a:t> /A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1136"/>
        <c:crossesAt val="-1.6000000000000003E-3"/>
        <c:crossBetween val="midCat"/>
      </c:valAx>
      <c:valAx>
        <c:axId val="136112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-25000"/>
                  <a:t>E0</a:t>
                </a:r>
                <a:r>
                  <a:rPr lang="pt-PT" baseline="0"/>
                  <a:t> /V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0656"/>
        <c:crosses val="autoZero"/>
        <c:crossBetween val="midCat"/>
        <c:majorUnit val="4.0000000000000013E-4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24108551791358418"/>
          <c:y val="0.10885339739152709"/>
          <c:w val="0.50028618003984782"/>
          <c:h val="9.13880033305393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Voltímetro - Resíduos de log(V</a:t>
            </a:r>
            <a:r>
              <a:rPr lang="pt-PT" baseline="-25000"/>
              <a:t>E0</a:t>
            </a:r>
            <a:r>
              <a:rPr lang="pt-PT"/>
              <a:t>)[log(i</a:t>
            </a:r>
            <a:r>
              <a:rPr lang="pt-PT" baseline="-25000"/>
              <a:t>0</a:t>
            </a:r>
            <a:r>
              <a:rPr lang="el-GR"/>
              <a:t>)</a:t>
            </a:r>
            <a:r>
              <a:rPr lang="pt-PT"/>
              <a:t>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886085356089005"/>
          <c:y val="0.19504262836357056"/>
          <c:w val="0.78809936846590523"/>
          <c:h val="0.63565499698655725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i0!$K$13:$K$26</c:f>
                <c:numCache>
                  <c:formatCode>General</c:formatCode>
                  <c:ptCount val="14"/>
                  <c:pt idx="0">
                    <c:v>3.5981315816342317E-4</c:v>
                  </c:pt>
                  <c:pt idx="1">
                    <c:v>2.7591771404272662E-4</c:v>
                  </c:pt>
                  <c:pt idx="2">
                    <c:v>2.3187105280472601E-4</c:v>
                  </c:pt>
                  <c:pt idx="3">
                    <c:v>1.7145459214498685E-4</c:v>
                  </c:pt>
                  <c:pt idx="4">
                    <c:v>1.16557831965446E-4</c:v>
                  </c:pt>
                  <c:pt idx="5">
                    <c:v>9.7462855005218084E-5</c:v>
                  </c:pt>
                  <c:pt idx="6">
                    <c:v>7.8237161214781437E-5</c:v>
                  </c:pt>
                  <c:pt idx="7">
                    <c:v>6.7124340325077543E-5</c:v>
                  </c:pt>
                  <c:pt idx="8">
                    <c:v>5.6837388025553167E-5</c:v>
                  </c:pt>
                  <c:pt idx="9">
                    <c:v>5.2242810285486798E-5</c:v>
                  </c:pt>
                  <c:pt idx="10">
                    <c:v>4.9724580020981426E-5</c:v>
                  </c:pt>
                  <c:pt idx="11">
                    <c:v>4.7961842286388935E-5</c:v>
                  </c:pt>
                  <c:pt idx="12">
                    <c:v>4.4740340156923023E-5</c:v>
                  </c:pt>
                  <c:pt idx="13">
                    <c:v>4.2411570498364422E-5</c:v>
                  </c:pt>
                </c:numCache>
              </c:numRef>
            </c:plus>
            <c:minus>
              <c:numRef>
                <c:f>i0!$K$13:$K$26</c:f>
                <c:numCache>
                  <c:formatCode>General</c:formatCode>
                  <c:ptCount val="14"/>
                  <c:pt idx="0">
                    <c:v>3.5981315816342317E-4</c:v>
                  </c:pt>
                  <c:pt idx="1">
                    <c:v>2.7591771404272662E-4</c:v>
                  </c:pt>
                  <c:pt idx="2">
                    <c:v>2.3187105280472601E-4</c:v>
                  </c:pt>
                  <c:pt idx="3">
                    <c:v>1.7145459214498685E-4</c:v>
                  </c:pt>
                  <c:pt idx="4">
                    <c:v>1.16557831965446E-4</c:v>
                  </c:pt>
                  <c:pt idx="5">
                    <c:v>9.7462855005218084E-5</c:v>
                  </c:pt>
                  <c:pt idx="6">
                    <c:v>7.8237161214781437E-5</c:v>
                  </c:pt>
                  <c:pt idx="7">
                    <c:v>6.7124340325077543E-5</c:v>
                  </c:pt>
                  <c:pt idx="8">
                    <c:v>5.6837388025553167E-5</c:v>
                  </c:pt>
                  <c:pt idx="9">
                    <c:v>5.2242810285486798E-5</c:v>
                  </c:pt>
                  <c:pt idx="10">
                    <c:v>4.9724580020981426E-5</c:v>
                  </c:pt>
                  <c:pt idx="11">
                    <c:v>4.7961842286388935E-5</c:v>
                  </c:pt>
                  <c:pt idx="12">
                    <c:v>4.4740340156923023E-5</c:v>
                  </c:pt>
                  <c:pt idx="13">
                    <c:v>4.2411570498364422E-5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i0!$D$13:$D$26</c:f>
              <c:numCache>
                <c:formatCode>0.0000</c:formatCode>
                <c:ptCount val="14"/>
                <c:pt idx="0">
                  <c:v>-1.0989766073166631</c:v>
                </c:pt>
                <c:pt idx="1">
                  <c:v>-0.9837889422519388</c:v>
                </c:pt>
                <c:pt idx="2">
                  <c:v>-0.90797356953360631</c:v>
                </c:pt>
                <c:pt idx="3">
                  <c:v>-0.77686752562277284</c:v>
                </c:pt>
                <c:pt idx="4">
                  <c:v>-0.60968518372091074</c:v>
                </c:pt>
                <c:pt idx="5">
                  <c:v>-0.53204850563291028</c:v>
                </c:pt>
                <c:pt idx="6">
                  <c:v>-0.43702445473804807</c:v>
                </c:pt>
                <c:pt idx="7">
                  <c:v>-0.37063003463934635</c:v>
                </c:pt>
                <c:pt idx="8">
                  <c:v>-0.29864539710222432</c:v>
                </c:pt>
                <c:pt idx="9">
                  <c:v>-0.26222315247547512</c:v>
                </c:pt>
                <c:pt idx="10">
                  <c:v>-0.24095896859081523</c:v>
                </c:pt>
                <c:pt idx="11">
                  <c:v>-0.22530607641998701</c:v>
                </c:pt>
                <c:pt idx="12">
                  <c:v>-0.19521217507029892</c:v>
                </c:pt>
                <c:pt idx="13" formatCode="0.00000">
                  <c:v>-0.1721518507481076</c:v>
                </c:pt>
              </c:numCache>
            </c:numRef>
          </c:xVal>
          <c:yVal>
            <c:numRef>
              <c:f>i0!$M$13:$M$26</c:f>
              <c:numCache>
                <c:formatCode>0.0000</c:formatCode>
                <c:ptCount val="14"/>
                <c:pt idx="0">
                  <c:v>4.4621200268235572E-4</c:v>
                </c:pt>
                <c:pt idx="1">
                  <c:v>3.2061948469497281E-4</c:v>
                </c:pt>
                <c:pt idx="2">
                  <c:v>-1.1663219107227452E-4</c:v>
                </c:pt>
                <c:pt idx="3">
                  <c:v>-3.9317818779194269E-4</c:v>
                </c:pt>
                <c:pt idx="4">
                  <c:v>-3.0949554362957876E-4</c:v>
                </c:pt>
                <c:pt idx="5">
                  <c:v>-4.0249216361271101E-4</c:v>
                </c:pt>
                <c:pt idx="6">
                  <c:v>-1.9467903327612113E-4</c:v>
                </c:pt>
                <c:pt idx="7">
                  <c:v>-1.917224383529495E-4</c:v>
                </c:pt>
                <c:pt idx="8">
                  <c:v>-7.754118362077872E-5</c:v>
                </c:pt>
                <c:pt idx="9">
                  <c:v>3.3366345687957377E-5</c:v>
                </c:pt>
                <c:pt idx="10">
                  <c:v>1.8113629814495158E-4</c:v>
                </c:pt>
                <c:pt idx="11">
                  <c:v>1.7152459043975887E-4</c:v>
                </c:pt>
                <c:pt idx="12">
                  <c:v>2.1270148795865529E-4</c:v>
                </c:pt>
                <c:pt idx="13">
                  <c:v>3.2018053174653893E-4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02-49E4-BA52-F509EC4CA8E2}"/>
            </c:ext>
          </c:extLst>
        </c:ser>
        <c:ser>
          <c:idx val="1"/>
          <c:order val="1"/>
          <c:tx>
            <c:v>u(log(VE0))</c:v>
          </c:tx>
          <c:spPr>
            <a:ln w="22225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-1.2</c:v>
              </c:pt>
              <c:pt idx="1">
                <c:v>-0.1</c:v>
              </c:pt>
            </c:numLit>
          </c:xVal>
          <c:yVal>
            <c:numRef>
              <c:f>(i0!$D$57,i0!$D$57)</c:f>
              <c:numCache>
                <c:formatCode>0.000</c:formatCode>
                <c:ptCount val="2"/>
                <c:pt idx="0">
                  <c:v>5.8299614093000932E-4</c:v>
                </c:pt>
                <c:pt idx="1">
                  <c:v>5.8299614093000932E-4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08-488F-904C-BEC21C6AB495}"/>
            </c:ext>
          </c:extLst>
        </c:ser>
        <c:ser>
          <c:idx val="2"/>
          <c:order val="2"/>
          <c:tx>
            <c:v>-u</c:v>
          </c:tx>
          <c:spPr>
            <a:ln w="22225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-1.2</c:v>
              </c:pt>
              <c:pt idx="1">
                <c:v>-0.1</c:v>
              </c:pt>
            </c:numLit>
          </c:xVal>
          <c:yVal>
            <c:numRef>
              <c:f>(i0!$D$58,i0!$D$58)</c:f>
              <c:numCache>
                <c:formatCode>0.000</c:formatCode>
                <c:ptCount val="2"/>
                <c:pt idx="0">
                  <c:v>-5.8299614093000932E-4</c:v>
                </c:pt>
                <c:pt idx="1">
                  <c:v>-5.8299614093000932E-4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08-488F-904C-BEC21C6AB4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120656"/>
        <c:axId val="1361121136"/>
      </c:scatterChart>
      <c:valAx>
        <c:axId val="1361120656"/>
        <c:scaling>
          <c:orientation val="minMax"/>
          <c:max val="-0.1"/>
          <c:min val="-1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i</a:t>
                </a:r>
                <a:r>
                  <a:rPr lang="pt-PT" baseline="-25000"/>
                  <a:t>0</a:t>
                </a:r>
                <a:r>
                  <a:rPr lang="pt-PT" baseline="0"/>
                  <a:t> /A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1136"/>
        <c:crossesAt val="-8.0000000000000026E-4"/>
        <c:crossBetween val="midCat"/>
        <c:majorUnit val="0.1"/>
      </c:valAx>
      <c:valAx>
        <c:axId val="136112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-25000"/>
                  <a:t>E0</a:t>
                </a:r>
                <a:r>
                  <a:rPr lang="pt-PT" baseline="0"/>
                  <a:t> /V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0656"/>
        <c:crossesAt val="-1.2"/>
        <c:crossBetween val="midCat"/>
        <c:majorUnit val="2.0000000000000006E-4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17620331908362444"/>
          <c:y val="0.1024456466534391"/>
          <c:w val="0.60743687155738924"/>
          <c:h val="7.58182895834677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Osciloscópio - Resíduos de V</a:t>
            </a:r>
            <a:r>
              <a:rPr lang="pt-PT" baseline="-25000"/>
              <a:t>E0</a:t>
            </a:r>
            <a:r>
              <a:rPr lang="pt-PT"/>
              <a:t>(i</a:t>
            </a:r>
            <a:r>
              <a:rPr lang="pt-PT" baseline="-25000"/>
              <a:t>0</a:t>
            </a:r>
            <a:r>
              <a:rPr lang="el-GR"/>
              <a:t>)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773118577301425"/>
          <c:y val="0.18868763100123132"/>
          <c:w val="0.81523571367500924"/>
          <c:h val="0.64314738787122117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i0!$Q$13:$Q$26</c:f>
                <c:numCache>
                  <c:formatCode>General</c:formatCode>
                  <c:ptCount val="14"/>
                  <c:pt idx="0">
                    <c:v>5.0000000000000001E-4</c:v>
                  </c:pt>
                  <c:pt idx="1">
                    <c:v>5.0000000000000001E-4</c:v>
                  </c:pt>
                  <c:pt idx="2">
                    <c:v>5.0000000000000001E-4</c:v>
                  </c:pt>
                  <c:pt idx="3">
                    <c:v>5.0000000000000001E-4</c:v>
                  </c:pt>
                  <c:pt idx="4">
                    <c:v>5.0000000000000001E-3</c:v>
                  </c:pt>
                  <c:pt idx="5">
                    <c:v>5.0000000000000001E-3</c:v>
                  </c:pt>
                  <c:pt idx="6">
                    <c:v>5.0000000000000001E-3</c:v>
                  </c:pt>
                  <c:pt idx="7">
                    <c:v>5.0000000000000001E-3</c:v>
                  </c:pt>
                  <c:pt idx="8">
                    <c:v>5.0000000000000001E-3</c:v>
                  </c:pt>
                  <c:pt idx="9">
                    <c:v>5.0000000000000001E-3</c:v>
                  </c:pt>
                  <c:pt idx="10">
                    <c:v>5.0000000000000001E-3</c:v>
                  </c:pt>
                  <c:pt idx="11">
                    <c:v>5.0000000000000001E-3</c:v>
                  </c:pt>
                  <c:pt idx="12">
                    <c:v>5.0000000000000001E-3</c:v>
                  </c:pt>
                  <c:pt idx="13">
                    <c:v>5.0000000000000001E-3</c:v>
                  </c:pt>
                </c:numCache>
              </c:numRef>
            </c:plus>
            <c:minus>
              <c:numRef>
                <c:f>i0!$Q$13:$Q$26</c:f>
                <c:numCache>
                  <c:formatCode>General</c:formatCode>
                  <c:ptCount val="14"/>
                  <c:pt idx="0">
                    <c:v>5.0000000000000001E-4</c:v>
                  </c:pt>
                  <c:pt idx="1">
                    <c:v>5.0000000000000001E-4</c:v>
                  </c:pt>
                  <c:pt idx="2">
                    <c:v>5.0000000000000001E-4</c:v>
                  </c:pt>
                  <c:pt idx="3">
                    <c:v>5.0000000000000001E-4</c:v>
                  </c:pt>
                  <c:pt idx="4">
                    <c:v>5.0000000000000001E-3</c:v>
                  </c:pt>
                  <c:pt idx="5">
                    <c:v>5.0000000000000001E-3</c:v>
                  </c:pt>
                  <c:pt idx="6">
                    <c:v>5.0000000000000001E-3</c:v>
                  </c:pt>
                  <c:pt idx="7">
                    <c:v>5.0000000000000001E-3</c:v>
                  </c:pt>
                  <c:pt idx="8">
                    <c:v>5.0000000000000001E-3</c:v>
                  </c:pt>
                  <c:pt idx="9">
                    <c:v>5.0000000000000001E-3</c:v>
                  </c:pt>
                  <c:pt idx="10">
                    <c:v>5.0000000000000001E-3</c:v>
                  </c:pt>
                  <c:pt idx="11">
                    <c:v>5.0000000000000001E-3</c:v>
                  </c:pt>
                  <c:pt idx="12">
                    <c:v>5.0000000000000001E-3</c:v>
                  </c:pt>
                  <c:pt idx="13">
                    <c:v>5.0000000000000001E-3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i0!$C$13:$C$26</c:f>
              <c:numCache>
                <c:formatCode>0.0000</c:formatCode>
                <c:ptCount val="14"/>
                <c:pt idx="0">
                  <c:v>7.9620223561605266E-2</c:v>
                </c:pt>
                <c:pt idx="1">
                  <c:v>0.1038032754781852</c:v>
                </c:pt>
                <c:pt idx="2">
                  <c:v>0.12360226535140853</c:v>
                </c:pt>
                <c:pt idx="3">
                  <c:v>0.16716004307249985</c:v>
                </c:pt>
                <c:pt idx="4">
                  <c:v>0.24564889578420662</c:v>
                </c:pt>
                <c:pt idx="5">
                  <c:v>0.29373215690489185</c:v>
                </c:pt>
                <c:pt idx="6">
                  <c:v>0.36557420587344508</c:v>
                </c:pt>
                <c:pt idx="7">
                  <c:v>0.4259611249867763</c:v>
                </c:pt>
                <c:pt idx="8">
                  <c:v>0.50275292142363526</c:v>
                </c:pt>
                <c:pt idx="9">
                  <c:v>0.54673496321343862</c:v>
                </c:pt>
                <c:pt idx="10">
                  <c:v>0.57417070632347667</c:v>
                </c:pt>
                <c:pt idx="11">
                  <c:v>0.59524248840283578</c:v>
                </c:pt>
                <c:pt idx="12">
                  <c:v>0.63795173798650318</c:v>
                </c:pt>
                <c:pt idx="13">
                  <c:v>0.67274139162088142</c:v>
                </c:pt>
              </c:numCache>
            </c:numRef>
          </c:xVal>
          <c:yVal>
            <c:numRef>
              <c:f>i0!$S$13:$S$26</c:f>
              <c:numCache>
                <c:formatCode>0.000</c:formatCode>
                <c:ptCount val="14"/>
                <c:pt idx="0">
                  <c:v>3.0403071111941016E-3</c:v>
                </c:pt>
                <c:pt idx="1">
                  <c:v>1.2872409173536326E-3</c:v>
                </c:pt>
                <c:pt idx="2">
                  <c:v>2.0975960802913085E-3</c:v>
                </c:pt>
                <c:pt idx="3">
                  <c:v>-9.1962256124589192E-4</c:v>
                </c:pt>
                <c:pt idx="4">
                  <c:v>-5.1357145938859539E-3</c:v>
                </c:pt>
                <c:pt idx="5">
                  <c:v>-5.0248520553231035E-3</c:v>
                </c:pt>
                <c:pt idx="6">
                  <c:v>-6.741563321234989E-3</c:v>
                </c:pt>
                <c:pt idx="7">
                  <c:v>6.5300199257246616E-3</c:v>
                </c:pt>
                <c:pt idx="8">
                  <c:v>9.0158974505474276E-3</c:v>
                </c:pt>
                <c:pt idx="9">
                  <c:v>-6.9268135803557396E-3</c:v>
                </c:pt>
                <c:pt idx="10">
                  <c:v>3.2246785740008832E-3</c:v>
                </c:pt>
                <c:pt idx="11">
                  <c:v>7.2585565688416676E-3</c:v>
                </c:pt>
                <c:pt idx="12">
                  <c:v>-5.907677293964575E-3</c:v>
                </c:pt>
                <c:pt idx="13">
                  <c:v>-1.7980532219454837E-3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54-4769-B60E-BDD9A04B0DF1}"/>
            </c:ext>
          </c:extLst>
        </c:ser>
        <c:ser>
          <c:idx val="1"/>
          <c:order val="1"/>
          <c:tx>
            <c:v>u(VE0)</c:v>
          </c:tx>
          <c:spPr>
            <a:ln w="22225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0.7</c:v>
              </c:pt>
            </c:numLit>
          </c:xVal>
          <c:yVal>
            <c:numRef>
              <c:f>(i0!$D$74,i0!$D$74)</c:f>
              <c:numCache>
                <c:formatCode>0.00</c:formatCode>
                <c:ptCount val="2"/>
                <c:pt idx="0">
                  <c:v>1.1348224608226379E-2</c:v>
                </c:pt>
                <c:pt idx="1">
                  <c:v>1.1348224608226379E-2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5E-4A92-A1B2-2684E1F0FBDC}"/>
            </c:ext>
          </c:extLst>
        </c:ser>
        <c:ser>
          <c:idx val="2"/>
          <c:order val="2"/>
          <c:tx>
            <c:v>-u</c:v>
          </c:tx>
          <c:spPr>
            <a:ln w="22225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0.7</c:v>
              </c:pt>
            </c:numLit>
          </c:xVal>
          <c:yVal>
            <c:numRef>
              <c:f>(i0!$D$75,i0!$D$75)</c:f>
              <c:numCache>
                <c:formatCode>0.00</c:formatCode>
                <c:ptCount val="2"/>
                <c:pt idx="0">
                  <c:v>-1.1348224608226379E-2</c:v>
                </c:pt>
                <c:pt idx="1">
                  <c:v>-1.1348224608226379E-2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5E-4A92-A1B2-2684E1F0FB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120656"/>
        <c:axId val="1361121136"/>
      </c:scatterChart>
      <c:valAx>
        <c:axId val="1361120656"/>
        <c:scaling>
          <c:orientation val="minMax"/>
          <c:max val="0.70000000000000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i</a:t>
                </a:r>
                <a:r>
                  <a:rPr lang="pt-PT" baseline="-25000"/>
                  <a:t>0</a:t>
                </a:r>
                <a:r>
                  <a:rPr lang="pt-PT" baseline="0"/>
                  <a:t> /A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1136"/>
        <c:crossesAt val="-1.5000000000000003E-2"/>
        <c:crossBetween val="midCat"/>
      </c:valAx>
      <c:valAx>
        <c:axId val="136112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-25000"/>
                  <a:t>E0</a:t>
                </a:r>
                <a:r>
                  <a:rPr lang="pt-PT" baseline="0"/>
                  <a:t> /V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0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2051121954892762"/>
          <c:y val="0.10664116549590918"/>
          <c:w val="0.54086250159819838"/>
          <c:h val="8.21057705535953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Osciloscópio - Resíduos de log(V</a:t>
            </a:r>
            <a:r>
              <a:rPr lang="pt-PT" baseline="-25000"/>
              <a:t>E0</a:t>
            </a:r>
            <a:r>
              <a:rPr lang="pt-PT"/>
              <a:t>)[log(i</a:t>
            </a:r>
            <a:r>
              <a:rPr lang="pt-PT" baseline="-25000"/>
              <a:t>0</a:t>
            </a:r>
            <a:r>
              <a:rPr lang="el-GR"/>
              <a:t>)</a:t>
            </a:r>
            <a:r>
              <a:rPr lang="pt-PT"/>
              <a:t>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545886976162653"/>
          <c:y val="0.17518383816013039"/>
          <c:w val="0.81919118179369366"/>
          <c:h val="0.64378999020683303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i0!$U$13:$U$26</c:f>
                <c:numCache>
                  <c:formatCode>General</c:formatCode>
                  <c:ptCount val="14"/>
                  <c:pt idx="0">
                    <c:v>1.2698669061498588E-3</c:v>
                  </c:pt>
                  <c:pt idx="1">
                    <c:v>9.7814072500732388E-4</c:v>
                  </c:pt>
                  <c:pt idx="2">
                    <c:v>8.1634301109633801E-4</c:v>
                  </c:pt>
                  <c:pt idx="3">
                    <c:v>6.0655653897102207E-4</c:v>
                  </c:pt>
                  <c:pt idx="4">
                    <c:v>4.1361379228881121E-3</c:v>
                  </c:pt>
                  <c:pt idx="5">
                    <c:v>3.4467816024067602E-3</c:v>
                  </c:pt>
                  <c:pt idx="6">
                    <c:v>2.7662068911035145E-3</c:v>
                  </c:pt>
                  <c:pt idx="7">
                    <c:v>2.3349165693723212E-3</c:v>
                  </c:pt>
                  <c:pt idx="8">
                    <c:v>1.9740658268329624E-3</c:v>
                  </c:pt>
                  <c:pt idx="9">
                    <c:v>1.8402308555222533E-3</c:v>
                  </c:pt>
                  <c:pt idx="10">
                    <c:v>1.7371779276130071E-3</c:v>
                  </c:pt>
                  <c:pt idx="11">
                    <c:v>1.6703633919355838E-3</c:v>
                  </c:pt>
                  <c:pt idx="12">
                    <c:v>1.5735307315335211E-3</c:v>
                  </c:pt>
                  <c:pt idx="13">
                    <c:v>1.4873098695316843E-3</c:v>
                  </c:pt>
                </c:numCache>
              </c:numRef>
            </c:plus>
            <c:minus>
              <c:numRef>
                <c:f>i0!$U$13:$U$26</c:f>
                <c:numCache>
                  <c:formatCode>General</c:formatCode>
                  <c:ptCount val="14"/>
                  <c:pt idx="0">
                    <c:v>1.2698669061498588E-3</c:v>
                  </c:pt>
                  <c:pt idx="1">
                    <c:v>9.7814072500732388E-4</c:v>
                  </c:pt>
                  <c:pt idx="2">
                    <c:v>8.1634301109633801E-4</c:v>
                  </c:pt>
                  <c:pt idx="3">
                    <c:v>6.0655653897102207E-4</c:v>
                  </c:pt>
                  <c:pt idx="4">
                    <c:v>4.1361379228881121E-3</c:v>
                  </c:pt>
                  <c:pt idx="5">
                    <c:v>3.4467816024067602E-3</c:v>
                  </c:pt>
                  <c:pt idx="6">
                    <c:v>2.7662068911035145E-3</c:v>
                  </c:pt>
                  <c:pt idx="7">
                    <c:v>2.3349165693723212E-3</c:v>
                  </c:pt>
                  <c:pt idx="8">
                    <c:v>1.9740658268329624E-3</c:v>
                  </c:pt>
                  <c:pt idx="9">
                    <c:v>1.8402308555222533E-3</c:v>
                  </c:pt>
                  <c:pt idx="10">
                    <c:v>1.7371779276130071E-3</c:v>
                  </c:pt>
                  <c:pt idx="11">
                    <c:v>1.6703633919355838E-3</c:v>
                  </c:pt>
                  <c:pt idx="12">
                    <c:v>1.5735307315335211E-3</c:v>
                  </c:pt>
                  <c:pt idx="13">
                    <c:v>1.4873098695316843E-3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i0!$D$13:$D$26</c:f>
              <c:numCache>
                <c:formatCode>0.0000</c:formatCode>
                <c:ptCount val="14"/>
                <c:pt idx="0">
                  <c:v>-1.0989766073166631</c:v>
                </c:pt>
                <c:pt idx="1">
                  <c:v>-0.9837889422519388</c:v>
                </c:pt>
                <c:pt idx="2">
                  <c:v>-0.90797356953360631</c:v>
                </c:pt>
                <c:pt idx="3">
                  <c:v>-0.77686752562277284</c:v>
                </c:pt>
                <c:pt idx="4">
                  <c:v>-0.60968518372091074</c:v>
                </c:pt>
                <c:pt idx="5">
                  <c:v>-0.53204850563291028</c:v>
                </c:pt>
                <c:pt idx="6">
                  <c:v>-0.43702445473804807</c:v>
                </c:pt>
                <c:pt idx="7">
                  <c:v>-0.37063003463934635</c:v>
                </c:pt>
                <c:pt idx="8">
                  <c:v>-0.29864539710222432</c:v>
                </c:pt>
                <c:pt idx="9">
                  <c:v>-0.26222315247547512</c:v>
                </c:pt>
                <c:pt idx="10">
                  <c:v>-0.24095896859081523</c:v>
                </c:pt>
                <c:pt idx="11">
                  <c:v>-0.22530607641998701</c:v>
                </c:pt>
                <c:pt idx="12">
                  <c:v>-0.19521217507029892</c:v>
                </c:pt>
                <c:pt idx="13" formatCode="0.00000">
                  <c:v>-0.1721518507481076</c:v>
                </c:pt>
              </c:numCache>
            </c:numRef>
          </c:xVal>
          <c:yVal>
            <c:numRef>
              <c:f>i0!$W$13:$W$26</c:f>
              <c:numCache>
                <c:formatCode>General</c:formatCode>
                <c:ptCount val="14"/>
                <c:pt idx="0">
                  <c:v>2.3216137001584869E-3</c:v>
                </c:pt>
                <c:pt idx="1">
                  <c:v>-4.2386373911174058E-4</c:v>
                </c:pt>
                <c:pt idx="2">
                  <c:v>1.6873948141369333E-3</c:v>
                </c:pt>
                <c:pt idx="3">
                  <c:v>-1.4583393812087619E-3</c:v>
                </c:pt>
                <c:pt idx="4">
                  <c:v>-3.6919576758386308E-3</c:v>
                </c:pt>
                <c:pt idx="5">
                  <c:v>-2.7638831553858656E-3</c:v>
                </c:pt>
                <c:pt idx="6">
                  <c:v>-3.0133889755975946E-3</c:v>
                </c:pt>
                <c:pt idx="7">
                  <c:v>3.678261253551092E-3</c:v>
                </c:pt>
                <c:pt idx="8">
                  <c:v>4.0317483216523661E-3</c:v>
                </c:pt>
                <c:pt idx="9">
                  <c:v>-2.1903940904198921E-3</c:v>
                </c:pt>
                <c:pt idx="10">
                  <c:v>1.4045741620533486E-3</c:v>
                </c:pt>
                <c:pt idx="11">
                  <c:v>2.6607255889911224E-3</c:v>
                </c:pt>
                <c:pt idx="12">
                  <c:v>-1.736409808650391E-3</c:v>
                </c:pt>
                <c:pt idx="13">
                  <c:v>-5.0608101433252672E-4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EE-4244-ADCF-BE14C43FC21C}"/>
            </c:ext>
          </c:extLst>
        </c:ser>
        <c:ser>
          <c:idx val="1"/>
          <c:order val="1"/>
          <c:tx>
            <c:v>u(log(VE0))</c:v>
          </c:tx>
          <c:spPr>
            <a:ln w="22225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-1.2</c:v>
              </c:pt>
              <c:pt idx="1">
                <c:v>0.1</c:v>
              </c:pt>
            </c:numLit>
          </c:xVal>
          <c:yVal>
            <c:numRef>
              <c:f>(i0!$D$90,i0!$D$90)</c:f>
              <c:numCache>
                <c:formatCode>0.000</c:formatCode>
                <c:ptCount val="2"/>
                <c:pt idx="0">
                  <c:v>5.4098574611492175E-3</c:v>
                </c:pt>
                <c:pt idx="1">
                  <c:v>5.4098574611492175E-3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C8-48A2-BE87-82E21DAB2758}"/>
            </c:ext>
          </c:extLst>
        </c:ser>
        <c:ser>
          <c:idx val="2"/>
          <c:order val="2"/>
          <c:tx>
            <c:v>-u</c:v>
          </c:tx>
          <c:spPr>
            <a:ln w="22225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-1.2</c:v>
              </c:pt>
              <c:pt idx="1">
                <c:v>-0.1</c:v>
              </c:pt>
            </c:numLit>
          </c:xVal>
          <c:yVal>
            <c:numRef>
              <c:f>(i0!$D$91,i0!$D$91)</c:f>
              <c:numCache>
                <c:formatCode>0.000</c:formatCode>
                <c:ptCount val="2"/>
                <c:pt idx="0">
                  <c:v>-5.4098574611492175E-3</c:v>
                </c:pt>
                <c:pt idx="1">
                  <c:v>-5.4098574611492175E-3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C8-48A2-BE87-82E21DAB2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120656"/>
        <c:axId val="1361121136"/>
      </c:scatterChart>
      <c:valAx>
        <c:axId val="1361120656"/>
        <c:scaling>
          <c:orientation val="minMax"/>
          <c:max val="-0.1"/>
          <c:min val="-1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i</a:t>
                </a:r>
                <a:r>
                  <a:rPr lang="pt-PT" baseline="-25000"/>
                  <a:t>0</a:t>
                </a:r>
                <a:r>
                  <a:rPr lang="pt-PT" baseline="0"/>
                  <a:t> /A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1136"/>
        <c:crossesAt val="-8.0000000000000019E-3"/>
        <c:crossBetween val="midCat"/>
        <c:majorUnit val="0.1"/>
      </c:valAx>
      <c:valAx>
        <c:axId val="1361121136"/>
        <c:scaling>
          <c:orientation val="minMax"/>
          <c:min val="-8.0000000000000019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-25000"/>
                  <a:t>E0</a:t>
                </a:r>
                <a:r>
                  <a:rPr lang="pt-PT" baseline="0"/>
                  <a:t> /V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0656"/>
        <c:crossesAt val="-1.2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2045252460557829"/>
          <c:y val="0.10954608844302488"/>
          <c:w val="0.51869272100498109"/>
          <c:h val="6.27030745792009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Voltímetro - Ajuste de V</a:t>
            </a:r>
            <a:r>
              <a:rPr lang="pt-PT" baseline="-25000"/>
              <a:t>E0</a:t>
            </a:r>
            <a:r>
              <a:rPr lang="pt-PT"/>
              <a:t>(i</a:t>
            </a:r>
            <a:r>
              <a:rPr lang="pt-PT" baseline="-25000"/>
              <a:t>0</a:t>
            </a:r>
            <a:r>
              <a:rPr lang="el-GR"/>
              <a:t>)</a:t>
            </a:r>
            <a:r>
              <a:rPr lang="pt-PT"/>
              <a:t> - Gama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9748300086811769"/>
                  <c:y val="0.1322662860707774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pt-PT" sz="900" b="0" i="0" u="none" strike="noStrike" baseline="0">
                        <a:effectLst/>
                      </a:rPr>
                      <a:t>V</a:t>
                    </a:r>
                    <a:r>
                      <a:rPr lang="pt-PT" sz="900" b="0" i="0" u="none" strike="noStrike" baseline="-25000">
                        <a:effectLst/>
                      </a:rPr>
                      <a:t>E0</a:t>
                    </a:r>
                    <a:r>
                      <a:rPr lang="en-US" baseline="0"/>
                      <a:t> = 2.1461</a:t>
                    </a:r>
                    <a:r>
                      <a:rPr lang="pt-PT" sz="900" b="0" i="0" u="none" strike="noStrike" baseline="0">
                        <a:effectLst/>
                      </a:rPr>
                      <a:t>i</a:t>
                    </a:r>
                    <a:r>
                      <a:rPr lang="pt-PT" sz="900" b="0" i="0" u="none" strike="noStrike" baseline="-25000">
                        <a:effectLst/>
                      </a:rPr>
                      <a:t>0</a:t>
                    </a:r>
                    <a:r>
                      <a:rPr lang="en-US" baseline="0"/>
                      <a:t> - 0.0003</a:t>
                    </a:r>
                    <a:endParaRPr lang="en-US"/>
                  </a:p>
                </c:rich>
              </c:tx>
              <c:numFmt formatCode="General" sourceLinked="0"/>
              <c:spPr>
                <a:solidFill>
                  <a:sysClr val="window" lastClr="FFFFFF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i0!$C$13:$C$18</c:f>
              <c:numCache>
                <c:formatCode>0.0000</c:formatCode>
                <c:ptCount val="6"/>
                <c:pt idx="0">
                  <c:v>7.9620223561605266E-2</c:v>
                </c:pt>
                <c:pt idx="1">
                  <c:v>0.1038032754781852</c:v>
                </c:pt>
                <c:pt idx="2">
                  <c:v>0.12360226535140853</c:v>
                </c:pt>
                <c:pt idx="3">
                  <c:v>0.16716004307249985</c:v>
                </c:pt>
                <c:pt idx="4">
                  <c:v>0.24564889578420662</c:v>
                </c:pt>
                <c:pt idx="5">
                  <c:v>0.29373215690489185</c:v>
                </c:pt>
              </c:numCache>
            </c:numRef>
          </c:xVal>
          <c:yVal>
            <c:numRef>
              <c:f>i0!$G$13:$G$18</c:f>
              <c:numCache>
                <c:formatCode>0.0000</c:formatCode>
                <c:ptCount val="6"/>
                <c:pt idx="0">
                  <c:v>0.17069557697843257</c:v>
                </c:pt>
                <c:pt idx="1">
                  <c:v>0.22259721471752519</c:v>
                </c:pt>
                <c:pt idx="2">
                  <c:v>0.26488220023248071</c:v>
                </c:pt>
                <c:pt idx="3">
                  <c:v>0.35822029534910504</c:v>
                </c:pt>
                <c:pt idx="4">
                  <c:v>0.52693597334021525</c:v>
                </c:pt>
                <c:pt idx="5">
                  <c:v>0.63017356339345121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3E-4331-B473-6BA06F553E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120656"/>
        <c:axId val="1361121136"/>
      </c:scatterChart>
      <c:valAx>
        <c:axId val="1361120656"/>
        <c:scaling>
          <c:orientation val="minMax"/>
          <c:max val="0.30000000000000004"/>
          <c:min val="6.0000000000000012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i</a:t>
                </a:r>
                <a:r>
                  <a:rPr lang="pt-PT" baseline="-25000"/>
                  <a:t>0</a:t>
                </a:r>
                <a:r>
                  <a:rPr lang="pt-PT" baseline="0"/>
                  <a:t> /A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1136"/>
        <c:crosses val="autoZero"/>
        <c:crossBetween val="midCat"/>
        <c:majorUnit val="4.0000000000000008E-2"/>
      </c:valAx>
      <c:valAx>
        <c:axId val="1361121136"/>
        <c:scaling>
          <c:orientation val="minMax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-25000"/>
                  <a:t>E0</a:t>
                </a:r>
                <a:r>
                  <a:rPr lang="pt-PT" baseline="0"/>
                  <a:t> /V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0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Voltímetro - Resíduos de V</a:t>
            </a:r>
            <a:r>
              <a:rPr lang="pt-PT" baseline="-25000"/>
              <a:t>E0</a:t>
            </a:r>
            <a:r>
              <a:rPr lang="pt-PT"/>
              <a:t>(i</a:t>
            </a:r>
            <a:r>
              <a:rPr lang="pt-PT" baseline="-25000"/>
              <a:t>0</a:t>
            </a:r>
            <a:r>
              <a:rPr lang="el-GR"/>
              <a:t>)</a:t>
            </a:r>
            <a:r>
              <a:rPr lang="pt-PT"/>
              <a:t> - Gama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077595833958422"/>
          <c:y val="0.21721655173167356"/>
          <c:w val="0.80405082025334818"/>
          <c:h val="0.60323696003430971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i0!$I$3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i0!$I$3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i0!$C$13:$C$18</c:f>
              <c:numCache>
                <c:formatCode>0.0000</c:formatCode>
                <c:ptCount val="6"/>
                <c:pt idx="0">
                  <c:v>7.9620223561605266E-2</c:v>
                </c:pt>
                <c:pt idx="1">
                  <c:v>0.1038032754781852</c:v>
                </c:pt>
                <c:pt idx="2">
                  <c:v>0.12360226535140853</c:v>
                </c:pt>
                <c:pt idx="3">
                  <c:v>0.16716004307249985</c:v>
                </c:pt>
                <c:pt idx="4">
                  <c:v>0.24564889578420662</c:v>
                </c:pt>
                <c:pt idx="5">
                  <c:v>0.29373215690489185</c:v>
                </c:pt>
              </c:numCache>
            </c:numRef>
          </c:xVal>
          <c:yVal>
            <c:numRef>
              <c:f>i0!$Z$13:$Z$18</c:f>
              <c:numCache>
                <c:formatCode>0.0000</c:formatCode>
                <c:ptCount val="6"/>
                <c:pt idx="0">
                  <c:v>1.091815895500059E-4</c:v>
                </c:pt>
                <c:pt idx="1">
                  <c:v>1.1119324341607451E-4</c:v>
                </c:pt>
                <c:pt idx="2">
                  <c:v>-9.4743182749545962E-5</c:v>
                </c:pt>
                <c:pt idx="3">
                  <c:v>-2.366763365917457E-4</c:v>
                </c:pt>
                <c:pt idx="4">
                  <c:v>3.2846816502507536E-5</c:v>
                </c:pt>
                <c:pt idx="5">
                  <c:v>7.8197869872842496E-5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8B-4303-937C-DE67D164684A}"/>
            </c:ext>
          </c:extLst>
        </c:ser>
        <c:ser>
          <c:idx val="1"/>
          <c:order val="1"/>
          <c:tx>
            <c:v>u(VE0)</c:v>
          </c:tx>
          <c:spPr>
            <a:ln w="22225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Lit>
              <c:formatCode>General</c:formatCode>
              <c:ptCount val="2"/>
              <c:pt idx="0">
                <c:v>0.06</c:v>
              </c:pt>
              <c:pt idx="1">
                <c:v>0.3</c:v>
              </c:pt>
            </c:numLit>
          </c:xVal>
          <c:yVal>
            <c:numRef>
              <c:f>(i0!$Y$40,i0!$Y$40)</c:f>
              <c:numCache>
                <c:formatCode>0.0000</c:formatCode>
                <c:ptCount val="2"/>
                <c:pt idx="0">
                  <c:v>3.1059674187767849E-4</c:v>
                </c:pt>
                <c:pt idx="1">
                  <c:v>3.1059674187767849E-4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D8-4B68-B2AC-EE7EEDC7F577}"/>
            </c:ext>
          </c:extLst>
        </c:ser>
        <c:ser>
          <c:idx val="2"/>
          <c:order val="2"/>
          <c:tx>
            <c:v>-u</c:v>
          </c:tx>
          <c:spPr>
            <a:ln w="22225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Lit>
              <c:formatCode>General</c:formatCode>
              <c:ptCount val="2"/>
              <c:pt idx="0">
                <c:v>0.06</c:v>
              </c:pt>
              <c:pt idx="1">
                <c:v>0.3</c:v>
              </c:pt>
            </c:numLit>
          </c:xVal>
          <c:yVal>
            <c:numRef>
              <c:f>(i0!$Y$41,i0!$Y$41)</c:f>
              <c:numCache>
                <c:formatCode>0.0000</c:formatCode>
                <c:ptCount val="2"/>
                <c:pt idx="0">
                  <c:v>-3.1059674187767849E-4</c:v>
                </c:pt>
                <c:pt idx="1">
                  <c:v>-3.1059674187767849E-4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D8-4B68-B2AC-EE7EEDC7F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120656"/>
        <c:axId val="1361121136"/>
      </c:scatterChart>
      <c:valAx>
        <c:axId val="1361120656"/>
        <c:scaling>
          <c:orientation val="minMax"/>
          <c:max val="0.30000000000000004"/>
          <c:min val="6.0000000000000012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i</a:t>
                </a:r>
                <a:r>
                  <a:rPr lang="pt-PT" baseline="-25000"/>
                  <a:t>0</a:t>
                </a:r>
                <a:r>
                  <a:rPr lang="pt-PT" baseline="0"/>
                  <a:t> /A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1136"/>
        <c:crossesAt val="-1.2000000000000003E-3"/>
        <c:crossBetween val="midCat"/>
        <c:majorUnit val="4.0000000000000008E-2"/>
      </c:valAx>
      <c:valAx>
        <c:axId val="136112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-25000"/>
                  <a:t>E0</a:t>
                </a:r>
                <a:r>
                  <a:rPr lang="pt-PT" baseline="0"/>
                  <a:t> /V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0656"/>
        <c:crosses val="autoZero"/>
        <c:crossBetween val="midCat"/>
        <c:majorUnit val="1.0000000000000003E-4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23946316455146821"/>
          <c:y val="0.11912230093983091"/>
          <c:w val="0.46354564985995672"/>
          <c:h val="8.56473988360356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Voltímetro - Ajuste de log(V</a:t>
            </a:r>
            <a:r>
              <a:rPr lang="pt-PT" baseline="-25000"/>
              <a:t>E0</a:t>
            </a:r>
            <a:r>
              <a:rPr lang="pt-PT"/>
              <a:t>)[log(i</a:t>
            </a:r>
            <a:r>
              <a:rPr lang="pt-PT" baseline="-25000"/>
              <a:t>0</a:t>
            </a:r>
            <a:r>
              <a:rPr lang="el-GR"/>
              <a:t>)</a:t>
            </a:r>
            <a:r>
              <a:rPr lang="pt-PT"/>
              <a:t>] - Gama</a:t>
            </a:r>
            <a:r>
              <a:rPr lang="pt-PT" baseline="0"/>
              <a:t>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3089930177887832"/>
                  <c:y val="9.0954307000335452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log(</a:t>
                    </a:r>
                    <a:r>
                      <a:rPr lang="pt-PT" sz="900" b="0" i="0" u="none" strike="noStrike" baseline="0">
                        <a:effectLst/>
                      </a:rPr>
                      <a:t>V</a:t>
                    </a:r>
                    <a:r>
                      <a:rPr lang="pt-PT" sz="900" b="0" i="0" u="none" strike="noStrike" baseline="-25000">
                        <a:effectLst/>
                      </a:rPr>
                      <a:t>E0</a:t>
                    </a:r>
                    <a:r>
                      <a:rPr lang="en-US" baseline="0"/>
                      <a:t>) = 1.0005log(</a:t>
                    </a:r>
                    <a:r>
                      <a:rPr lang="pt-PT" sz="900" b="0" i="0" u="none" strike="noStrike" baseline="0">
                        <a:effectLst/>
                      </a:rPr>
                      <a:t>i</a:t>
                    </a:r>
                    <a:r>
                      <a:rPr lang="pt-PT" sz="900" b="0" i="0" u="none" strike="noStrike" baseline="-25000">
                        <a:effectLst/>
                      </a:rPr>
                      <a:t>0</a:t>
                    </a:r>
                    <a:r>
                      <a:rPr lang="en-US" baseline="0"/>
                      <a:t>) + 0.3317</a:t>
                    </a:r>
                    <a:endParaRPr lang="en-US"/>
                  </a:p>
                </c:rich>
              </c:tx>
              <c:numFmt formatCode="General" sourceLinked="0"/>
              <c:spPr>
                <a:solidFill>
                  <a:sysClr val="window" lastClr="FFFFFF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i0!$D$13:$D$18</c:f>
              <c:numCache>
                <c:formatCode>0.0000</c:formatCode>
                <c:ptCount val="6"/>
                <c:pt idx="0">
                  <c:v>-1.0989766073166631</c:v>
                </c:pt>
                <c:pt idx="1">
                  <c:v>-0.9837889422519388</c:v>
                </c:pt>
                <c:pt idx="2">
                  <c:v>-0.90797356953360631</c:v>
                </c:pt>
                <c:pt idx="3">
                  <c:v>-0.77686752562277284</c:v>
                </c:pt>
                <c:pt idx="4">
                  <c:v>-0.60968518372091074</c:v>
                </c:pt>
                <c:pt idx="5">
                  <c:v>-0.53204850563291028</c:v>
                </c:pt>
              </c:numCache>
            </c:numRef>
          </c:xVal>
          <c:yVal>
            <c:numRef>
              <c:f>i0!$J$13:$J$18</c:f>
              <c:numCache>
                <c:formatCode>0.0000</c:formatCode>
                <c:ptCount val="6"/>
                <c:pt idx="0">
                  <c:v>-0.76777773207066013</c:v>
                </c:pt>
                <c:pt idx="1">
                  <c:v>-0.65248027414496357</c:v>
                </c:pt>
                <c:pt idx="2">
                  <c:v>-0.57694722479277205</c:v>
                </c:pt>
                <c:pt idx="3">
                  <c:v>-0.44584981237746135</c:v>
                </c:pt>
                <c:pt idx="4">
                  <c:v>-0.27824215160778554</c:v>
                </c:pt>
                <c:pt idx="5">
                  <c:v>-0.20053982000233689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73-4355-AC8E-CD7F4CBFDB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120656"/>
        <c:axId val="1361121136"/>
      </c:scatterChart>
      <c:valAx>
        <c:axId val="1361120656"/>
        <c:scaling>
          <c:orientation val="minMax"/>
          <c:max val="-0.5"/>
          <c:min val="-1.150000000000000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log(i</a:t>
                </a:r>
                <a:r>
                  <a:rPr lang="pt-PT" baseline="-25000"/>
                  <a:t>0</a:t>
                </a:r>
                <a:r>
                  <a:rPr lang="pt-PT" baseline="0"/>
                  <a:t>) /A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1136"/>
        <c:crossesAt val="-1"/>
        <c:crossBetween val="midCat"/>
        <c:majorUnit val="5.000000000000001E-2"/>
      </c:valAx>
      <c:valAx>
        <c:axId val="1361121136"/>
        <c:scaling>
          <c:orientation val="minMax"/>
          <c:max val="-0.1"/>
          <c:min val="-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log(V</a:t>
                </a:r>
                <a:r>
                  <a:rPr lang="pt-PT" baseline="-25000"/>
                  <a:t>E0</a:t>
                </a:r>
                <a:r>
                  <a:rPr lang="pt-PT" baseline="0"/>
                  <a:t>) /s.u.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0656"/>
        <c:crossesAt val="-1.2"/>
        <c:crossBetween val="midCat"/>
        <c:maj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Voltímetro - Resíduos de log(V</a:t>
            </a:r>
            <a:r>
              <a:rPr lang="pt-PT" baseline="-25000"/>
              <a:t>E0</a:t>
            </a:r>
            <a:r>
              <a:rPr lang="pt-PT"/>
              <a:t>)[log(i</a:t>
            </a:r>
            <a:r>
              <a:rPr lang="pt-PT" baseline="-25000"/>
              <a:t>0</a:t>
            </a:r>
            <a:r>
              <a:rPr lang="el-GR"/>
              <a:t>)</a:t>
            </a:r>
            <a:r>
              <a:rPr lang="pt-PT"/>
              <a:t>] - Gama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865720276782666"/>
          <c:y val="0.18776087265778812"/>
          <c:w val="0.79264298814509382"/>
          <c:h val="0.61415873562269596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i0!$K$13:$K$18</c:f>
                <c:numCache>
                  <c:formatCode>General</c:formatCode>
                  <c:ptCount val="6"/>
                  <c:pt idx="0">
                    <c:v>3.5981315816342317E-4</c:v>
                  </c:pt>
                  <c:pt idx="1">
                    <c:v>2.7591771404272662E-4</c:v>
                  </c:pt>
                  <c:pt idx="2">
                    <c:v>2.3187105280472601E-4</c:v>
                  </c:pt>
                  <c:pt idx="3">
                    <c:v>1.7145459214498685E-4</c:v>
                  </c:pt>
                  <c:pt idx="4">
                    <c:v>1.16557831965446E-4</c:v>
                  </c:pt>
                  <c:pt idx="5">
                    <c:v>9.7462855005218084E-5</c:v>
                  </c:pt>
                </c:numCache>
              </c:numRef>
            </c:plus>
            <c:minus>
              <c:numRef>
                <c:f>i0!$K$13:$K$18</c:f>
                <c:numCache>
                  <c:formatCode>General</c:formatCode>
                  <c:ptCount val="6"/>
                  <c:pt idx="0">
                    <c:v>3.5981315816342317E-4</c:v>
                  </c:pt>
                  <c:pt idx="1">
                    <c:v>2.7591771404272662E-4</c:v>
                  </c:pt>
                  <c:pt idx="2">
                    <c:v>2.3187105280472601E-4</c:v>
                  </c:pt>
                  <c:pt idx="3">
                    <c:v>1.7145459214498685E-4</c:v>
                  </c:pt>
                  <c:pt idx="4">
                    <c:v>1.16557831965446E-4</c:v>
                  </c:pt>
                  <c:pt idx="5">
                    <c:v>9.7462855005218084E-5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i0!$D$13:$D$18</c:f>
              <c:numCache>
                <c:formatCode>0.0000</c:formatCode>
                <c:ptCount val="6"/>
                <c:pt idx="0">
                  <c:v>-1.0989766073166631</c:v>
                </c:pt>
                <c:pt idx="1">
                  <c:v>-0.9837889422519388</c:v>
                </c:pt>
                <c:pt idx="2">
                  <c:v>-0.90797356953360631</c:v>
                </c:pt>
                <c:pt idx="3">
                  <c:v>-0.77686752562277284</c:v>
                </c:pt>
                <c:pt idx="4">
                  <c:v>-0.60968518372091074</c:v>
                </c:pt>
                <c:pt idx="5">
                  <c:v>-0.53204850563291028</c:v>
                </c:pt>
              </c:numCache>
            </c:numRef>
          </c:xVal>
          <c:yVal>
            <c:numRef>
              <c:f>i0!$AB$13:$AB$18</c:f>
              <c:numCache>
                <c:formatCode>0.0000</c:formatCode>
                <c:ptCount val="6"/>
                <c:pt idx="0">
                  <c:v>9.8816019065917082E-5</c:v>
                </c:pt>
                <c:pt idx="1">
                  <c:v>1.4686409499664599E-4</c:v>
                </c:pt>
                <c:pt idx="2">
                  <c:v>-1.7609907305971007E-4</c:v>
                </c:pt>
                <c:pt idx="3">
                  <c:v>-2.5500818463081165E-4</c:v>
                </c:pt>
                <c:pt idx="4">
                  <c:v>8.0694857064245173E-5</c:v>
                </c:pt>
                <c:pt idx="5">
                  <c:v>1.0473228656426858E-4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95-4684-A652-A2CD0230E922}"/>
            </c:ext>
          </c:extLst>
        </c:ser>
        <c:ser>
          <c:idx val="1"/>
          <c:order val="1"/>
          <c:tx>
            <c:v>u(log(VE0))</c:v>
          </c:tx>
          <c:spPr>
            <a:ln w="22225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-1.1499999999999999</c:v>
              </c:pt>
              <c:pt idx="1">
                <c:v>-0.5</c:v>
              </c:pt>
            </c:numLit>
          </c:xVal>
          <c:yVal>
            <c:numRef>
              <c:f>(i0!$Y$57,i0!$Y$57)</c:f>
              <c:numCache>
                <c:formatCode>0.0000</c:formatCode>
                <c:ptCount val="2"/>
                <c:pt idx="0">
                  <c:v>3.8059721174753573E-4</c:v>
                </c:pt>
                <c:pt idx="1">
                  <c:v>3.8059721174753573E-4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95-4684-A652-A2CD0230E922}"/>
            </c:ext>
          </c:extLst>
        </c:ser>
        <c:ser>
          <c:idx val="2"/>
          <c:order val="2"/>
          <c:tx>
            <c:v>-u</c:v>
          </c:tx>
          <c:spPr>
            <a:ln w="22225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-1.1499999999999999</c:v>
              </c:pt>
              <c:pt idx="1">
                <c:v>-0.5</c:v>
              </c:pt>
            </c:numLit>
          </c:xVal>
          <c:yVal>
            <c:numRef>
              <c:f>(i0!$Y$58,i0!$Y$58)</c:f>
              <c:numCache>
                <c:formatCode>0.0000</c:formatCode>
                <c:ptCount val="2"/>
                <c:pt idx="0">
                  <c:v>-3.8059721174753573E-4</c:v>
                </c:pt>
                <c:pt idx="1">
                  <c:v>-3.8059721174753573E-4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B95-4684-A652-A2CD0230E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120656"/>
        <c:axId val="1361121136"/>
      </c:scatterChart>
      <c:valAx>
        <c:axId val="1361120656"/>
        <c:scaling>
          <c:orientation val="minMax"/>
          <c:max val="-0.5"/>
          <c:min val="-1.150000000000000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i</a:t>
                </a:r>
                <a:r>
                  <a:rPr lang="pt-PT" baseline="-25000"/>
                  <a:t>0</a:t>
                </a:r>
                <a:r>
                  <a:rPr lang="pt-PT" baseline="0"/>
                  <a:t> /A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1136"/>
        <c:crossesAt val="-6.0000000000000016E-4"/>
        <c:crossBetween val="midCat"/>
        <c:majorUnit val="5.000000000000001E-2"/>
      </c:valAx>
      <c:valAx>
        <c:axId val="136112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-25000"/>
                  <a:t>E0</a:t>
                </a:r>
                <a:r>
                  <a:rPr lang="pt-PT" baseline="0"/>
                  <a:t> /V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0656"/>
        <c:crossesAt val="-1.2"/>
        <c:crossBetween val="midCat"/>
        <c:majorUnit val="1.0000000000000003E-4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2244498003843291"/>
          <c:y val="0.12603905603745783"/>
          <c:w val="0.51476103811882912"/>
          <c:h val="6.13389487290717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Osciloscópio - 2.º Ajuste de V</a:t>
            </a:r>
            <a:r>
              <a:rPr lang="pt-PT" baseline="-25000"/>
              <a:t>E0</a:t>
            </a:r>
            <a:r>
              <a:rPr lang="pt-PT"/>
              <a:t>(i</a:t>
            </a:r>
            <a:r>
              <a:rPr lang="pt-PT" baseline="-25000"/>
              <a:t>0</a:t>
            </a:r>
            <a:r>
              <a:rPr lang="el-GR"/>
              <a:t>)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6888185823847321"/>
                  <c:y val="6.7144273872618801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pt-PT" sz="900" b="0" i="0" u="none" strike="noStrike" baseline="0">
                        <a:effectLst/>
                      </a:rPr>
                      <a:t>V</a:t>
                    </a:r>
                    <a:r>
                      <a:rPr lang="pt-PT" sz="900" b="0" i="0" u="none" strike="noStrike" baseline="-25000">
                        <a:effectLst/>
                      </a:rPr>
                      <a:t>E0</a:t>
                    </a:r>
                    <a:r>
                      <a:rPr lang="en-US" baseline="0"/>
                      <a:t> = 2.145</a:t>
                    </a:r>
                    <a:r>
                      <a:rPr lang="pt-PT" sz="900" b="0" i="0" u="none" strike="noStrike" baseline="0">
                        <a:effectLst/>
                      </a:rPr>
                      <a:t>i</a:t>
                    </a:r>
                    <a:r>
                      <a:rPr lang="pt-PT" sz="900" b="0" i="0" u="none" strike="noStrike" baseline="-25000">
                        <a:effectLst/>
                      </a:rPr>
                      <a:t>0</a:t>
                    </a:r>
                    <a:r>
                      <a:rPr lang="en-US" baseline="0"/>
                      <a:t> - 0.000</a:t>
                    </a:r>
                    <a:endParaRPr lang="en-US"/>
                  </a:p>
                </c:rich>
              </c:tx>
              <c:numFmt formatCode="General" sourceLinked="0"/>
              <c:spPr>
                <a:solidFill>
                  <a:sysClr val="window" lastClr="FFFFFF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i0!$C$13:$C$19</c:f>
              <c:numCache>
                <c:formatCode>0.0000</c:formatCode>
                <c:ptCount val="7"/>
                <c:pt idx="0">
                  <c:v>7.9620223561605266E-2</c:v>
                </c:pt>
                <c:pt idx="1">
                  <c:v>0.1038032754781852</c:v>
                </c:pt>
                <c:pt idx="2">
                  <c:v>0.12360226535140853</c:v>
                </c:pt>
                <c:pt idx="3">
                  <c:v>0.16716004307249985</c:v>
                </c:pt>
                <c:pt idx="4">
                  <c:v>0.24564889578420662</c:v>
                </c:pt>
                <c:pt idx="5">
                  <c:v>0.29373215690489185</c:v>
                </c:pt>
                <c:pt idx="6">
                  <c:v>0.36557420587344508</c:v>
                </c:pt>
              </c:numCache>
            </c:numRef>
          </c:xVal>
          <c:yVal>
            <c:numRef>
              <c:f>i0!$P$13:$P$19</c:f>
              <c:numCache>
                <c:formatCode>0.0000</c:formatCode>
                <c:ptCount val="7"/>
                <c:pt idx="0">
                  <c:v>0.17100000000000001</c:v>
                </c:pt>
                <c:pt idx="1">
                  <c:v>0.222</c:v>
                </c:pt>
                <c:pt idx="2">
                  <c:v>0.26600000000000001</c:v>
                </c:pt>
                <c:pt idx="3">
                  <c:v>0.35799999999999998</c:v>
                </c:pt>
                <c:pt idx="4" formatCode="0.000">
                  <c:v>0.52500000000000002</c:v>
                </c:pt>
                <c:pt idx="5" formatCode="0.000">
                  <c:v>0.63</c:v>
                </c:pt>
                <c:pt idx="6" formatCode="0.000">
                  <c:v>0.78500000000000003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C9-44ED-AED6-D9DD40D890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120656"/>
        <c:axId val="1361121136"/>
      </c:scatterChart>
      <c:valAx>
        <c:axId val="1361120656"/>
        <c:scaling>
          <c:orientation val="minMax"/>
          <c:max val="0.4"/>
          <c:min val="5.000000000000001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i</a:t>
                </a:r>
                <a:r>
                  <a:rPr lang="pt-PT" baseline="-25000"/>
                  <a:t>0</a:t>
                </a:r>
                <a:r>
                  <a:rPr lang="pt-PT" baseline="0"/>
                  <a:t> /A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1136"/>
        <c:crosses val="autoZero"/>
        <c:crossBetween val="midCat"/>
      </c:valAx>
      <c:valAx>
        <c:axId val="1361121136"/>
        <c:scaling>
          <c:orientation val="minMax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-25000"/>
                  <a:t>E0</a:t>
                </a:r>
                <a:r>
                  <a:rPr lang="pt-PT" baseline="0"/>
                  <a:t> /V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0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Osciloscópio - Resíduos de V</a:t>
            </a:r>
            <a:r>
              <a:rPr lang="pt-PT" baseline="-25000"/>
              <a:t>E0</a:t>
            </a:r>
            <a:r>
              <a:rPr lang="pt-PT"/>
              <a:t>(i</a:t>
            </a:r>
            <a:r>
              <a:rPr lang="pt-PT" baseline="-25000"/>
              <a:t>0</a:t>
            </a:r>
            <a:r>
              <a:rPr lang="el-GR"/>
              <a:t>)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773118577301425"/>
          <c:y val="0.18868763100123132"/>
          <c:w val="0.81523571367500924"/>
          <c:h val="0.64314738787122117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i0!$Q$13:$Q$19</c:f>
                <c:numCache>
                  <c:formatCode>General</c:formatCode>
                  <c:ptCount val="7"/>
                  <c:pt idx="0">
                    <c:v>5.0000000000000001E-4</c:v>
                  </c:pt>
                  <c:pt idx="1">
                    <c:v>5.0000000000000001E-4</c:v>
                  </c:pt>
                  <c:pt idx="2">
                    <c:v>5.0000000000000001E-4</c:v>
                  </c:pt>
                  <c:pt idx="3">
                    <c:v>5.0000000000000001E-4</c:v>
                  </c:pt>
                  <c:pt idx="4">
                    <c:v>5.0000000000000001E-3</c:v>
                  </c:pt>
                  <c:pt idx="5">
                    <c:v>5.0000000000000001E-3</c:v>
                  </c:pt>
                  <c:pt idx="6">
                    <c:v>5.0000000000000001E-3</c:v>
                  </c:pt>
                </c:numCache>
              </c:numRef>
            </c:plus>
            <c:minus>
              <c:numRef>
                <c:f>i0!$Q$13:$Q$19</c:f>
                <c:numCache>
                  <c:formatCode>General</c:formatCode>
                  <c:ptCount val="7"/>
                  <c:pt idx="0">
                    <c:v>5.0000000000000001E-4</c:v>
                  </c:pt>
                  <c:pt idx="1">
                    <c:v>5.0000000000000001E-4</c:v>
                  </c:pt>
                  <c:pt idx="2">
                    <c:v>5.0000000000000001E-4</c:v>
                  </c:pt>
                  <c:pt idx="3">
                    <c:v>5.0000000000000001E-4</c:v>
                  </c:pt>
                  <c:pt idx="4">
                    <c:v>5.0000000000000001E-3</c:v>
                  </c:pt>
                  <c:pt idx="5">
                    <c:v>5.0000000000000001E-3</c:v>
                  </c:pt>
                  <c:pt idx="6">
                    <c:v>5.0000000000000001E-3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i0!$C$13:$C$19</c:f>
              <c:numCache>
                <c:formatCode>0.0000</c:formatCode>
                <c:ptCount val="7"/>
                <c:pt idx="0">
                  <c:v>7.9620223561605266E-2</c:v>
                </c:pt>
                <c:pt idx="1">
                  <c:v>0.1038032754781852</c:v>
                </c:pt>
                <c:pt idx="2">
                  <c:v>0.12360226535140853</c:v>
                </c:pt>
                <c:pt idx="3">
                  <c:v>0.16716004307249985</c:v>
                </c:pt>
                <c:pt idx="4">
                  <c:v>0.24564889578420662</c:v>
                </c:pt>
                <c:pt idx="5">
                  <c:v>0.29373215690489185</c:v>
                </c:pt>
                <c:pt idx="6">
                  <c:v>0.36557420587344508</c:v>
                </c:pt>
              </c:numCache>
            </c:numRef>
          </c:xVal>
          <c:yVal>
            <c:numRef>
              <c:f>i0!$AE$13:$AE$19</c:f>
              <c:numCache>
                <c:formatCode>0.0000</c:formatCode>
                <c:ptCount val="7"/>
                <c:pt idx="0">
                  <c:v>4.4928344102285189E-4</c:v>
                </c:pt>
                <c:pt idx="1">
                  <c:v>-4.3469389143360737E-4</c:v>
                </c:pt>
                <c:pt idx="2">
                  <c:v>1.0871960118184476E-3</c:v>
                </c:pt>
                <c:pt idx="3">
                  <c:v>-3.6464620102705236E-4</c:v>
                </c:pt>
                <c:pt idx="4">
                  <c:v>-1.7600112274206436E-3</c:v>
                </c:pt>
                <c:pt idx="5">
                  <c:v>7.886425190573032E-5</c:v>
                </c:pt>
                <c:pt idx="6">
                  <c:v>9.4400761513457887E-4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0F-4C62-B224-D53B8D5BE4E8}"/>
            </c:ext>
          </c:extLst>
        </c:ser>
        <c:ser>
          <c:idx val="1"/>
          <c:order val="1"/>
          <c:tx>
            <c:v>u(VE0)</c:v>
          </c:tx>
          <c:spPr>
            <a:ln w="22225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0.7</c:v>
              </c:pt>
            </c:numLit>
          </c:xVal>
          <c:yVal>
            <c:numRef>
              <c:f>(i0!$Y$74,i0!$Y$74)</c:f>
              <c:numCache>
                <c:formatCode>0.000</c:formatCode>
                <c:ptCount val="2"/>
                <c:pt idx="0">
                  <c:v>2.1355628537642227E-3</c:v>
                </c:pt>
                <c:pt idx="1">
                  <c:v>2.1355628537642227E-3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0F-4C62-B224-D53B8D5BE4E8}"/>
            </c:ext>
          </c:extLst>
        </c:ser>
        <c:ser>
          <c:idx val="2"/>
          <c:order val="2"/>
          <c:tx>
            <c:v>-u</c:v>
          </c:tx>
          <c:spPr>
            <a:ln w="22225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0.7</c:v>
              </c:pt>
            </c:numLit>
          </c:xVal>
          <c:yVal>
            <c:numRef>
              <c:f>(i0!$Y$75,i0!$Y$75)</c:f>
              <c:numCache>
                <c:formatCode>0.000</c:formatCode>
                <c:ptCount val="2"/>
                <c:pt idx="0">
                  <c:v>-2.1355628537642227E-3</c:v>
                </c:pt>
                <c:pt idx="1">
                  <c:v>-2.1355628537642227E-3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80F-4C62-B224-D53B8D5BE4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120656"/>
        <c:axId val="1361121136"/>
      </c:scatterChart>
      <c:valAx>
        <c:axId val="1361120656"/>
        <c:scaling>
          <c:orientation val="minMax"/>
          <c:max val="0.4"/>
          <c:min val="5.000000000000001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i</a:t>
                </a:r>
                <a:r>
                  <a:rPr lang="pt-PT" baseline="-25000"/>
                  <a:t>0</a:t>
                </a:r>
                <a:r>
                  <a:rPr lang="pt-PT" baseline="0"/>
                  <a:t> /A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1136"/>
        <c:crossesAt val="-1.5000000000000003E-2"/>
        <c:crossBetween val="midCat"/>
      </c:valAx>
      <c:valAx>
        <c:axId val="136112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-25000"/>
                  <a:t>E0</a:t>
                </a:r>
                <a:r>
                  <a:rPr lang="pt-PT" baseline="0"/>
                  <a:t> /V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0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2051121954892762"/>
          <c:y val="0.10664116549590918"/>
          <c:w val="0.54086250159819838"/>
          <c:h val="8.21057705535953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Osciloscópio - 2.º Ajuste de log(V</a:t>
            </a:r>
            <a:r>
              <a:rPr lang="pt-PT" baseline="-25000"/>
              <a:t>E0</a:t>
            </a:r>
            <a:r>
              <a:rPr lang="pt-PT"/>
              <a:t>)[log(i</a:t>
            </a:r>
            <a:r>
              <a:rPr lang="pt-PT" baseline="-25000"/>
              <a:t>0</a:t>
            </a:r>
            <a:r>
              <a:rPr lang="el-GR"/>
              <a:t>)</a:t>
            </a:r>
            <a:r>
              <a:rPr lang="pt-PT"/>
              <a:t>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8653758629794903"/>
                  <c:y val="6.026246353463665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log(</a:t>
                    </a:r>
                    <a:r>
                      <a:rPr lang="pt-PT" sz="900" b="0" i="0" u="none" strike="noStrike" baseline="0">
                        <a:effectLst/>
                      </a:rPr>
                      <a:t>V</a:t>
                    </a:r>
                    <a:r>
                      <a:rPr lang="pt-PT" sz="900" b="0" i="0" u="none" strike="noStrike" baseline="-25000">
                        <a:effectLst/>
                      </a:rPr>
                      <a:t>E0</a:t>
                    </a:r>
                    <a:r>
                      <a:rPr lang="pt-PT" sz="900" b="0" i="0" u="none" strike="noStrike" baseline="0">
                        <a:effectLst/>
                      </a:rPr>
                      <a:t>)</a:t>
                    </a:r>
                    <a:r>
                      <a:rPr lang="en-US" baseline="0"/>
                      <a:t> = 0.999log(</a:t>
                    </a:r>
                    <a:r>
                      <a:rPr lang="pt-PT" sz="900" b="0" i="0" u="none" strike="noStrike" baseline="0">
                        <a:effectLst/>
                      </a:rPr>
                      <a:t>i</a:t>
                    </a:r>
                    <a:r>
                      <a:rPr lang="pt-PT" sz="900" b="0" i="0" u="none" strike="noStrike" baseline="-25000">
                        <a:effectLst/>
                      </a:rPr>
                      <a:t>0</a:t>
                    </a:r>
                    <a:r>
                      <a:rPr lang="en-US" baseline="0"/>
                      <a:t>) + 0.331</a:t>
                    </a:r>
                    <a:endParaRPr lang="en-US"/>
                  </a:p>
                </c:rich>
              </c:tx>
              <c:numFmt formatCode="General" sourceLinked="0"/>
              <c:spPr>
                <a:solidFill>
                  <a:sysClr val="window" lastClr="FFFFFF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i0!$D$13:$D$19</c:f>
              <c:numCache>
                <c:formatCode>0.0000</c:formatCode>
                <c:ptCount val="7"/>
                <c:pt idx="0">
                  <c:v>-1.0989766073166631</c:v>
                </c:pt>
                <c:pt idx="1">
                  <c:v>-0.9837889422519388</c:v>
                </c:pt>
                <c:pt idx="2">
                  <c:v>-0.90797356953360631</c:v>
                </c:pt>
                <c:pt idx="3">
                  <c:v>-0.77686752562277284</c:v>
                </c:pt>
                <c:pt idx="4">
                  <c:v>-0.60968518372091074</c:v>
                </c:pt>
                <c:pt idx="5">
                  <c:v>-0.53204850563291028</c:v>
                </c:pt>
                <c:pt idx="6">
                  <c:v>-0.43702445473804807</c:v>
                </c:pt>
              </c:numCache>
            </c:numRef>
          </c:xVal>
          <c:yVal>
            <c:numRef>
              <c:f>i0!$T$13:$T$19</c:f>
              <c:numCache>
                <c:formatCode>0.000</c:formatCode>
                <c:ptCount val="7"/>
                <c:pt idx="0">
                  <c:v>-0.76700388960784616</c:v>
                </c:pt>
                <c:pt idx="1">
                  <c:v>-0.65364702554936138</c:v>
                </c:pt>
                <c:pt idx="2" formatCode="0.0000">
                  <c:v>-0.57511836336893296</c:v>
                </c:pt>
                <c:pt idx="3" formatCode="0.0000">
                  <c:v>-0.44611697335612566</c:v>
                </c:pt>
                <c:pt idx="4">
                  <c:v>-0.27984069659404309</c:v>
                </c:pt>
                <c:pt idx="5">
                  <c:v>-0.20065945054641829</c:v>
                </c:pt>
                <c:pt idx="6">
                  <c:v>-0.10513034325474745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3A-4DAC-B803-CDB181D36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120656"/>
        <c:axId val="1361121136"/>
      </c:scatterChart>
      <c:valAx>
        <c:axId val="1361120656"/>
        <c:scaling>
          <c:orientation val="minMax"/>
          <c:max val="-0.4"/>
          <c:min val="-1.150000000000000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i</a:t>
                </a:r>
                <a:r>
                  <a:rPr lang="pt-PT" baseline="-25000"/>
                  <a:t>0</a:t>
                </a:r>
                <a:r>
                  <a:rPr lang="pt-PT" baseline="0"/>
                  <a:t> /A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1136"/>
        <c:crossesAt val="-1"/>
        <c:crossBetween val="midCat"/>
        <c:majorUnit val="5.000000000000001E-2"/>
      </c:valAx>
      <c:valAx>
        <c:axId val="136112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-25000"/>
                  <a:t>E0</a:t>
                </a:r>
                <a:r>
                  <a:rPr lang="pt-PT" baseline="0"/>
                  <a:t> /V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0656"/>
        <c:crossesAt val="-1.2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Osciloscópio - Resíduos de log(V</a:t>
            </a:r>
            <a:r>
              <a:rPr lang="pt-PT" baseline="-25000"/>
              <a:t>E0</a:t>
            </a:r>
            <a:r>
              <a:rPr lang="pt-PT"/>
              <a:t>)[log(i</a:t>
            </a:r>
            <a:r>
              <a:rPr lang="pt-PT" baseline="-25000"/>
              <a:t>0</a:t>
            </a:r>
            <a:r>
              <a:rPr lang="el-GR"/>
              <a:t>)</a:t>
            </a:r>
            <a:r>
              <a:rPr lang="pt-PT"/>
              <a:t>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780077499106845"/>
          <c:y val="0.21473724048015821"/>
          <c:w val="0.81919118179369366"/>
          <c:h val="0.59081038463821756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i0!$U$13:$U$19</c:f>
                <c:numCache>
                  <c:formatCode>General</c:formatCode>
                  <c:ptCount val="7"/>
                  <c:pt idx="0">
                    <c:v>1.2698669061498588E-3</c:v>
                  </c:pt>
                  <c:pt idx="1">
                    <c:v>9.7814072500732388E-4</c:v>
                  </c:pt>
                  <c:pt idx="2">
                    <c:v>8.1634301109633801E-4</c:v>
                  </c:pt>
                  <c:pt idx="3">
                    <c:v>6.0655653897102207E-4</c:v>
                  </c:pt>
                  <c:pt idx="4">
                    <c:v>4.1361379228881121E-3</c:v>
                  </c:pt>
                  <c:pt idx="5">
                    <c:v>3.4467816024067602E-3</c:v>
                  </c:pt>
                  <c:pt idx="6">
                    <c:v>2.7662068911035145E-3</c:v>
                  </c:pt>
                </c:numCache>
              </c:numRef>
            </c:plus>
            <c:minus>
              <c:numRef>
                <c:f>i0!$U$13:$U$19</c:f>
                <c:numCache>
                  <c:formatCode>General</c:formatCode>
                  <c:ptCount val="7"/>
                  <c:pt idx="0">
                    <c:v>1.2698669061498588E-3</c:v>
                  </c:pt>
                  <c:pt idx="1">
                    <c:v>9.7814072500732388E-4</c:v>
                  </c:pt>
                  <c:pt idx="2">
                    <c:v>8.1634301109633801E-4</c:v>
                  </c:pt>
                  <c:pt idx="3">
                    <c:v>6.0655653897102207E-4</c:v>
                  </c:pt>
                  <c:pt idx="4">
                    <c:v>4.1361379228881121E-3</c:v>
                  </c:pt>
                  <c:pt idx="5">
                    <c:v>3.4467816024067602E-3</c:v>
                  </c:pt>
                  <c:pt idx="6">
                    <c:v>2.7662068911035145E-3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i0!$D$13:$D$19</c:f>
              <c:numCache>
                <c:formatCode>0.0000</c:formatCode>
                <c:ptCount val="7"/>
                <c:pt idx="0">
                  <c:v>-1.0989766073166631</c:v>
                </c:pt>
                <c:pt idx="1">
                  <c:v>-0.9837889422519388</c:v>
                </c:pt>
                <c:pt idx="2">
                  <c:v>-0.90797356953360631</c:v>
                </c:pt>
                <c:pt idx="3">
                  <c:v>-0.77686752562277284</c:v>
                </c:pt>
                <c:pt idx="4">
                  <c:v>-0.60968518372091074</c:v>
                </c:pt>
                <c:pt idx="5">
                  <c:v>-0.53204850563291028</c:v>
                </c:pt>
                <c:pt idx="6">
                  <c:v>-0.43702445473804807</c:v>
                </c:pt>
              </c:numCache>
            </c:numRef>
          </c:xVal>
          <c:yVal>
            <c:numRef>
              <c:f>i0!$AG$13:$AG$19</c:f>
              <c:numCache>
                <c:formatCode>0.0000</c:formatCode>
                <c:ptCount val="7"/>
                <c:pt idx="0">
                  <c:v>-2.4584717694320357E-4</c:v>
                </c:pt>
                <c:pt idx="1">
                  <c:v>-7.3955288115268303E-5</c:v>
                </c:pt>
                <c:pt idx="2">
                  <c:v>-3.1540569325239076E-4</c:v>
                </c:pt>
                <c:pt idx="3">
                  <c:v>-2.5335637526707755E-4</c:v>
                </c:pt>
                <c:pt idx="4">
                  <c:v>2.6209246350233917E-4</c:v>
                </c:pt>
                <c:pt idx="5">
                  <c:v>3.6960082914549997E-4</c:v>
                </c:pt>
                <c:pt idx="6">
                  <c:v>8.2282368627679958E-4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A4-4671-8616-9D644D28CDCB}"/>
            </c:ext>
          </c:extLst>
        </c:ser>
        <c:ser>
          <c:idx val="1"/>
          <c:order val="1"/>
          <c:tx>
            <c:v>u(log(VE0))</c:v>
          </c:tx>
          <c:spPr>
            <a:ln w="22225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-1.2</c:v>
              </c:pt>
              <c:pt idx="1">
                <c:v>0.1</c:v>
              </c:pt>
            </c:numLit>
          </c:xVal>
          <c:yVal>
            <c:numRef>
              <c:f>(i0!$Y$90,i0!$Y$90)</c:f>
              <c:numCache>
                <c:formatCode>0.000</c:formatCode>
                <c:ptCount val="2"/>
                <c:pt idx="0">
                  <c:v>2.3457632836398003E-3</c:v>
                </c:pt>
                <c:pt idx="1">
                  <c:v>2.3457632836398003E-3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A4-4671-8616-9D644D28CDCB}"/>
            </c:ext>
          </c:extLst>
        </c:ser>
        <c:ser>
          <c:idx val="2"/>
          <c:order val="2"/>
          <c:tx>
            <c:v>-u</c:v>
          </c:tx>
          <c:spPr>
            <a:ln w="22225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-1.2</c:v>
              </c:pt>
              <c:pt idx="1">
                <c:v>-0.1</c:v>
              </c:pt>
            </c:numLit>
          </c:xVal>
          <c:yVal>
            <c:numRef>
              <c:f>(i0!$Y$91,i0!$Y$91)</c:f>
              <c:numCache>
                <c:formatCode>0.000</c:formatCode>
                <c:ptCount val="2"/>
                <c:pt idx="0">
                  <c:v>-2.3457632836398003E-3</c:v>
                </c:pt>
                <c:pt idx="1">
                  <c:v>-2.3457632836398003E-3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1A4-4671-8616-9D644D28CD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120656"/>
        <c:axId val="1361121136"/>
      </c:scatterChart>
      <c:valAx>
        <c:axId val="1361120656"/>
        <c:scaling>
          <c:orientation val="minMax"/>
          <c:max val="-0.4"/>
          <c:min val="-1.150000000000000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i</a:t>
                </a:r>
                <a:r>
                  <a:rPr lang="pt-PT" baseline="-25000"/>
                  <a:t>0</a:t>
                </a:r>
                <a:r>
                  <a:rPr lang="pt-PT" baseline="0"/>
                  <a:t> /A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1136"/>
        <c:crossesAt val="-6.0000000000000019E-3"/>
        <c:crossBetween val="midCat"/>
        <c:majorUnit val="5.000000000000001E-2"/>
      </c:valAx>
      <c:valAx>
        <c:axId val="1361121136"/>
        <c:scaling>
          <c:orientation val="minMax"/>
          <c:min val="-5.00000000000000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-25000"/>
                  <a:t>E0</a:t>
                </a:r>
                <a:r>
                  <a:rPr lang="pt-PT" baseline="0"/>
                  <a:t> /V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0656"/>
        <c:crossesAt val="-1.2"/>
        <c:crossBetween val="midCat"/>
        <c:majorUnit val="2.0000000000000005E-3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20722936968649044"/>
          <c:y val="0.12712542663256185"/>
          <c:w val="0.51869272100498109"/>
          <c:h val="6.27030745792009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Voltímetro - Ajuste de V</a:t>
            </a:r>
            <a:r>
              <a:rPr lang="pt-PT" baseline="-25000"/>
              <a:t>E0</a:t>
            </a:r>
            <a:r>
              <a:rPr lang="pt-PT"/>
              <a:t>(i</a:t>
            </a:r>
            <a:r>
              <a:rPr lang="pt-PT" baseline="-25000"/>
              <a:t>0</a:t>
            </a:r>
            <a:r>
              <a:rPr lang="el-GR"/>
              <a:t>)</a:t>
            </a:r>
            <a:r>
              <a:rPr lang="pt-PT"/>
              <a:t> - Gama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9748300086811769"/>
                  <c:y val="0.1322662860707774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pt-PT" sz="900" b="0" i="0" u="none" strike="noStrike" baseline="0">
                        <a:effectLst/>
                      </a:rPr>
                      <a:t>V</a:t>
                    </a:r>
                    <a:r>
                      <a:rPr lang="pt-PT" sz="900" b="0" i="0" u="none" strike="noStrike" baseline="-25000">
                        <a:effectLst/>
                      </a:rPr>
                      <a:t>E0</a:t>
                    </a:r>
                    <a:r>
                      <a:rPr lang="en-US" baseline="0"/>
                      <a:t> = 2.1605</a:t>
                    </a:r>
                    <a:r>
                      <a:rPr lang="pt-PT" sz="900" b="0" i="0" u="none" strike="noStrike" baseline="0">
                        <a:effectLst/>
                      </a:rPr>
                      <a:t>i</a:t>
                    </a:r>
                    <a:r>
                      <a:rPr lang="pt-PT" sz="900" b="0" i="0" u="none" strike="noStrike" baseline="-25000">
                        <a:effectLst/>
                      </a:rPr>
                      <a:t>0</a:t>
                    </a:r>
                    <a:r>
                      <a:rPr lang="en-US" baseline="0"/>
                      <a:t> - 0.0055</a:t>
                    </a:r>
                  </a:p>
                </c:rich>
              </c:tx>
              <c:numFmt formatCode="General" sourceLinked="0"/>
              <c:spPr>
                <a:solidFill>
                  <a:sysClr val="window" lastClr="FFFFFF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i0!$C$20:$C$26</c:f>
              <c:numCache>
                <c:formatCode>0.0000</c:formatCode>
                <c:ptCount val="7"/>
                <c:pt idx="0">
                  <c:v>0.4259611249867763</c:v>
                </c:pt>
                <c:pt idx="1">
                  <c:v>0.50275292142363526</c:v>
                </c:pt>
                <c:pt idx="2">
                  <c:v>0.54673496321343862</c:v>
                </c:pt>
                <c:pt idx="3">
                  <c:v>0.57417070632347667</c:v>
                </c:pt>
                <c:pt idx="4">
                  <c:v>0.59524248840283578</c:v>
                </c:pt>
                <c:pt idx="5">
                  <c:v>0.63795173798650318</c:v>
                </c:pt>
                <c:pt idx="6">
                  <c:v>0.67274139162088142</c:v>
                </c:pt>
              </c:numCache>
            </c:numRef>
          </c:xVal>
          <c:yVal>
            <c:numRef>
              <c:f>i0!$G$20:$G$26</c:f>
              <c:numCache>
                <c:formatCode>0.0000</c:formatCode>
                <c:ptCount val="7"/>
                <c:pt idx="0">
                  <c:v>0.91499617485539264</c:v>
                </c:pt>
                <c:pt idx="1">
                  <c:v>1.080600583009282</c:v>
                </c:pt>
                <c:pt idx="2">
                  <c:v>1.175635734400754</c:v>
                </c:pt>
                <c:pt idx="3">
                  <c:v>1.2351741253766613</c:v>
                </c:pt>
                <c:pt idx="4">
                  <c:v>1.2805703807288376</c:v>
                </c:pt>
                <c:pt idx="5">
                  <c:v>1.3727771049955635</c:v>
                </c:pt>
                <c:pt idx="6">
                  <c:v>1.4481546878700495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C3-4AAD-A5DA-F6D581A43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120656"/>
        <c:axId val="1361121136"/>
      </c:scatterChart>
      <c:valAx>
        <c:axId val="1361120656"/>
        <c:scaling>
          <c:orientation val="minMax"/>
          <c:max val="0.70000000000000007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i</a:t>
                </a:r>
                <a:r>
                  <a:rPr lang="pt-PT" baseline="-25000"/>
                  <a:t>0</a:t>
                </a:r>
                <a:r>
                  <a:rPr lang="pt-PT" baseline="0"/>
                  <a:t> /A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1136"/>
        <c:crosses val="autoZero"/>
        <c:crossBetween val="midCat"/>
        <c:majorUnit val="3.0000000000000006E-2"/>
      </c:valAx>
      <c:valAx>
        <c:axId val="1361121136"/>
        <c:scaling>
          <c:orientation val="minMax"/>
          <c:max val="1.5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-25000"/>
                  <a:t>E0</a:t>
                </a:r>
                <a:r>
                  <a:rPr lang="pt-PT" baseline="0"/>
                  <a:t> /V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0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Voltímetro - Ajuste de log(V</a:t>
            </a:r>
            <a:r>
              <a:rPr lang="pt-PT" baseline="-25000"/>
              <a:t>E0</a:t>
            </a:r>
            <a:r>
              <a:rPr lang="pt-PT"/>
              <a:t>)[log(i</a:t>
            </a:r>
            <a:r>
              <a:rPr lang="pt-PT" baseline="-25000"/>
              <a:t>0</a:t>
            </a:r>
            <a:r>
              <a:rPr lang="el-GR"/>
              <a:t>)</a:t>
            </a:r>
            <a:r>
              <a:rPr lang="pt-PT"/>
              <a:t>] - Gama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3089930177887832"/>
                  <c:y val="9.0954307000335452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log(</a:t>
                    </a:r>
                    <a:r>
                      <a:rPr lang="pt-PT" sz="900" b="0" i="0" u="none" strike="noStrike" baseline="0">
                        <a:effectLst/>
                      </a:rPr>
                      <a:t>V</a:t>
                    </a:r>
                    <a:r>
                      <a:rPr lang="pt-PT" sz="900" b="0" i="0" u="none" strike="noStrike" baseline="-25000">
                        <a:effectLst/>
                      </a:rPr>
                      <a:t>E0</a:t>
                    </a:r>
                    <a:r>
                      <a:rPr lang="en-US" baseline="0"/>
                      <a:t>) = 1.0047log(</a:t>
                    </a:r>
                    <a:r>
                      <a:rPr lang="pt-PT" sz="900" b="0" i="0" u="none" strike="noStrike" baseline="0">
                        <a:effectLst/>
                      </a:rPr>
                      <a:t>i</a:t>
                    </a:r>
                    <a:r>
                      <a:rPr lang="pt-PT" sz="900" b="0" i="0" u="none" strike="noStrike" baseline="-25000">
                        <a:effectLst/>
                      </a:rPr>
                      <a:t>0</a:t>
                    </a:r>
                    <a:r>
                      <a:rPr lang="en-US" baseline="0"/>
                      <a:t>) + 0.3338</a:t>
                    </a:r>
                    <a:endParaRPr lang="en-US"/>
                  </a:p>
                </c:rich>
              </c:tx>
              <c:numFmt formatCode="General" sourceLinked="0"/>
              <c:spPr>
                <a:solidFill>
                  <a:sysClr val="window" lastClr="FFFFFF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i0!$D$20:$D$26</c:f>
              <c:numCache>
                <c:formatCode>0.0000</c:formatCode>
                <c:ptCount val="7"/>
                <c:pt idx="0">
                  <c:v>-0.37063003463934635</c:v>
                </c:pt>
                <c:pt idx="1">
                  <c:v>-0.29864539710222432</c:v>
                </c:pt>
                <c:pt idx="2">
                  <c:v>-0.26222315247547512</c:v>
                </c:pt>
                <c:pt idx="3">
                  <c:v>-0.24095896859081523</c:v>
                </c:pt>
                <c:pt idx="4">
                  <c:v>-0.22530607641998701</c:v>
                </c:pt>
                <c:pt idx="5">
                  <c:v>-0.19521217507029892</c:v>
                </c:pt>
                <c:pt idx="6" formatCode="0.00000">
                  <c:v>-0.1721518507481076</c:v>
                </c:pt>
              </c:numCache>
            </c:numRef>
          </c:xVal>
          <c:yVal>
            <c:numRef>
              <c:f>i0!$J$20:$J$26</c:f>
              <c:numCache>
                <c:formatCode>0.00000</c:formatCode>
                <c:ptCount val="7"/>
                <c:pt idx="0">
                  <c:v>-3.8580721499308947E-2</c:v>
                </c:pt>
                <c:pt idx="1">
                  <c:v>3.3665197515268162E-2</c:v>
                </c:pt>
                <c:pt idx="2">
                  <c:v>7.0272778333884789E-2</c:v>
                </c:pt>
                <c:pt idx="3">
                  <c:v>9.1728185417311925E-2</c:v>
                </c:pt>
                <c:pt idx="4">
                  <c:v>0.10740345248206781</c:v>
                </c:pt>
                <c:pt idx="5">
                  <c:v>0.13760002745611261</c:v>
                </c:pt>
                <c:pt idx="6">
                  <c:v>0.16081495447180261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EF-492C-9934-3221BA2DF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120656"/>
        <c:axId val="1361121136"/>
      </c:scatterChart>
      <c:valAx>
        <c:axId val="1361120656"/>
        <c:scaling>
          <c:orientation val="minMax"/>
          <c:max val="-0.16000000000000003"/>
          <c:min val="-0.3800000000000000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log(i</a:t>
                </a:r>
                <a:r>
                  <a:rPr lang="pt-PT" baseline="-25000"/>
                  <a:t>0</a:t>
                </a:r>
                <a:r>
                  <a:rPr lang="pt-PT" baseline="0"/>
                  <a:t>) /A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1136"/>
        <c:crossesAt val="-1"/>
        <c:crossBetween val="midCat"/>
        <c:majorUnit val="2.0000000000000004E-2"/>
      </c:valAx>
      <c:valAx>
        <c:axId val="1361121136"/>
        <c:scaling>
          <c:orientation val="minMax"/>
          <c:max val="0.2"/>
          <c:min val="-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log(V</a:t>
                </a:r>
                <a:r>
                  <a:rPr lang="pt-PT" baseline="-25000"/>
                  <a:t>E0</a:t>
                </a:r>
                <a:r>
                  <a:rPr lang="pt-PT" baseline="0"/>
                  <a:t>) /s.u.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0656"/>
        <c:crossesAt val="-1.2"/>
        <c:crossBetween val="midCat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Voltímetro - Resíduos de V</a:t>
            </a:r>
            <a:r>
              <a:rPr lang="pt-PT" baseline="-25000"/>
              <a:t>E0</a:t>
            </a:r>
            <a:r>
              <a:rPr lang="pt-PT"/>
              <a:t>(i</a:t>
            </a:r>
            <a:r>
              <a:rPr lang="pt-PT" baseline="-25000"/>
              <a:t>0</a:t>
            </a:r>
            <a:r>
              <a:rPr lang="el-GR"/>
              <a:t>)</a:t>
            </a:r>
            <a:r>
              <a:rPr lang="pt-PT"/>
              <a:t> - Gama</a:t>
            </a:r>
            <a:r>
              <a:rPr lang="pt-PT" baseline="0"/>
              <a:t> 2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077595833958422"/>
          <c:y val="0.21721655173167356"/>
          <c:w val="0.80405082025334818"/>
          <c:h val="0.60323696003430971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i0!$I$3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i0!$I$3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i0!$C$20:$C$26</c:f>
              <c:numCache>
                <c:formatCode>0.0000</c:formatCode>
                <c:ptCount val="7"/>
                <c:pt idx="0">
                  <c:v>0.4259611249867763</c:v>
                </c:pt>
                <c:pt idx="1">
                  <c:v>0.50275292142363526</c:v>
                </c:pt>
                <c:pt idx="2">
                  <c:v>0.54673496321343862</c:v>
                </c:pt>
                <c:pt idx="3">
                  <c:v>0.57417070632347667</c:v>
                </c:pt>
                <c:pt idx="4">
                  <c:v>0.59524248840283578</c:v>
                </c:pt>
                <c:pt idx="5">
                  <c:v>0.63795173798650318</c:v>
                </c:pt>
                <c:pt idx="6">
                  <c:v>0.67274139162088142</c:v>
                </c:pt>
              </c:numCache>
            </c:numRef>
          </c:xVal>
          <c:yVal>
            <c:numRef>
              <c:f>i0!$AU$13:$AU$19</c:f>
              <c:numCache>
                <c:formatCode>0.0000</c:formatCode>
                <c:ptCount val="7"/>
                <c:pt idx="0">
                  <c:v>1.5158810879845053E-4</c:v>
                </c:pt>
                <c:pt idx="1">
                  <c:v>-1.5602805006786902E-4</c:v>
                </c:pt>
                <c:pt idx="2">
                  <c:v>-1.4599555595729008E-4</c:v>
                </c:pt>
                <c:pt idx="3">
                  <c:v>1.1627623638710283E-4</c:v>
                </c:pt>
                <c:pt idx="4">
                  <c:v>-1.3972320461519416E-5</c:v>
                </c:pt>
                <c:pt idx="5">
                  <c:v>-8.244389618905501E-5</c:v>
                </c:pt>
                <c:pt idx="6">
                  <c:v>1.3057547749029119E-4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92-4ACA-99E3-0D49BEA2DCF9}"/>
            </c:ext>
          </c:extLst>
        </c:ser>
        <c:ser>
          <c:idx val="1"/>
          <c:order val="1"/>
          <c:tx>
            <c:v>u(VE0)</c:v>
          </c:tx>
          <c:spPr>
            <a:ln w="22225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0.4</c:v>
              </c:pt>
              <c:pt idx="1">
                <c:v>0.7</c:v>
              </c:pt>
            </c:numLit>
          </c:xVal>
          <c:yVal>
            <c:numRef>
              <c:f>(i0!$AV$40,i0!$AV$40)</c:f>
              <c:numCache>
                <c:formatCode>0.0000</c:formatCode>
                <c:ptCount val="2"/>
                <c:pt idx="0">
                  <c:v>2.9148001608949003E-4</c:v>
                </c:pt>
                <c:pt idx="1">
                  <c:v>2.9148001608949003E-4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92-4ACA-99E3-0D49BEA2DCF9}"/>
            </c:ext>
          </c:extLst>
        </c:ser>
        <c:ser>
          <c:idx val="2"/>
          <c:order val="2"/>
          <c:tx>
            <c:v>-u</c:v>
          </c:tx>
          <c:spPr>
            <a:ln w="22225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0.4</c:v>
              </c:pt>
              <c:pt idx="1">
                <c:v>0.7</c:v>
              </c:pt>
            </c:numLit>
          </c:xVal>
          <c:yVal>
            <c:numRef>
              <c:f>(i0!$AV$41,i0!$AV$41)</c:f>
              <c:numCache>
                <c:formatCode>0.0000</c:formatCode>
                <c:ptCount val="2"/>
                <c:pt idx="0">
                  <c:v>-2.9148001608949003E-4</c:v>
                </c:pt>
                <c:pt idx="1">
                  <c:v>-2.9148001608949003E-4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392-4ACA-99E3-0D49BEA2D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120656"/>
        <c:axId val="1361121136"/>
      </c:scatterChart>
      <c:valAx>
        <c:axId val="1361120656"/>
        <c:scaling>
          <c:orientation val="minMax"/>
          <c:max val="0.70000000000000007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i</a:t>
                </a:r>
                <a:r>
                  <a:rPr lang="pt-PT" baseline="-25000"/>
                  <a:t>0</a:t>
                </a:r>
                <a:r>
                  <a:rPr lang="pt-PT" baseline="0"/>
                  <a:t> /A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1136"/>
        <c:crossesAt val="-1.2000000000000003E-3"/>
        <c:crossBetween val="midCat"/>
        <c:majorUnit val="4.0000000000000008E-2"/>
      </c:valAx>
      <c:valAx>
        <c:axId val="136112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-25000"/>
                  <a:t>E0</a:t>
                </a:r>
                <a:r>
                  <a:rPr lang="pt-PT" baseline="0"/>
                  <a:t> /V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0656"/>
        <c:crosses val="autoZero"/>
        <c:crossBetween val="midCat"/>
        <c:majorUnit val="1.0000000000000003E-4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23946316455146821"/>
          <c:y val="0.11912230093983091"/>
          <c:w val="0.46354564985995672"/>
          <c:h val="8.56473988360356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Voltímetro - Resíduos de log(V</a:t>
            </a:r>
            <a:r>
              <a:rPr lang="pt-PT" baseline="-25000"/>
              <a:t>E0</a:t>
            </a:r>
            <a:r>
              <a:rPr lang="pt-PT"/>
              <a:t>)[log(i</a:t>
            </a:r>
            <a:r>
              <a:rPr lang="pt-PT" baseline="-25000"/>
              <a:t>0</a:t>
            </a:r>
            <a:r>
              <a:rPr lang="el-GR"/>
              <a:t>)</a:t>
            </a:r>
            <a:r>
              <a:rPr lang="pt-PT"/>
              <a:t>] - Gama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865720276782666"/>
          <c:y val="0.18776087265778812"/>
          <c:w val="0.79264298814509382"/>
          <c:h val="0.61415873562269596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i0!$K$20:$K$26</c:f>
                <c:numCache>
                  <c:formatCode>General</c:formatCode>
                  <c:ptCount val="7"/>
                  <c:pt idx="0">
                    <c:v>6.7124340325077543E-5</c:v>
                  </c:pt>
                  <c:pt idx="1">
                    <c:v>5.6837388025553167E-5</c:v>
                  </c:pt>
                  <c:pt idx="2">
                    <c:v>5.2242810285486798E-5</c:v>
                  </c:pt>
                  <c:pt idx="3">
                    <c:v>4.9724580020981426E-5</c:v>
                  </c:pt>
                  <c:pt idx="4">
                    <c:v>4.7961842286388935E-5</c:v>
                  </c:pt>
                  <c:pt idx="5">
                    <c:v>4.4740340156923023E-5</c:v>
                  </c:pt>
                  <c:pt idx="6">
                    <c:v>4.2411570498364422E-5</c:v>
                  </c:pt>
                </c:numCache>
              </c:numRef>
            </c:plus>
            <c:minus>
              <c:numRef>
                <c:f>i0!$K$20:$K$26</c:f>
                <c:numCache>
                  <c:formatCode>General</c:formatCode>
                  <c:ptCount val="7"/>
                  <c:pt idx="0">
                    <c:v>6.7124340325077543E-5</c:v>
                  </c:pt>
                  <c:pt idx="1">
                    <c:v>5.6837388025553167E-5</c:v>
                  </c:pt>
                  <c:pt idx="2">
                    <c:v>5.2242810285486798E-5</c:v>
                  </c:pt>
                  <c:pt idx="3">
                    <c:v>4.9724580020981426E-5</c:v>
                  </c:pt>
                  <c:pt idx="4">
                    <c:v>4.7961842286388935E-5</c:v>
                  </c:pt>
                  <c:pt idx="5">
                    <c:v>4.4740340156923023E-5</c:v>
                  </c:pt>
                  <c:pt idx="6">
                    <c:v>4.2411570498364422E-5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i0!$D$20:$D$26</c:f>
              <c:numCache>
                <c:formatCode>0.0000</c:formatCode>
                <c:ptCount val="7"/>
                <c:pt idx="0">
                  <c:v>-0.37063003463934635</c:v>
                </c:pt>
                <c:pt idx="1">
                  <c:v>-0.29864539710222432</c:v>
                </c:pt>
                <c:pt idx="2">
                  <c:v>-0.26222315247547512</c:v>
                </c:pt>
                <c:pt idx="3">
                  <c:v>-0.24095896859081523</c:v>
                </c:pt>
                <c:pt idx="4">
                  <c:v>-0.22530607641998701</c:v>
                </c:pt>
                <c:pt idx="5">
                  <c:v>-0.19521217507029892</c:v>
                </c:pt>
                <c:pt idx="6" formatCode="0.00000">
                  <c:v>-0.1721518507481076</c:v>
                </c:pt>
              </c:numCache>
            </c:numRef>
          </c:xVal>
          <c:yVal>
            <c:numRef>
              <c:f>i0!$AW$13:$AW$19</c:f>
              <c:numCache>
                <c:formatCode>0.00000</c:formatCode>
                <c:ptCount val="7"/>
                <c:pt idx="0">
                  <c:v>2.6578519638685572E-5</c:v>
                </c:pt>
                <c:pt idx="1">
                  <c:v>-4.8276767658318731E-5</c:v>
                </c:pt>
                <c:pt idx="2">
                  <c:v>-3.3016523836471023E-5</c:v>
                </c:pt>
                <c:pt idx="3">
                  <c:v>5.8912239053410254E-5</c:v>
                </c:pt>
                <c:pt idx="4">
                  <c:v>8.1949745243392602E-6</c:v>
                </c:pt>
                <c:pt idx="5">
                  <c:v>-2.965675464644546E-5</c:v>
                </c:pt>
                <c:pt idx="6">
                  <c:v>1.7264312924786251E-5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95-4851-983D-34466B154903}"/>
            </c:ext>
          </c:extLst>
        </c:ser>
        <c:ser>
          <c:idx val="1"/>
          <c:order val="1"/>
          <c:tx>
            <c:v>u(log(VE0))</c:v>
          </c:tx>
          <c:spPr>
            <a:ln w="22225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-0.38</c:v>
              </c:pt>
              <c:pt idx="1">
                <c:v>-0.16</c:v>
              </c:pt>
            </c:numLit>
          </c:xVal>
          <c:yVal>
            <c:numRef>
              <c:f>(i0!$AV$57,i0!$AV$57)</c:f>
              <c:numCache>
                <c:formatCode>0.00000</c:formatCode>
                <c:ptCount val="2"/>
                <c:pt idx="0">
                  <c:v>8.4107283692352568E-5</c:v>
                </c:pt>
                <c:pt idx="1">
                  <c:v>8.4107283692352568E-5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95-4851-983D-34466B154903}"/>
            </c:ext>
          </c:extLst>
        </c:ser>
        <c:ser>
          <c:idx val="2"/>
          <c:order val="2"/>
          <c:tx>
            <c:v>-u</c:v>
          </c:tx>
          <c:spPr>
            <a:ln w="22225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-0.38</c:v>
              </c:pt>
              <c:pt idx="1">
                <c:v>-0.16</c:v>
              </c:pt>
            </c:numLit>
          </c:xVal>
          <c:yVal>
            <c:numRef>
              <c:f>(i0!$AV$58,i0!$AV$58)</c:f>
              <c:numCache>
                <c:formatCode>0.00000</c:formatCode>
                <c:ptCount val="2"/>
                <c:pt idx="0">
                  <c:v>-8.4107283692352568E-5</c:v>
                </c:pt>
                <c:pt idx="1">
                  <c:v>-8.4107283692352568E-5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195-4851-983D-34466B1549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120656"/>
        <c:axId val="1361121136"/>
      </c:scatterChart>
      <c:valAx>
        <c:axId val="1361120656"/>
        <c:scaling>
          <c:orientation val="minMax"/>
          <c:max val="-0.16000000000000003"/>
          <c:min val="-0.3800000000000000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i</a:t>
                </a:r>
                <a:r>
                  <a:rPr lang="pt-PT" baseline="-25000"/>
                  <a:t>0</a:t>
                </a:r>
                <a:r>
                  <a:rPr lang="pt-PT" baseline="0"/>
                  <a:t> /A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1136"/>
        <c:crossesAt val="-8.0000000000000026E-4"/>
        <c:crossBetween val="midCat"/>
        <c:majorUnit val="2.0000000000000004E-2"/>
      </c:valAx>
      <c:valAx>
        <c:axId val="136112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-25000"/>
                  <a:t>E0</a:t>
                </a:r>
                <a:r>
                  <a:rPr lang="pt-PT" baseline="0"/>
                  <a:t> /V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0656"/>
        <c:crossesAt val="-1.2"/>
        <c:crossBetween val="midCat"/>
        <c:majorUnit val="5.0000000000000023E-5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2244498003843291"/>
          <c:y val="0.12603905603745783"/>
          <c:w val="0.51476103811882912"/>
          <c:h val="6.13389487290717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Voltímetro - Ajuste de V</a:t>
            </a:r>
            <a:r>
              <a:rPr lang="pt-PT" baseline="-25000"/>
              <a:t>E0</a:t>
            </a:r>
            <a:r>
              <a:rPr lang="pt-PT"/>
              <a:t>(n</a:t>
            </a:r>
            <a:r>
              <a:rPr lang="el-GR"/>
              <a:t>)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4910645038508086"/>
                  <c:y val="7.6536964273737393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pt-PT" sz="900" b="0" i="0" u="none" strike="noStrike" baseline="0">
                        <a:effectLst/>
                      </a:rPr>
                      <a:t>V</a:t>
                    </a:r>
                    <a:r>
                      <a:rPr lang="pt-PT" sz="900" b="0" i="0" u="none" strike="noStrike" baseline="-25000">
                        <a:effectLst/>
                      </a:rPr>
                      <a:t>E0</a:t>
                    </a:r>
                    <a:r>
                      <a:rPr lang="pt-PT" sz="900" b="0" i="0" u="none" strike="noStrike" baseline="0">
                        <a:effectLst/>
                      </a:rPr>
                      <a:t> </a:t>
                    </a:r>
                    <a:r>
                      <a:rPr lang="en-US" baseline="0"/>
                      <a:t> = 4.74E-03n + 0.011</a:t>
                    </a:r>
                    <a:endParaRPr lang="en-US"/>
                  </a:p>
                </c:rich>
              </c:tx>
              <c:numFmt formatCode="General" sourceLinked="0"/>
              <c:spPr>
                <a:solidFill>
                  <a:sysClr val="window" lastClr="FFFFFF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n!$C$13:$C$17</c:f>
              <c:numCache>
                <c:formatCode>General</c:formatCode>
                <c:ptCount val="5"/>
                <c:pt idx="0">
                  <c:v>300</c:v>
                </c:pt>
                <c:pt idx="1">
                  <c:v>200</c:v>
                </c:pt>
                <c:pt idx="2">
                  <c:v>100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n!$F$13:$F$17</c:f>
              <c:numCache>
                <c:formatCode>0.000</c:formatCode>
                <c:ptCount val="5"/>
                <c:pt idx="0">
                  <c:v>1.4385380356459125</c:v>
                </c:pt>
                <c:pt idx="1">
                  <c:v>0.96279659326360312</c:v>
                </c:pt>
                <c:pt idx="2">
                  <c:v>0.48210540341298813</c:v>
                </c:pt>
                <c:pt idx="3">
                  <c:v>1.8995716569795413</c:v>
                </c:pt>
                <c:pt idx="4">
                  <c:v>2.3846469088735129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4F1-4E84-AE66-A67AB0AF2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120656"/>
        <c:axId val="1361121136"/>
      </c:scatterChart>
      <c:valAx>
        <c:axId val="1361120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 /s.u.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1136"/>
        <c:crosses val="autoZero"/>
        <c:crossBetween val="midCat"/>
      </c:valAx>
      <c:valAx>
        <c:axId val="136112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-25000"/>
                  <a:t>E0</a:t>
                </a:r>
                <a:r>
                  <a:rPr lang="pt-PT" baseline="0"/>
                  <a:t> /V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0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Voltímetro - Ajuste de log(V</a:t>
            </a:r>
            <a:r>
              <a:rPr lang="pt-PT" baseline="-25000"/>
              <a:t>E0</a:t>
            </a:r>
            <a:r>
              <a:rPr lang="pt-PT" baseline="0"/>
              <a:t>)[log(</a:t>
            </a:r>
            <a:r>
              <a:rPr lang="pt-PT"/>
              <a:t>n</a:t>
            </a:r>
            <a:r>
              <a:rPr lang="el-GR"/>
              <a:t>)</a:t>
            </a:r>
            <a:r>
              <a:rPr lang="pt-PT"/>
              <a:t>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1840433781528426"/>
                  <c:y val="0.1245367782062322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log(</a:t>
                    </a:r>
                    <a:r>
                      <a:rPr lang="pt-PT" sz="900" b="0" i="0" u="none" strike="noStrike" baseline="0">
                        <a:effectLst/>
                      </a:rPr>
                      <a:t>V</a:t>
                    </a:r>
                    <a:r>
                      <a:rPr lang="pt-PT" sz="900" b="0" i="0" u="none" strike="noStrike" baseline="-25000">
                        <a:effectLst/>
                      </a:rPr>
                      <a:t>E0</a:t>
                    </a:r>
                    <a:r>
                      <a:rPr lang="en-US" baseline="0"/>
                      <a:t>) = 0.991log(n) - 2.299</a:t>
                    </a:r>
                    <a:endParaRPr lang="en-US"/>
                  </a:p>
                </c:rich>
              </c:tx>
              <c:numFmt formatCode="General" sourceLinked="0"/>
              <c:spPr>
                <a:solidFill>
                  <a:sysClr val="window" lastClr="FFFFFF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n!$D$13:$D$17</c:f>
              <c:numCache>
                <c:formatCode>0.00</c:formatCode>
                <c:ptCount val="5"/>
                <c:pt idx="0">
                  <c:v>2.4771212547196626</c:v>
                </c:pt>
                <c:pt idx="1">
                  <c:v>2.3010299956639813</c:v>
                </c:pt>
                <c:pt idx="2">
                  <c:v>2</c:v>
                </c:pt>
                <c:pt idx="3">
                  <c:v>2.6020599913279625</c:v>
                </c:pt>
                <c:pt idx="4">
                  <c:v>2.6989700043360187</c:v>
                </c:pt>
              </c:numCache>
            </c:numRef>
          </c:xVal>
          <c:yVal>
            <c:numRef>
              <c:f>n!$I$13:$I$17</c:f>
              <c:numCache>
                <c:formatCode>0.0000E+00</c:formatCode>
                <c:ptCount val="5"/>
                <c:pt idx="0">
                  <c:v>0.15792134933566196</c:v>
                </c:pt>
                <c:pt idx="1">
                  <c:v>-1.6465455091477937E-2</c:v>
                </c:pt>
                <c:pt idx="2" formatCode="0.000E+00">
                  <c:v>-0.3168580009391182</c:v>
                </c:pt>
                <c:pt idx="3">
                  <c:v>0.27865568096198295</c:v>
                </c:pt>
                <c:pt idx="4">
                  <c:v>0.37742408279747264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53-4587-AFDC-7480741984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120656"/>
        <c:axId val="1361121136"/>
      </c:scatterChart>
      <c:valAx>
        <c:axId val="1361120656"/>
        <c:scaling>
          <c:orientation val="minMax"/>
          <c:min val="1.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log(n) /s.u.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1136"/>
        <c:crossesAt val="-0.4"/>
        <c:crossBetween val="midCat"/>
      </c:valAx>
      <c:valAx>
        <c:axId val="136112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log(V</a:t>
                </a:r>
                <a:r>
                  <a:rPr lang="pt-PT" baseline="-25000"/>
                  <a:t>E0</a:t>
                </a:r>
                <a:r>
                  <a:rPr lang="pt-PT" baseline="0"/>
                  <a:t>) /s.u.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0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Osciloscópio - Ajuste de V</a:t>
            </a:r>
            <a:r>
              <a:rPr lang="pt-PT" baseline="-25000"/>
              <a:t>E0</a:t>
            </a:r>
            <a:r>
              <a:rPr lang="pt-PT"/>
              <a:t>(n</a:t>
            </a:r>
            <a:r>
              <a:rPr lang="el-GR"/>
              <a:t>)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0114853524801446"/>
                  <c:y val="9.7871861900255527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pt-PT" sz="900" b="0" i="0" u="none" strike="noStrike" baseline="0">
                        <a:effectLst/>
                      </a:rPr>
                      <a:t>V</a:t>
                    </a:r>
                    <a:r>
                      <a:rPr lang="pt-PT" sz="900" b="0" i="0" u="none" strike="noStrike" baseline="-25000">
                        <a:effectLst/>
                      </a:rPr>
                      <a:t>E0</a:t>
                    </a:r>
                    <a:r>
                      <a:rPr lang="en-US" baseline="0"/>
                      <a:t> = 4.78E-03n + 0.02</a:t>
                    </a:r>
                    <a:endParaRPr lang="en-US"/>
                  </a:p>
                </c:rich>
              </c:tx>
              <c:numFmt formatCode="General" sourceLinked="0"/>
              <c:spPr>
                <a:solidFill>
                  <a:sysClr val="window" lastClr="FFFFFF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n!$C$13:$C$17</c:f>
              <c:numCache>
                <c:formatCode>General</c:formatCode>
                <c:ptCount val="5"/>
                <c:pt idx="0">
                  <c:v>300</c:v>
                </c:pt>
                <c:pt idx="1">
                  <c:v>200</c:v>
                </c:pt>
                <c:pt idx="2">
                  <c:v>100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n!$N$13:$N$17</c:f>
              <c:numCache>
                <c:formatCode>0.000</c:formatCode>
                <c:ptCount val="5"/>
                <c:pt idx="0">
                  <c:v>1.46</c:v>
                </c:pt>
                <c:pt idx="1">
                  <c:v>0.98</c:v>
                </c:pt>
                <c:pt idx="2">
                  <c:v>0.5</c:v>
                </c:pt>
                <c:pt idx="3">
                  <c:v>1.92</c:v>
                </c:pt>
                <c:pt idx="4">
                  <c:v>2.42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98-4A1F-9250-1A28C5EA56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120656"/>
        <c:axId val="1361121136"/>
      </c:scatterChart>
      <c:valAx>
        <c:axId val="1361120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 /s.u.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1136"/>
        <c:crosses val="autoZero"/>
        <c:crossBetween val="midCat"/>
      </c:valAx>
      <c:valAx>
        <c:axId val="136112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-25000"/>
                  <a:t>E0</a:t>
                </a:r>
                <a:r>
                  <a:rPr lang="pt-PT" baseline="0"/>
                  <a:t> /V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0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Osciloscópio - Ajuste de log(V</a:t>
            </a:r>
            <a:r>
              <a:rPr lang="pt-PT" baseline="-25000"/>
              <a:t>E0</a:t>
            </a:r>
            <a:r>
              <a:rPr lang="pt-PT" baseline="0"/>
              <a:t>)[log(</a:t>
            </a:r>
            <a:r>
              <a:rPr lang="pt-PT"/>
              <a:t>n</a:t>
            </a:r>
            <a:r>
              <a:rPr lang="el-GR"/>
              <a:t>)</a:t>
            </a:r>
            <a:r>
              <a:rPr lang="pt-PT"/>
              <a:t>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4450264680049691"/>
                  <c:y val="0.1169247911962908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log(</a:t>
                    </a:r>
                    <a:r>
                      <a:rPr lang="pt-PT" sz="900" b="0" i="0" u="none" strike="noStrike" baseline="0">
                        <a:effectLst/>
                      </a:rPr>
                      <a:t>V</a:t>
                    </a:r>
                    <a:r>
                      <a:rPr lang="pt-PT" sz="900" b="0" i="0" u="none" strike="noStrike" baseline="-25000">
                        <a:effectLst/>
                      </a:rPr>
                      <a:t>E0</a:t>
                    </a:r>
                    <a:r>
                      <a:rPr lang="en-US" baseline="0"/>
                      <a:t>) = 0.977log(n) - 2.26</a:t>
                    </a:r>
                    <a:endParaRPr lang="en-US"/>
                  </a:p>
                </c:rich>
              </c:tx>
              <c:numFmt formatCode="General" sourceLinked="0"/>
              <c:spPr>
                <a:solidFill>
                  <a:sysClr val="window" lastClr="FFFFFF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n!$D$13:$D$17</c:f>
              <c:numCache>
                <c:formatCode>0.00</c:formatCode>
                <c:ptCount val="5"/>
                <c:pt idx="0">
                  <c:v>2.4771212547196626</c:v>
                </c:pt>
                <c:pt idx="1">
                  <c:v>2.3010299956639813</c:v>
                </c:pt>
                <c:pt idx="2">
                  <c:v>2</c:v>
                </c:pt>
                <c:pt idx="3">
                  <c:v>2.6020599913279625</c:v>
                </c:pt>
                <c:pt idx="4">
                  <c:v>2.6989700043360187</c:v>
                </c:pt>
              </c:numCache>
            </c:numRef>
          </c:xVal>
          <c:yVal>
            <c:numRef>
              <c:f>n!$Q$13:$Q$17</c:f>
              <c:numCache>
                <c:formatCode>0.000</c:formatCode>
                <c:ptCount val="5"/>
                <c:pt idx="0">
                  <c:v>0.16435285578443709</c:v>
                </c:pt>
                <c:pt idx="1">
                  <c:v>-8.7739243075051505E-3</c:v>
                </c:pt>
                <c:pt idx="2">
                  <c:v>-0.3010299956639812</c:v>
                </c:pt>
                <c:pt idx="3">
                  <c:v>0.28330122870354957</c:v>
                </c:pt>
                <c:pt idx="4">
                  <c:v>0.38381536598043126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41-4796-949F-62749E5873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120656"/>
        <c:axId val="1361121136"/>
      </c:scatterChart>
      <c:valAx>
        <c:axId val="1361120656"/>
        <c:scaling>
          <c:orientation val="minMax"/>
          <c:min val="1.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log(n) /s.u.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1136"/>
        <c:crossesAt val="-0.4"/>
        <c:crossBetween val="midCat"/>
      </c:valAx>
      <c:valAx>
        <c:axId val="136112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log(V</a:t>
                </a:r>
                <a:r>
                  <a:rPr lang="pt-PT" baseline="-25000"/>
                  <a:t>E0</a:t>
                </a:r>
                <a:r>
                  <a:rPr lang="pt-PT" baseline="0"/>
                  <a:t>) /s.u.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0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Voltímetro - Resíduos de V</a:t>
            </a:r>
            <a:r>
              <a:rPr lang="pt-PT" baseline="-25000"/>
              <a:t>E0</a:t>
            </a:r>
            <a:r>
              <a:rPr lang="pt-PT"/>
              <a:t>(n</a:t>
            </a:r>
            <a:r>
              <a:rPr lang="el-GR"/>
              <a:t>)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955947543366863"/>
          <c:y val="0.19618033049940684"/>
          <c:w val="0.78774561777686658"/>
          <c:h val="0.6062452657918469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dPt>
            <c:idx val="3"/>
            <c:marker>
              <c:symbol val="x"/>
              <c:size val="5"/>
              <c:spPr>
                <a:noFill/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1DA4-4291-A390-1284D72309C7}"/>
              </c:ext>
            </c:extLst>
          </c:dPt>
          <c:errBars>
            <c:errDir val="y"/>
            <c:errBarType val="both"/>
            <c:errValType val="cust"/>
            <c:noEndCap val="0"/>
            <c:plus>
              <c:numRef>
                <c:f>n!$I$4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n!$I$4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n!$C$13:$C$17</c:f>
              <c:numCache>
                <c:formatCode>General</c:formatCode>
                <c:ptCount val="5"/>
                <c:pt idx="0">
                  <c:v>300</c:v>
                </c:pt>
                <c:pt idx="1">
                  <c:v>200</c:v>
                </c:pt>
                <c:pt idx="2">
                  <c:v>100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n!$H$13:$H$17</c:f>
              <c:numCache>
                <c:formatCode>0.000</c:formatCode>
                <c:ptCount val="5"/>
                <c:pt idx="0">
                  <c:v>5.0063160108009264E-3</c:v>
                </c:pt>
                <c:pt idx="1">
                  <c:v>3.4506810921901554E-3</c:v>
                </c:pt>
                <c:pt idx="2">
                  <c:v>-3.0547012947260699E-3</c:v>
                </c:pt>
                <c:pt idx="3">
                  <c:v>-8.1458701192691496E-3</c:v>
                </c:pt>
                <c:pt idx="4">
                  <c:v>2.7435743110033606E-3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66-4FB0-B2AE-2109D9317F43}"/>
            </c:ext>
          </c:extLst>
        </c:ser>
        <c:ser>
          <c:idx val="1"/>
          <c:order val="1"/>
          <c:tx>
            <c:v>u(VE0)</c:v>
          </c:tx>
          <c:spPr>
            <a:ln w="22225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600</c:v>
              </c:pt>
            </c:numLit>
          </c:xVal>
          <c:yVal>
            <c:numRef>
              <c:f>(n!$D$26,n!$D$26)</c:f>
              <c:numCache>
                <c:formatCode>0.00</c:formatCode>
                <c:ptCount val="2"/>
                <c:pt idx="0">
                  <c:v>1.2658804577579027E-2</c:v>
                </c:pt>
                <c:pt idx="1">
                  <c:v>1.2658804577579027E-2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66-4FB0-B2AE-2109D9317F43}"/>
            </c:ext>
          </c:extLst>
        </c:ser>
        <c:ser>
          <c:idx val="2"/>
          <c:order val="2"/>
          <c:tx>
            <c:v>-u(y)</c:v>
          </c:tx>
          <c:spPr>
            <a:ln w="22225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600</c:v>
              </c:pt>
            </c:numLit>
          </c:xVal>
          <c:yVal>
            <c:numRef>
              <c:f>(n!$D$27,n!$D$27)</c:f>
              <c:numCache>
                <c:formatCode>0.00</c:formatCode>
                <c:ptCount val="2"/>
                <c:pt idx="0">
                  <c:v>-1.2658804577579027E-2</c:v>
                </c:pt>
                <c:pt idx="1">
                  <c:v>-1.2658804577579027E-2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266-4FB0-B2AE-2109D9317F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120656"/>
        <c:axId val="1361121136"/>
      </c:scatterChart>
      <c:valAx>
        <c:axId val="1361120656"/>
        <c:scaling>
          <c:orientation val="minMax"/>
          <c:max val="6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 /s.u.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1136"/>
        <c:crossesAt val="-1.5000000000000003E-2"/>
        <c:crossBetween val="midCat"/>
      </c:valAx>
      <c:valAx>
        <c:axId val="136112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-25000"/>
                  <a:t>E0</a:t>
                </a:r>
                <a:r>
                  <a:rPr lang="pt-PT" baseline="0"/>
                  <a:t> - V</a:t>
                </a:r>
                <a:r>
                  <a:rPr lang="pt-PT" baseline="-25000"/>
                  <a:t>E0|ajuste </a:t>
                </a:r>
                <a:r>
                  <a:rPr lang="pt-PT" baseline="0"/>
                  <a:t>/V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0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13992127862090173"/>
          <c:y val="0.10279949800751588"/>
          <c:w val="0.66909974071590528"/>
          <c:h val="9.6222933993313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Voltímetro - Resíduos de log(V</a:t>
            </a:r>
            <a:r>
              <a:rPr lang="pt-PT" baseline="-25000"/>
              <a:t>E0</a:t>
            </a:r>
            <a:r>
              <a:rPr lang="pt-PT" baseline="0"/>
              <a:t>)[log(</a:t>
            </a:r>
            <a:r>
              <a:rPr lang="pt-PT"/>
              <a:t>n</a:t>
            </a:r>
            <a:r>
              <a:rPr lang="el-GR"/>
              <a:t>)</a:t>
            </a:r>
            <a:r>
              <a:rPr lang="pt-PT"/>
              <a:t>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035819917006267"/>
          <c:y val="0.17811756375622451"/>
          <c:w val="0.78322351581382932"/>
          <c:h val="0.62460109723187196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dPt>
            <c:idx val="3"/>
            <c:marker>
              <c:symbol val="x"/>
              <c:size val="5"/>
              <c:spPr>
                <a:noFill/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4EA7-47D4-AEE6-88F26454B3D6}"/>
              </c:ext>
            </c:extLst>
          </c:dPt>
          <c:errBars>
            <c:errDir val="y"/>
            <c:errBarType val="both"/>
            <c:errValType val="cust"/>
            <c:noEndCap val="0"/>
            <c:plus>
              <c:numRef>
                <c:f>n!$J$13:$J$17</c:f>
                <c:numCache>
                  <c:formatCode>General</c:formatCode>
                  <c:ptCount val="5"/>
                  <c:pt idx="0">
                    <c:v>4.2695092597645667E-5</c:v>
                  </c:pt>
                  <c:pt idx="1">
                    <c:v>6.3791786413521122E-5</c:v>
                  </c:pt>
                  <c:pt idx="2">
                    <c:v>1.273964452634942E-4</c:v>
                  </c:pt>
                  <c:pt idx="3">
                    <c:v>3.2332823250688785E-5</c:v>
                  </c:pt>
                  <c:pt idx="4">
                    <c:v>2.5755810811484508E-5</c:v>
                  </c:pt>
                </c:numCache>
              </c:numRef>
            </c:plus>
            <c:minus>
              <c:numRef>
                <c:f>n!$J$13:$J$17</c:f>
                <c:numCache>
                  <c:formatCode>General</c:formatCode>
                  <c:ptCount val="5"/>
                  <c:pt idx="0">
                    <c:v>4.2695092597645667E-5</c:v>
                  </c:pt>
                  <c:pt idx="1">
                    <c:v>6.3791786413521122E-5</c:v>
                  </c:pt>
                  <c:pt idx="2">
                    <c:v>1.273964452634942E-4</c:v>
                  </c:pt>
                  <c:pt idx="3">
                    <c:v>3.2332823250688785E-5</c:v>
                  </c:pt>
                  <c:pt idx="4">
                    <c:v>2.5755810811484508E-5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n!$D$13:$D$17</c:f>
              <c:numCache>
                <c:formatCode>0.00</c:formatCode>
                <c:ptCount val="5"/>
                <c:pt idx="0">
                  <c:v>2.4771212547196626</c:v>
                </c:pt>
                <c:pt idx="1">
                  <c:v>2.3010299956639813</c:v>
                </c:pt>
                <c:pt idx="2">
                  <c:v>2</c:v>
                </c:pt>
                <c:pt idx="3">
                  <c:v>2.6020599913279625</c:v>
                </c:pt>
                <c:pt idx="4">
                  <c:v>2.6989700043360187</c:v>
                </c:pt>
              </c:numCache>
            </c:numRef>
          </c:xVal>
          <c:yVal>
            <c:numRef>
              <c:f>n!$L$13:$L$17</c:f>
              <c:numCache>
                <c:formatCode>0.000</c:formatCode>
                <c:ptCount val="5"/>
                <c:pt idx="0">
                  <c:v>1.0271205132415251E-3</c:v>
                </c:pt>
                <c:pt idx="1">
                  <c:v>1.2193250356090264E-3</c:v>
                </c:pt>
                <c:pt idx="2">
                  <c:v>-7.284337799022822E-4</c:v>
                </c:pt>
                <c:pt idx="3">
                  <c:v>-2.1043259430592598E-3</c:v>
                </c:pt>
                <c:pt idx="4">
                  <c:v>5.8631417411247888E-4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C4-428D-950B-2303C1656C26}"/>
            </c:ext>
          </c:extLst>
        </c:ser>
        <c:ser>
          <c:idx val="1"/>
          <c:order val="1"/>
          <c:tx>
            <c:v>u(log(VE0))</c:v>
          </c:tx>
          <c:spPr>
            <a:ln w="22225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1.9</c:v>
              </c:pt>
              <c:pt idx="1">
                <c:v>2.8</c:v>
              </c:pt>
            </c:numLit>
          </c:xVal>
          <c:yVal>
            <c:numRef>
              <c:f>(n!$D$43,n!$D$43)</c:f>
              <c:numCache>
                <c:formatCode>0.000</c:formatCode>
                <c:ptCount val="2"/>
                <c:pt idx="0">
                  <c:v>3.234047587422453E-3</c:v>
                </c:pt>
                <c:pt idx="1">
                  <c:v>3.234047587422453E-3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C4-428D-950B-2303C1656C26}"/>
            </c:ext>
          </c:extLst>
        </c:ser>
        <c:ser>
          <c:idx val="2"/>
          <c:order val="2"/>
          <c:tx>
            <c:v>-u(y)</c:v>
          </c:tx>
          <c:spPr>
            <a:ln w="22225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1.9</c:v>
              </c:pt>
              <c:pt idx="1">
                <c:v>2.8</c:v>
              </c:pt>
            </c:numLit>
          </c:xVal>
          <c:yVal>
            <c:numRef>
              <c:f>(n!$D$44,n!$D$44)</c:f>
              <c:numCache>
                <c:formatCode>0.000</c:formatCode>
                <c:ptCount val="2"/>
                <c:pt idx="0">
                  <c:v>-3.234047587422453E-3</c:v>
                </c:pt>
                <c:pt idx="1">
                  <c:v>-3.234047587422453E-3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4C4-428D-950B-2303C1656C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120656"/>
        <c:axId val="1361121136"/>
      </c:scatterChart>
      <c:valAx>
        <c:axId val="1361120656"/>
        <c:scaling>
          <c:orientation val="minMax"/>
          <c:max val="2.8"/>
          <c:min val="1.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log(n) /s.u.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1136"/>
        <c:crossesAt val="-4.000000000000001E-3"/>
        <c:crossBetween val="midCat"/>
      </c:valAx>
      <c:valAx>
        <c:axId val="136112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log(V</a:t>
                </a:r>
                <a:r>
                  <a:rPr lang="pt-PT" baseline="-25000"/>
                  <a:t>E0</a:t>
                </a:r>
                <a:r>
                  <a:rPr lang="pt-PT" baseline="0"/>
                  <a:t>) - log(V</a:t>
                </a:r>
                <a:r>
                  <a:rPr lang="pt-PT" baseline="-25000"/>
                  <a:t>E0</a:t>
                </a:r>
                <a:r>
                  <a:rPr lang="pt-PT" baseline="0"/>
                  <a:t>)</a:t>
                </a:r>
                <a:r>
                  <a:rPr lang="pt-PT" baseline="-25000"/>
                  <a:t>ajuste</a:t>
                </a:r>
                <a:r>
                  <a:rPr lang="pt-PT" baseline="0"/>
                  <a:t> /s.u.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0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16445065174935439"/>
          <c:y val="9.6446799158182772E-2"/>
          <c:w val="0.60233551024646836"/>
          <c:h val="7.90942125772242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Osciloscópio - Resíduos de V</a:t>
            </a:r>
            <a:r>
              <a:rPr lang="pt-PT" baseline="-25000"/>
              <a:t>E0</a:t>
            </a:r>
            <a:r>
              <a:rPr lang="pt-PT"/>
              <a:t>(n</a:t>
            </a:r>
            <a:r>
              <a:rPr lang="el-GR"/>
              <a:t>)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717470830312349"/>
          <c:y val="0.19007677150517377"/>
          <c:w val="0.79748531410400481"/>
          <c:h val="0.61405325274229838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dPt>
            <c:idx val="3"/>
            <c:marker>
              <c:symbol val="x"/>
              <c:size val="5"/>
              <c:spPr>
                <a:noFill/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A435-4A9B-826E-D8B07CF7B8F5}"/>
              </c:ext>
            </c:extLst>
          </c:dPt>
          <c:errBars>
            <c:errDir val="y"/>
            <c:errBarType val="both"/>
            <c:errValType val="cust"/>
            <c:noEndCap val="0"/>
            <c:plus>
              <c:numRef>
                <c:f>n!$I$7</c:f>
                <c:numCache>
                  <c:formatCode>General</c:formatCode>
                  <c:ptCount val="1"/>
                  <c:pt idx="0">
                    <c:v>5.0000000000000001E-3</c:v>
                  </c:pt>
                </c:numCache>
              </c:numRef>
            </c:plus>
            <c:minus>
              <c:numRef>
                <c:f>n!$I$7</c:f>
                <c:numCache>
                  <c:formatCode>General</c:formatCode>
                  <c:ptCount val="1"/>
                  <c:pt idx="0">
                    <c:v>5.0000000000000001E-3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n!$C$13:$C$17</c:f>
              <c:numCache>
                <c:formatCode>General</c:formatCode>
                <c:ptCount val="5"/>
                <c:pt idx="0">
                  <c:v>300</c:v>
                </c:pt>
                <c:pt idx="1">
                  <c:v>200</c:v>
                </c:pt>
                <c:pt idx="2">
                  <c:v>100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n!$P$13:$P$17</c:f>
              <c:numCache>
                <c:formatCode>0.000</c:formatCode>
                <c:ptCount val="5"/>
                <c:pt idx="0">
                  <c:v>4.0000000000000036E-3</c:v>
                </c:pt>
                <c:pt idx="1">
                  <c:v>1.9999999999997797E-3</c:v>
                </c:pt>
                <c:pt idx="2">
                  <c:v>0</c:v>
                </c:pt>
                <c:pt idx="3">
                  <c:v>-1.4000000000000012E-2</c:v>
                </c:pt>
                <c:pt idx="4">
                  <c:v>8.0000000000000071E-3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D2-483F-8024-1746210EADF5}"/>
            </c:ext>
          </c:extLst>
        </c:ser>
        <c:ser>
          <c:idx val="1"/>
          <c:order val="1"/>
          <c:tx>
            <c:v>u(VE0)</c:v>
          </c:tx>
          <c:spPr>
            <a:ln w="22225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600</c:v>
              </c:pt>
            </c:numLit>
          </c:xVal>
          <c:yVal>
            <c:numRef>
              <c:f>(n!$D$60,n!$D$60)</c:f>
              <c:numCache>
                <c:formatCode>0.00</c:formatCode>
                <c:ptCount val="2"/>
                <c:pt idx="0">
                  <c:v>1.9321835661585986E-2</c:v>
                </c:pt>
                <c:pt idx="1">
                  <c:v>1.9321835661585986E-2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D2-483F-8024-1746210EADF5}"/>
            </c:ext>
          </c:extLst>
        </c:ser>
        <c:ser>
          <c:idx val="2"/>
          <c:order val="2"/>
          <c:tx>
            <c:v>-u(y)</c:v>
          </c:tx>
          <c:spPr>
            <a:ln w="22225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600</c:v>
              </c:pt>
            </c:numLit>
          </c:xVal>
          <c:yVal>
            <c:numRef>
              <c:f>(n!$D$61,n!$D$61)</c:f>
              <c:numCache>
                <c:formatCode>0.00</c:formatCode>
                <c:ptCount val="2"/>
                <c:pt idx="0">
                  <c:v>-1.9321835661585986E-2</c:v>
                </c:pt>
                <c:pt idx="1">
                  <c:v>-1.9321835661585986E-2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0D2-483F-8024-1746210EAD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120656"/>
        <c:axId val="1361121136"/>
      </c:scatterChart>
      <c:valAx>
        <c:axId val="1361120656"/>
        <c:scaling>
          <c:orientation val="minMax"/>
          <c:max val="6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 /s.u.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1136"/>
        <c:crossesAt val="-3.0000000000000006E-2"/>
        <c:crossBetween val="midCat"/>
      </c:valAx>
      <c:valAx>
        <c:axId val="136112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-25000"/>
                  <a:t>E0</a:t>
                </a:r>
                <a:r>
                  <a:rPr lang="pt-PT" baseline="0"/>
                  <a:t> - V</a:t>
                </a:r>
                <a:r>
                  <a:rPr lang="pt-PT" baseline="-25000"/>
                  <a:t>E0|ajuste </a:t>
                </a:r>
                <a:r>
                  <a:rPr lang="pt-PT" baseline="0"/>
                  <a:t>/V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0656"/>
        <c:crosses val="autoZero"/>
        <c:crossBetween val="midCat"/>
        <c:majorUnit val="1.0000000000000002E-2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1137399131745689"/>
          <c:y val="0.1062208503944005"/>
          <c:w val="0.73575058589095843"/>
          <c:h val="8.21593692114413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Osciloscópio - Resíduos de log(V</a:t>
            </a:r>
            <a:r>
              <a:rPr lang="pt-PT" baseline="-25000"/>
              <a:t>E0</a:t>
            </a:r>
            <a:r>
              <a:rPr lang="pt-PT" baseline="0"/>
              <a:t>)[log(</a:t>
            </a:r>
            <a:r>
              <a:rPr lang="pt-PT"/>
              <a:t>n</a:t>
            </a:r>
            <a:r>
              <a:rPr lang="el-GR"/>
              <a:t>)</a:t>
            </a:r>
            <a:r>
              <a:rPr lang="pt-PT"/>
              <a:t>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991870691865767"/>
          <c:y val="0.19890915640078449"/>
          <c:w val="0.79999303735881533"/>
          <c:h val="0.60076822273272878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n!$R$13:$R$17</c:f>
                <c:numCache>
                  <c:formatCode>General</c:formatCode>
                  <c:ptCount val="5"/>
                  <c:pt idx="0">
                    <c:v>1.4873098695316843E-3</c:v>
                  </c:pt>
                  <c:pt idx="1">
                    <c:v>2.2157881729757745E-3</c:v>
                  </c:pt>
                  <c:pt idx="2">
                    <c:v>4.3429448190325176E-3</c:v>
                  </c:pt>
                  <c:pt idx="3">
                    <c:v>1.1309752132897183E-3</c:v>
                  </c:pt>
                  <c:pt idx="4">
                    <c:v>8.9730264856043766E-4</c:v>
                  </c:pt>
                </c:numCache>
              </c:numRef>
            </c:plus>
            <c:minus>
              <c:numRef>
                <c:f>n!$R$13:$R$17</c:f>
                <c:numCache>
                  <c:formatCode>General</c:formatCode>
                  <c:ptCount val="5"/>
                  <c:pt idx="0">
                    <c:v>1.4873098695316843E-3</c:v>
                  </c:pt>
                  <c:pt idx="1">
                    <c:v>2.2157881729757745E-3</c:v>
                  </c:pt>
                  <c:pt idx="2">
                    <c:v>4.3429448190325176E-3</c:v>
                  </c:pt>
                  <c:pt idx="3">
                    <c:v>1.1309752132897183E-3</c:v>
                  </c:pt>
                  <c:pt idx="4">
                    <c:v>8.9730264856043766E-4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n!$D$13:$D$17</c:f>
              <c:numCache>
                <c:formatCode>0.00</c:formatCode>
                <c:ptCount val="5"/>
                <c:pt idx="0">
                  <c:v>2.4771212547196626</c:v>
                </c:pt>
                <c:pt idx="1">
                  <c:v>2.3010299956639813</c:v>
                </c:pt>
                <c:pt idx="2">
                  <c:v>2</c:v>
                </c:pt>
                <c:pt idx="3">
                  <c:v>2.6020599913279625</c:v>
                </c:pt>
                <c:pt idx="4">
                  <c:v>2.6989700043360187</c:v>
                </c:pt>
              </c:numCache>
            </c:numRef>
          </c:xVal>
          <c:yVal>
            <c:numRef>
              <c:f>n!$T$13:$T$17</c:f>
              <c:numCache>
                <c:formatCode>0.000</c:formatCode>
                <c:ptCount val="5"/>
                <c:pt idx="0">
                  <c:v>1.4523747022993083E-4</c:v>
                </c:pt>
                <c:pt idx="1">
                  <c:v>-9.4307818021846686E-4</c:v>
                </c:pt>
                <c:pt idx="2">
                  <c:v>9.0254797280492349E-4</c:v>
                </c:pt>
                <c:pt idx="3">
                  <c:v>-2.9696226786627422E-3</c:v>
                </c:pt>
                <c:pt idx="4">
                  <c:v>2.8649154158466028E-3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D5-4D3D-A046-A86EB2467A0B}"/>
            </c:ext>
          </c:extLst>
        </c:ser>
        <c:ser>
          <c:idx val="1"/>
          <c:order val="1"/>
          <c:tx>
            <c:v>u(log(VE0))</c:v>
          </c:tx>
          <c:spPr>
            <a:ln w="22225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1.9</c:v>
              </c:pt>
              <c:pt idx="1">
                <c:v>2.8</c:v>
              </c:pt>
            </c:numLit>
          </c:xVal>
          <c:yVal>
            <c:numRef>
              <c:f>(n!$D$76,n!$D$76)</c:f>
              <c:numCache>
                <c:formatCode>0.000</c:formatCode>
                <c:ptCount val="2"/>
                <c:pt idx="0">
                  <c:v>5.0001976512349293E-3</c:v>
                </c:pt>
                <c:pt idx="1">
                  <c:v>5.0001976512349293E-3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D5-4D3D-A046-A86EB2467A0B}"/>
            </c:ext>
          </c:extLst>
        </c:ser>
        <c:ser>
          <c:idx val="2"/>
          <c:order val="2"/>
          <c:tx>
            <c:v>-u(y)</c:v>
          </c:tx>
          <c:spPr>
            <a:ln w="22225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1.9</c:v>
              </c:pt>
              <c:pt idx="1">
                <c:v>2.8</c:v>
              </c:pt>
            </c:numLit>
          </c:xVal>
          <c:yVal>
            <c:numRef>
              <c:f>(n!$D$77,n!$D$77)</c:f>
              <c:numCache>
                <c:formatCode>0.000</c:formatCode>
                <c:ptCount val="2"/>
                <c:pt idx="0">
                  <c:v>-5.0001976512349293E-3</c:v>
                </c:pt>
                <c:pt idx="1">
                  <c:v>-5.0001976512349293E-3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D5-4D3D-A046-A86EB2467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120656"/>
        <c:axId val="1361121136"/>
      </c:scatterChart>
      <c:valAx>
        <c:axId val="1361120656"/>
        <c:scaling>
          <c:orientation val="minMax"/>
          <c:max val="2.8"/>
          <c:min val="1.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log(n) /s.u.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1136"/>
        <c:crossesAt val="-6.0000000000000019E-3"/>
        <c:crossBetween val="midCat"/>
      </c:valAx>
      <c:valAx>
        <c:axId val="136112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log(V</a:t>
                </a:r>
                <a:r>
                  <a:rPr lang="pt-PT" baseline="-25000"/>
                  <a:t>E0</a:t>
                </a:r>
                <a:r>
                  <a:rPr lang="pt-PT" baseline="0"/>
                  <a:t>) - log(V</a:t>
                </a:r>
                <a:r>
                  <a:rPr lang="pt-PT" baseline="-25000"/>
                  <a:t>E0</a:t>
                </a:r>
                <a:r>
                  <a:rPr lang="pt-PT" baseline="0"/>
                  <a:t>)</a:t>
                </a:r>
                <a:r>
                  <a:rPr lang="pt-PT" baseline="-25000"/>
                  <a:t>ajuste</a:t>
                </a:r>
                <a:r>
                  <a:rPr lang="pt-PT" baseline="0"/>
                  <a:t> /s.u.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0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21502079452226944"/>
          <c:y val="0.10376015650060443"/>
          <c:w val="0.49651783030515051"/>
          <c:h val="0.102636205364770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Voltímetro - Ajuste de V</a:t>
            </a:r>
            <a:r>
              <a:rPr lang="pt-PT" baseline="-25000"/>
              <a:t>E0</a:t>
            </a:r>
            <a:r>
              <a:rPr lang="pt-PT"/>
              <a:t>(S</a:t>
            </a:r>
            <a:r>
              <a:rPr lang="el-GR"/>
              <a:t>)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2926740766890613"/>
                  <c:y val="0.2715766330910993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pt-PT" sz="900" b="0" i="0" u="none" strike="noStrike" baseline="0">
                        <a:effectLst/>
                      </a:rPr>
                      <a:t>V</a:t>
                    </a:r>
                    <a:r>
                      <a:rPr lang="pt-PT" sz="900" b="0" i="0" u="none" strike="noStrike" baseline="-25000">
                        <a:effectLst/>
                      </a:rPr>
                      <a:t>E0</a:t>
                    </a:r>
                    <a:r>
                      <a:rPr lang="en-US" baseline="0"/>
                      <a:t> = 435 S - 0.11</a:t>
                    </a:r>
                    <a:endParaRPr lang="en-US"/>
                  </a:p>
                </c:rich>
              </c:tx>
              <c:numFmt formatCode="General" sourceLinked="0"/>
              <c:spPr>
                <a:solidFill>
                  <a:sysClr val="window" lastClr="FFFFFF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S!$I$25:$I$27</c:f>
              <c:numCache>
                <c:formatCode>General</c:formatCode>
                <c:ptCount val="3"/>
                <c:pt idx="0">
                  <c:v>13.202543126711106</c:v>
                </c:pt>
                <c:pt idx="1">
                  <c:v>8.5529859993982118</c:v>
                </c:pt>
                <c:pt idx="2">
                  <c:v>5.3092915845667497</c:v>
                </c:pt>
              </c:numCache>
            </c:numRef>
          </c:xVal>
          <c:yVal>
            <c:numRef>
              <c:f>S!$I$13:$I$15</c:f>
              <c:numCache>
                <c:formatCode>0.0000</c:formatCode>
                <c:ptCount val="3"/>
                <c:pt idx="0">
                  <c:v>0.44971991283464424</c:v>
                </c:pt>
                <c:pt idx="1">
                  <c:v>0.29557063453597687</c:v>
                </c:pt>
                <c:pt idx="2">
                  <c:v>0.10026774157225245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61-4D54-AB67-4AE7B86B8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120656"/>
        <c:axId val="1361121136"/>
      </c:scatterChart>
      <c:valAx>
        <c:axId val="1361120656"/>
        <c:scaling>
          <c:orientation val="minMax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S x10</a:t>
                </a:r>
                <a:r>
                  <a:rPr lang="pt-PT" baseline="30000"/>
                  <a:t>-4</a:t>
                </a:r>
                <a:r>
                  <a:rPr lang="pt-PT" baseline="0"/>
                  <a:t> </a:t>
                </a:r>
                <a:r>
                  <a:rPr lang="pt-PT"/>
                  <a:t>/m</a:t>
                </a:r>
                <a:r>
                  <a:rPr lang="pt-PT" baseline="30000"/>
                  <a:t>2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1136"/>
        <c:crosses val="autoZero"/>
        <c:crossBetween val="midCat"/>
      </c:valAx>
      <c:valAx>
        <c:axId val="136112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-25000"/>
                  <a:t>E0</a:t>
                </a:r>
                <a:r>
                  <a:rPr lang="pt-PT" baseline="0"/>
                  <a:t> /V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0656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Voltímetro - Resíduos de V</a:t>
            </a:r>
            <a:r>
              <a:rPr lang="pt-PT" baseline="-25000"/>
              <a:t>E0</a:t>
            </a:r>
            <a:r>
              <a:rPr lang="pt-PT"/>
              <a:t>(S</a:t>
            </a:r>
            <a:r>
              <a:rPr lang="el-GR"/>
              <a:t>)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689264202196763"/>
          <c:y val="0.20408411892675857"/>
          <c:w val="0.79877209558678797"/>
          <c:h val="0.60347566437742606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S!$I$4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S!$I$4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S!$I$25:$I$27</c:f>
              <c:numCache>
                <c:formatCode>General</c:formatCode>
                <c:ptCount val="3"/>
                <c:pt idx="0">
                  <c:v>13.202543126711106</c:v>
                </c:pt>
                <c:pt idx="1">
                  <c:v>8.5529859993982118</c:v>
                </c:pt>
                <c:pt idx="2">
                  <c:v>5.3092915845667497</c:v>
                </c:pt>
              </c:numCache>
            </c:numRef>
          </c:xVal>
          <c:yVal>
            <c:numRef>
              <c:f>S!$K$13:$K$15</c:f>
              <c:numCache>
                <c:formatCode>0.00</c:formatCode>
                <c:ptCount val="3"/>
                <c:pt idx="0">
                  <c:v>-1.4014941215769294E-2</c:v>
                </c:pt>
                <c:pt idx="1">
                  <c:v>3.4104154774450834E-2</c:v>
                </c:pt>
                <c:pt idx="2">
                  <c:v>-2.0089213558681387E-2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D5-4382-91B4-867278CE5268}"/>
            </c:ext>
          </c:extLst>
        </c:ser>
        <c:ser>
          <c:idx val="1"/>
          <c:order val="1"/>
          <c:tx>
            <c:v>u(y)</c:v>
          </c:tx>
          <c:spPr>
            <a:ln w="22225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4</c:v>
              </c:pt>
              <c:pt idx="1">
                <c:v>14</c:v>
              </c:pt>
            </c:numLit>
          </c:xVal>
          <c:yVal>
            <c:numRef>
              <c:f>(S!$D$24,S!$D$24)</c:f>
              <c:numCache>
                <c:formatCode>0.00</c:formatCode>
                <c:ptCount val="2"/>
                <c:pt idx="0">
                  <c:v>8.3978293661337966E-2</c:v>
                </c:pt>
                <c:pt idx="1">
                  <c:v>8.3978293661337966E-2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3A-4EB7-8C45-D61AF6A54987}"/>
            </c:ext>
          </c:extLst>
        </c:ser>
        <c:ser>
          <c:idx val="2"/>
          <c:order val="2"/>
          <c:tx>
            <c:v>-u(y)</c:v>
          </c:tx>
          <c:spPr>
            <a:ln w="22225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4</c:v>
              </c:pt>
              <c:pt idx="1">
                <c:v>14</c:v>
              </c:pt>
            </c:numLit>
          </c:xVal>
          <c:yVal>
            <c:numRef>
              <c:f>(S!$D$25,S!$D$25)</c:f>
              <c:numCache>
                <c:formatCode>0.00</c:formatCode>
                <c:ptCount val="2"/>
                <c:pt idx="0">
                  <c:v>-8.3978293661337966E-2</c:v>
                </c:pt>
                <c:pt idx="1">
                  <c:v>-8.3978293661337966E-2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3A-4EB7-8C45-D61AF6A54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120656"/>
        <c:axId val="1361121136"/>
      </c:scatterChart>
      <c:valAx>
        <c:axId val="1361120656"/>
        <c:scaling>
          <c:orientation val="minMax"/>
          <c:max val="14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/>
                  <a:t>S</a:t>
                </a: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x10</a:t>
                </a:r>
                <a:r>
                  <a:rPr lang="pt-PT" sz="1000" b="0" i="0" u="none" strike="noStrike" kern="1200" baseline="30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-4</a:t>
                </a: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</a:t>
                </a:r>
                <a:r>
                  <a:rPr lang="pt-PT" sz="1000" baseline="0"/>
                  <a:t> /m</a:t>
                </a:r>
                <a:r>
                  <a:rPr lang="pt-PT" sz="1000" baseline="30000"/>
                  <a:t>2</a:t>
                </a:r>
                <a:endParaRPr lang="pt-PT" sz="1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1136"/>
        <c:crossesAt val="-0.30000000000000004"/>
        <c:crossBetween val="midCat"/>
      </c:valAx>
      <c:valAx>
        <c:axId val="136112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-25000"/>
                  <a:t>E0</a:t>
                </a:r>
                <a:r>
                  <a:rPr lang="pt-PT" baseline="0"/>
                  <a:t> - V</a:t>
                </a:r>
                <a:r>
                  <a:rPr lang="pt-PT" baseline="-25000"/>
                  <a:t>E0|ajuste</a:t>
                </a:r>
                <a:r>
                  <a:rPr lang="pt-PT" baseline="0"/>
                  <a:t>/V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0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24709184677768592"/>
          <c:y val="0.11068378620483728"/>
          <c:w val="0.44042045588756346"/>
          <c:h val="8.99297871432836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Voltímetro - Ajuste de log(V</a:t>
            </a:r>
            <a:r>
              <a:rPr lang="pt-PT" baseline="-25000"/>
              <a:t>E0</a:t>
            </a:r>
            <a:r>
              <a:rPr lang="pt-PT" baseline="0"/>
              <a:t>)[log(</a:t>
            </a:r>
            <a:r>
              <a:rPr lang="pt-PT"/>
              <a:t>S</a:t>
            </a:r>
            <a:r>
              <a:rPr lang="el-GR"/>
              <a:t>)</a:t>
            </a:r>
            <a:r>
              <a:rPr lang="pt-PT"/>
              <a:t>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1910905621938738E-2"/>
                  <c:y val="0.2772922726569744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log(</a:t>
                    </a:r>
                    <a:r>
                      <a:rPr lang="pt-PT" sz="900" b="0" i="0" u="none" strike="noStrike" baseline="0">
                        <a:effectLst/>
                      </a:rPr>
                      <a:t>V</a:t>
                    </a:r>
                    <a:r>
                      <a:rPr lang="pt-PT" sz="900" b="0" i="0" u="none" strike="noStrike" baseline="-25000">
                        <a:effectLst/>
                      </a:rPr>
                      <a:t>E0</a:t>
                    </a:r>
                    <a:r>
                      <a:rPr lang="pt-PT" sz="900" b="0" i="0" u="none" strike="noStrike" baseline="0">
                        <a:effectLst/>
                      </a:rPr>
                      <a:t> </a:t>
                    </a:r>
                    <a:r>
                      <a:rPr lang="en-US" baseline="0"/>
                      <a:t>) = 1.7log(S) + 4</a:t>
                    </a:r>
                    <a:endParaRPr lang="en-US"/>
                  </a:p>
                </c:rich>
              </c:tx>
              <c:numFmt formatCode="General" sourceLinked="0"/>
              <c:spPr>
                <a:solidFill>
                  <a:sysClr val="window" lastClr="FFFFFF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S!$E$13:$E$15</c:f>
              <c:numCache>
                <c:formatCode>General</c:formatCode>
                <c:ptCount val="3"/>
                <c:pt idx="0">
                  <c:v>-2.8793424051943575</c:v>
                </c:pt>
                <c:pt idx="1">
                  <c:v>-3.0678822388780538</c:v>
                </c:pt>
                <c:pt idx="2">
                  <c:v>-3.2749634226921929</c:v>
                </c:pt>
              </c:numCache>
            </c:numRef>
          </c:xVal>
          <c:yVal>
            <c:numRef>
              <c:f>S!$L$13:$L$15</c:f>
              <c:numCache>
                <c:formatCode>0.000E+00</c:formatCode>
                <c:ptCount val="3"/>
                <c:pt idx="0">
                  <c:v>-0.34705788218357669</c:v>
                </c:pt>
                <c:pt idx="1">
                  <c:v>-0.52933871605695537</c:v>
                </c:pt>
                <c:pt idx="2">
                  <c:v>-0.99883876698494278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37-4016-8814-C98AAB6316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120656"/>
        <c:axId val="1361121136"/>
      </c:scatterChart>
      <c:valAx>
        <c:axId val="1361120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log(S) /s.u.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1136"/>
        <c:crossesAt val="-1.2"/>
        <c:crossBetween val="midCat"/>
      </c:valAx>
      <c:valAx>
        <c:axId val="1361121136"/>
        <c:scaling>
          <c:orientation val="minMax"/>
          <c:max val="-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log(V</a:t>
                </a:r>
                <a:r>
                  <a:rPr lang="pt-PT" baseline="-25000"/>
                  <a:t>E0</a:t>
                </a:r>
                <a:r>
                  <a:rPr lang="pt-PT" baseline="0"/>
                  <a:t>) /s.u.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0656"/>
        <c:crossesAt val="-3.3"/>
        <c:crossBetween val="midCat"/>
        <c:maj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Voltímetro - Resíduos de log(V</a:t>
            </a:r>
            <a:r>
              <a:rPr lang="pt-PT" sz="1400" b="0" i="0" u="none" strike="noStrike" kern="1200" spc="0" baseline="-2500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E0</a:t>
            </a:r>
            <a:r>
              <a:rPr lang="pt-P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)[log(S</a:t>
            </a:r>
            <a:r>
              <a:rPr lang="el-G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)</a:t>
            </a:r>
            <a:r>
              <a:rPr lang="pt-P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]</a:t>
            </a:r>
            <a:r>
              <a:rPr lang="el-GR"/>
              <a:t>)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689264202196763"/>
          <c:y val="0.22338814738674809"/>
          <c:w val="0.80429057911105861"/>
          <c:h val="0.58618811469957166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S!$M$13:$M$15</c:f>
                <c:numCache>
                  <c:formatCode>General</c:formatCode>
                  <c:ptCount val="3"/>
                  <c:pt idx="0">
                    <c:v>1.3657059179347539E-4</c:v>
                  </c:pt>
                  <c:pt idx="1">
                    <c:v>2.0779640282452236E-4</c:v>
                  </c:pt>
                  <c:pt idx="2">
                    <c:v>6.1254510846720975E-4</c:v>
                  </c:pt>
                </c:numCache>
              </c:numRef>
            </c:plus>
            <c:minus>
              <c:numRef>
                <c:f>S!$M$13:$M$15</c:f>
                <c:numCache>
                  <c:formatCode>General</c:formatCode>
                  <c:ptCount val="3"/>
                  <c:pt idx="0">
                    <c:v>1.3657059179347539E-4</c:v>
                  </c:pt>
                  <c:pt idx="1">
                    <c:v>2.0779640282452236E-4</c:v>
                  </c:pt>
                  <c:pt idx="2">
                    <c:v>6.1254510846720975E-4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S!$E$13:$E$15</c:f>
              <c:numCache>
                <c:formatCode>General</c:formatCode>
                <c:ptCount val="3"/>
                <c:pt idx="0">
                  <c:v>-2.8793424051943575</c:v>
                </c:pt>
                <c:pt idx="1">
                  <c:v>-3.0678822388780538</c:v>
                </c:pt>
                <c:pt idx="2">
                  <c:v>-3.2749634226921929</c:v>
                </c:pt>
              </c:numCache>
            </c:numRef>
          </c:xVal>
          <c:yVal>
            <c:numRef>
              <c:f>S!$O$13:$O$15</c:f>
              <c:numCache>
                <c:formatCode>0.00</c:formatCode>
                <c:ptCount val="3"/>
                <c:pt idx="0">
                  <c:v>-4.4750884644259137E-2</c:v>
                </c:pt>
                <c:pt idx="1">
                  <c:v>8.5494926148287353E-2</c:v>
                </c:pt>
                <c:pt idx="2">
                  <c:v>-4.0744041504029216E-2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F1-4FB1-B888-DCC186810EC4}"/>
            </c:ext>
          </c:extLst>
        </c:ser>
        <c:ser>
          <c:idx val="1"/>
          <c:order val="1"/>
          <c:tx>
            <c:v>u(y)</c:v>
          </c:tx>
          <c:spPr>
            <a:ln w="22225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-3.3</c:v>
              </c:pt>
              <c:pt idx="1">
                <c:v>-2.85</c:v>
              </c:pt>
            </c:numLit>
          </c:xVal>
          <c:yVal>
            <c:numRef>
              <c:f>(S!$D$41,S!$D$41)</c:f>
              <c:numCache>
                <c:formatCode>0.0</c:formatCode>
                <c:ptCount val="2"/>
                <c:pt idx="0">
                  <c:v>0.20949559414581376</c:v>
                </c:pt>
                <c:pt idx="1">
                  <c:v>0.20949559414581376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D2-424F-91D0-0CD1AA387507}"/>
            </c:ext>
          </c:extLst>
        </c:ser>
        <c:ser>
          <c:idx val="2"/>
          <c:order val="2"/>
          <c:tx>
            <c:v>-u(y)</c:v>
          </c:tx>
          <c:spPr>
            <a:ln w="22225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-3.3</c:v>
              </c:pt>
              <c:pt idx="1">
                <c:v>-2.85</c:v>
              </c:pt>
            </c:numLit>
          </c:xVal>
          <c:yVal>
            <c:numRef>
              <c:f>(S!$D$42,S!$D$42)</c:f>
              <c:numCache>
                <c:formatCode>0.0</c:formatCode>
                <c:ptCount val="2"/>
                <c:pt idx="0">
                  <c:v>-0.20949559414581376</c:v>
                </c:pt>
                <c:pt idx="1">
                  <c:v>-0.20949559414581376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7D2-424F-91D0-0CD1AA3875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120656"/>
        <c:axId val="1361121136"/>
      </c:scatterChart>
      <c:valAx>
        <c:axId val="1361120656"/>
        <c:scaling>
          <c:orientation val="minMax"/>
          <c:max val="-2.8499999999999996"/>
          <c:min val="-3.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log(S) /s.u.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1136"/>
        <c:crossesAt val="-0.30000000000000004"/>
        <c:crossBetween val="midCat"/>
        <c:majorUnit val="5.000000000000001E-2"/>
      </c:valAx>
      <c:valAx>
        <c:axId val="136112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log(V</a:t>
                </a:r>
                <a:r>
                  <a:rPr lang="pt-PT" baseline="-25000"/>
                  <a:t>E0</a:t>
                </a:r>
                <a:r>
                  <a:rPr lang="pt-PT" baseline="0"/>
                  <a:t>) - log(V</a:t>
                </a:r>
                <a:r>
                  <a:rPr lang="pt-PT" baseline="-25000"/>
                  <a:t>E0|ajuste</a:t>
                </a:r>
                <a:r>
                  <a:rPr lang="pt-PT" baseline="0"/>
                  <a:t>) /s.u.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0656"/>
        <c:crossesAt val="-3.3"/>
        <c:crossBetween val="midCat"/>
        <c:majorUnit val="0.1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24709184677768592"/>
          <c:y val="0.11905155861776469"/>
          <c:w val="0.42292114483681736"/>
          <c:h val="8.89874606859039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Osciloscópio - Ajuste de V</a:t>
            </a:r>
            <a:r>
              <a:rPr lang="pt-PT" baseline="-25000"/>
              <a:t>E0</a:t>
            </a:r>
            <a:r>
              <a:rPr lang="pt-PT"/>
              <a:t>(S</a:t>
            </a:r>
            <a:r>
              <a:rPr lang="el-GR"/>
              <a:t>)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353145299842701"/>
                  <c:y val="0.2647986189724242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V</a:t>
                    </a:r>
                    <a:r>
                      <a:rPr lang="en-US" baseline="-25000"/>
                      <a:t>E0</a:t>
                    </a:r>
                    <a:r>
                      <a:rPr lang="en-US" baseline="0"/>
                      <a:t> = 504 S - 0.2</a:t>
                    </a:r>
                    <a:endParaRPr lang="en-US"/>
                  </a:p>
                </c:rich>
              </c:tx>
              <c:numFmt formatCode="General" sourceLinked="0"/>
              <c:spPr>
                <a:solidFill>
                  <a:sysClr val="window" lastClr="FFFFFF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S!$I$25:$I$27</c:f>
              <c:numCache>
                <c:formatCode>General</c:formatCode>
                <c:ptCount val="3"/>
                <c:pt idx="0">
                  <c:v>13.202543126711106</c:v>
                </c:pt>
                <c:pt idx="1">
                  <c:v>8.5529859993982118</c:v>
                </c:pt>
                <c:pt idx="2">
                  <c:v>5.3092915845667497</c:v>
                </c:pt>
              </c:numCache>
            </c:numRef>
          </c:xVal>
          <c:yVal>
            <c:numRef>
              <c:f>S!$R$13:$R$15</c:f>
              <c:numCache>
                <c:formatCode>0.00000</c:formatCode>
                <c:ptCount val="3"/>
                <c:pt idx="0">
                  <c:v>0.45200000000000001</c:v>
                </c:pt>
                <c:pt idx="1">
                  <c:v>0.3</c:v>
                </c:pt>
                <c:pt idx="2">
                  <c:v>4.36E-2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15-4CC2-B913-2BC32F4436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120656"/>
        <c:axId val="1361121136"/>
      </c:scatterChart>
      <c:valAx>
        <c:axId val="1361120656"/>
        <c:scaling>
          <c:orientation val="minMax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S </a:t>
                </a:r>
                <a:r>
                  <a:rPr lang="pt-PT" sz="1000" b="0" i="0" u="none" strike="noStrike" baseline="0">
                    <a:effectLst/>
                  </a:rPr>
                  <a:t> x10</a:t>
                </a:r>
                <a:r>
                  <a:rPr lang="pt-PT" sz="1000" b="0" i="0" u="none" strike="noStrike" baseline="30000">
                    <a:effectLst/>
                  </a:rPr>
                  <a:t>-4</a:t>
                </a:r>
                <a:r>
                  <a:rPr lang="pt-PT" sz="1000" b="0" i="0" u="none" strike="noStrike" baseline="0">
                    <a:effectLst/>
                  </a:rPr>
                  <a:t> </a:t>
                </a:r>
                <a:r>
                  <a:rPr lang="pt-PT"/>
                  <a:t>/m</a:t>
                </a:r>
                <a:r>
                  <a:rPr lang="pt-PT" baseline="30000"/>
                  <a:t>2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1136"/>
        <c:crosses val="autoZero"/>
        <c:crossBetween val="midCat"/>
      </c:valAx>
      <c:valAx>
        <c:axId val="136112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-25000"/>
                  <a:t>E0</a:t>
                </a:r>
                <a:r>
                  <a:rPr lang="pt-PT" baseline="0"/>
                  <a:t> /V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0656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Osciloscópio - Resíduos de V</a:t>
            </a:r>
            <a:r>
              <a:rPr lang="pt-PT" baseline="-25000"/>
              <a:t>E0</a:t>
            </a:r>
            <a:r>
              <a:rPr lang="pt-PT"/>
              <a:t>(S</a:t>
            </a:r>
            <a:r>
              <a:rPr lang="el-GR"/>
              <a:t>)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686494681994196"/>
          <c:y val="0.20889458184691265"/>
          <c:w val="0.83380434808278625"/>
          <c:h val="0.59822518803293101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S!$S$13:$S$15</c:f>
                <c:numCache>
                  <c:formatCode>General</c:formatCode>
                  <c:ptCount val="3"/>
                  <c:pt idx="0">
                    <c:v>5.0000000000000001E-4</c:v>
                  </c:pt>
                  <c:pt idx="1">
                    <c:v>5.0000000000000001E-4</c:v>
                  </c:pt>
                  <c:pt idx="2">
                    <c:v>5.0000000000000002E-5</c:v>
                  </c:pt>
                </c:numCache>
              </c:numRef>
            </c:plus>
            <c:minus>
              <c:numRef>
                <c:f>S!$S$13:$S$15</c:f>
                <c:numCache>
                  <c:formatCode>General</c:formatCode>
                  <c:ptCount val="3"/>
                  <c:pt idx="0">
                    <c:v>5.0000000000000001E-4</c:v>
                  </c:pt>
                  <c:pt idx="1">
                    <c:v>5.0000000000000001E-4</c:v>
                  </c:pt>
                  <c:pt idx="2">
                    <c:v>5.0000000000000002E-5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S!$I$25:$I$27</c:f>
              <c:numCache>
                <c:formatCode>General</c:formatCode>
                <c:ptCount val="3"/>
                <c:pt idx="0">
                  <c:v>13.202543126711106</c:v>
                </c:pt>
                <c:pt idx="1">
                  <c:v>8.5529859993982118</c:v>
                </c:pt>
                <c:pt idx="2">
                  <c:v>5.3092915845667497</c:v>
                </c:pt>
              </c:numCache>
            </c:numRef>
          </c:xVal>
          <c:yVal>
            <c:numRef>
              <c:f>S!$U$13:$U$15</c:f>
              <c:numCache>
                <c:formatCode>0.00</c:formatCode>
                <c:ptCount val="3"/>
                <c:pt idx="0">
                  <c:v>-2.4011034461137171E-2</c:v>
                </c:pt>
                <c:pt idx="1">
                  <c:v>5.842878845869981E-2</c:v>
                </c:pt>
                <c:pt idx="2">
                  <c:v>-3.4417753997562445E-2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06-4C99-AD8E-6F48CD01D76F}"/>
            </c:ext>
          </c:extLst>
        </c:ser>
        <c:ser>
          <c:idx val="1"/>
          <c:order val="1"/>
          <c:tx>
            <c:v>u(y)</c:v>
          </c:tx>
          <c:spPr>
            <a:ln w="22225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4</c:v>
              </c:pt>
              <c:pt idx="1">
                <c:v>14</c:v>
              </c:pt>
            </c:numLit>
          </c:xVal>
          <c:yVal>
            <c:numRef>
              <c:f>(S!$D$58,S!$D$58)</c:f>
              <c:numCache>
                <c:formatCode>0.0</c:formatCode>
                <c:ptCount val="2"/>
                <c:pt idx="0">
                  <c:v>0.14387543065975017</c:v>
                </c:pt>
                <c:pt idx="1">
                  <c:v>0.14387543065975017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3F-49C5-807F-0BBD8B42A907}"/>
            </c:ext>
          </c:extLst>
        </c:ser>
        <c:ser>
          <c:idx val="2"/>
          <c:order val="2"/>
          <c:tx>
            <c:v>-u(y)</c:v>
          </c:tx>
          <c:spPr>
            <a:ln w="22225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4</c:v>
              </c:pt>
              <c:pt idx="1">
                <c:v>14</c:v>
              </c:pt>
            </c:numLit>
          </c:xVal>
          <c:yVal>
            <c:numRef>
              <c:f>(S!$D$59,S!$D$59)</c:f>
              <c:numCache>
                <c:formatCode>0.0</c:formatCode>
                <c:ptCount val="2"/>
                <c:pt idx="0">
                  <c:v>-0.14387543065975017</c:v>
                </c:pt>
                <c:pt idx="1">
                  <c:v>-0.14387543065975017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3F-49C5-807F-0BBD8B42A9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120656"/>
        <c:axId val="1361121136"/>
      </c:scatterChart>
      <c:valAx>
        <c:axId val="1361120656"/>
        <c:scaling>
          <c:orientation val="minMax"/>
          <c:max val="14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S</a:t>
                </a:r>
                <a:r>
                  <a:rPr lang="pt-PT" sz="1000" b="0" i="0" u="none" strike="noStrike" baseline="0">
                    <a:effectLst/>
                  </a:rPr>
                  <a:t> x10</a:t>
                </a:r>
                <a:r>
                  <a:rPr lang="pt-PT" sz="1000" b="0" i="0" u="none" strike="noStrike" baseline="30000">
                    <a:effectLst/>
                  </a:rPr>
                  <a:t>-4</a:t>
                </a:r>
                <a:r>
                  <a:rPr lang="pt-PT" baseline="0"/>
                  <a:t> /m</a:t>
                </a:r>
                <a:r>
                  <a:rPr lang="pt-PT" baseline="30000"/>
                  <a:t>2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1136"/>
        <c:crossesAt val="-0.2"/>
        <c:crossBetween val="midCat"/>
      </c:valAx>
      <c:valAx>
        <c:axId val="136112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-25000"/>
                  <a:t>E0</a:t>
                </a:r>
                <a:r>
                  <a:rPr lang="pt-PT" baseline="0"/>
                  <a:t> - V</a:t>
                </a:r>
                <a:r>
                  <a:rPr lang="pt-PT" baseline="-25000"/>
                  <a:t>E0|ajuste</a:t>
                </a:r>
                <a:r>
                  <a:rPr lang="pt-PT" baseline="0"/>
                  <a:t>/V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0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23974598266403319"/>
          <c:y val="0.10979344595357236"/>
          <c:w val="0.48282108183297423"/>
          <c:h val="0.103166888418402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Osciloscópio - Ajuste de log(V</a:t>
            </a:r>
            <a:r>
              <a:rPr lang="pt-PT" baseline="-25000"/>
              <a:t>E0</a:t>
            </a:r>
            <a:r>
              <a:rPr lang="pt-PT" baseline="0"/>
              <a:t>)[log(</a:t>
            </a:r>
            <a:r>
              <a:rPr lang="pt-PT"/>
              <a:t>S</a:t>
            </a:r>
            <a:r>
              <a:rPr lang="el-GR"/>
              <a:t>)</a:t>
            </a:r>
            <a:r>
              <a:rPr lang="pt-PT"/>
              <a:t>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9968910406061068E-2"/>
                  <c:y val="0.2214057357008132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log(</a:t>
                    </a:r>
                    <a:r>
                      <a:rPr lang="pt-PT" sz="900" b="0" i="0" u="none" strike="noStrike" baseline="0">
                        <a:effectLst/>
                      </a:rPr>
                      <a:t>V</a:t>
                    </a:r>
                    <a:r>
                      <a:rPr lang="pt-PT" sz="900" b="0" i="0" u="none" strike="noStrike" baseline="-25000">
                        <a:effectLst/>
                      </a:rPr>
                      <a:t>E0</a:t>
                    </a:r>
                    <a:r>
                      <a:rPr lang="pt-PT" sz="900" b="0" i="0" u="none" strike="noStrike" baseline="0">
                        <a:effectLst/>
                      </a:rPr>
                      <a:t>)</a:t>
                    </a:r>
                    <a:r>
                      <a:rPr lang="en-US" baseline="0"/>
                      <a:t> = 2.6log(S) + 7</a:t>
                    </a:r>
                    <a:endParaRPr lang="en-US"/>
                  </a:p>
                </c:rich>
              </c:tx>
              <c:numFmt formatCode="General" sourceLinked="0"/>
              <c:spPr>
                <a:solidFill>
                  <a:sysClr val="window" lastClr="FFFFFF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S!$E$13:$E$15</c:f>
              <c:numCache>
                <c:formatCode>General</c:formatCode>
                <c:ptCount val="3"/>
                <c:pt idx="0">
                  <c:v>-2.8793424051943575</c:v>
                </c:pt>
                <c:pt idx="1">
                  <c:v>-3.0678822388780538</c:v>
                </c:pt>
                <c:pt idx="2">
                  <c:v>-3.2749634226921929</c:v>
                </c:pt>
              </c:numCache>
            </c:numRef>
          </c:xVal>
          <c:yVal>
            <c:numRef>
              <c:f>S!$V$13:$V$15</c:f>
              <c:numCache>
                <c:formatCode>0.00000</c:formatCode>
                <c:ptCount val="3"/>
                <c:pt idx="0">
                  <c:v>-0.34486156518861788</c:v>
                </c:pt>
                <c:pt idx="1">
                  <c:v>-0.52287874528033762</c:v>
                </c:pt>
                <c:pt idx="2" formatCode="0.0000">
                  <c:v>-1.3605135107314139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99-4CB9-8E45-BB99CD9A1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120656"/>
        <c:axId val="1361121136"/>
      </c:scatterChart>
      <c:valAx>
        <c:axId val="1361120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log(S) /s.u.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1136"/>
        <c:crossesAt val="-1.6"/>
        <c:crossBetween val="midCat"/>
      </c:valAx>
      <c:valAx>
        <c:axId val="1361121136"/>
        <c:scaling>
          <c:orientation val="minMax"/>
          <c:max val="-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log(V</a:t>
                </a:r>
                <a:r>
                  <a:rPr lang="pt-PT" baseline="-25000"/>
                  <a:t>E0</a:t>
                </a:r>
                <a:r>
                  <a:rPr lang="pt-PT" baseline="0"/>
                  <a:t>) /s.u.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0656"/>
        <c:crossesAt val="-3.3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Osciloscópio - Resíduos de log(V</a:t>
            </a:r>
            <a:r>
              <a:rPr lang="pt-PT" sz="1400" b="0" i="0" u="none" strike="noStrike" kern="1200" spc="0" baseline="-2500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E0</a:t>
            </a:r>
            <a:r>
              <a:rPr lang="pt-P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)[log(S</a:t>
            </a:r>
            <a:r>
              <a:rPr lang="el-G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)</a:t>
            </a:r>
            <a:r>
              <a:rPr lang="pt-P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]</a:t>
            </a:r>
            <a:r>
              <a:rPr lang="el-GR"/>
              <a:t>)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2546770190198117"/>
          <c:y val="0.19433503807526381"/>
          <c:w val="0.82322560609364503"/>
          <c:h val="0.61514177991683539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S!$W$13:$W$15</c:f>
                <c:numCache>
                  <c:formatCode>General</c:formatCode>
                  <c:ptCount val="3"/>
                  <c:pt idx="0">
                    <c:v>4.8041424989297759E-4</c:v>
                  </c:pt>
                  <c:pt idx="1">
                    <c:v>7.2382413650541968E-4</c:v>
                  </c:pt>
                  <c:pt idx="2">
                    <c:v>4.9804413062299517E-4</c:v>
                  </c:pt>
                </c:numCache>
              </c:numRef>
            </c:plus>
            <c:minus>
              <c:numRef>
                <c:f>S!$W$13:$W$15</c:f>
                <c:numCache>
                  <c:formatCode>General</c:formatCode>
                  <c:ptCount val="3"/>
                  <c:pt idx="0">
                    <c:v>4.8041424989297759E-4</c:v>
                  </c:pt>
                  <c:pt idx="1">
                    <c:v>7.2382413650541968E-4</c:v>
                  </c:pt>
                  <c:pt idx="2">
                    <c:v>4.9804413062299517E-4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S!$E$13:$E$15</c:f>
              <c:numCache>
                <c:formatCode>General</c:formatCode>
                <c:ptCount val="3"/>
                <c:pt idx="0">
                  <c:v>-2.8793424051943575</c:v>
                </c:pt>
                <c:pt idx="1">
                  <c:v>-3.0678822388780538</c:v>
                </c:pt>
                <c:pt idx="2">
                  <c:v>-3.2749634226921929</c:v>
                </c:pt>
              </c:numCache>
            </c:numRef>
          </c:xVal>
          <c:yVal>
            <c:numRef>
              <c:f>S!$Y$13:$Y$15</c:f>
              <c:numCache>
                <c:formatCode>0.0</c:formatCode>
                <c:ptCount val="3"/>
                <c:pt idx="0">
                  <c:v>-0.10670532165110147</c:v>
                </c:pt>
                <c:pt idx="1">
                  <c:v>0.20385660901924818</c:v>
                </c:pt>
                <c:pt idx="2">
                  <c:v>-9.7151287368150152E-2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95-4C50-B037-5A6CD45B9AFE}"/>
            </c:ext>
          </c:extLst>
        </c:ser>
        <c:ser>
          <c:idx val="1"/>
          <c:order val="1"/>
          <c:tx>
            <c:v>u(y)</c:v>
          </c:tx>
          <c:spPr>
            <a:ln w="22225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-3.3</c:v>
              </c:pt>
              <c:pt idx="1">
                <c:v>-2.85</c:v>
              </c:pt>
            </c:numLit>
          </c:xVal>
          <c:yVal>
            <c:numRef>
              <c:f>(S!$D$74,S!$D$74)</c:f>
              <c:numCache>
                <c:formatCode>0.0</c:formatCode>
                <c:ptCount val="2"/>
                <c:pt idx="0">
                  <c:v>0.49952743807234579</c:v>
                </c:pt>
                <c:pt idx="1">
                  <c:v>0.49952743807234579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F6-4B3E-9146-46C0925518ED}"/>
            </c:ext>
          </c:extLst>
        </c:ser>
        <c:ser>
          <c:idx val="2"/>
          <c:order val="2"/>
          <c:tx>
            <c:v>-u(y)</c:v>
          </c:tx>
          <c:spPr>
            <a:ln w="22225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-3.3</c:v>
              </c:pt>
              <c:pt idx="1">
                <c:v>-2.85</c:v>
              </c:pt>
            </c:numLit>
          </c:xVal>
          <c:yVal>
            <c:numRef>
              <c:f>(S!$D$75,S!$D$75)</c:f>
              <c:numCache>
                <c:formatCode>0.0</c:formatCode>
                <c:ptCount val="2"/>
                <c:pt idx="0">
                  <c:v>-0.49952743807234579</c:v>
                </c:pt>
                <c:pt idx="1">
                  <c:v>-0.49952743807234579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F6-4B3E-9146-46C092551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120656"/>
        <c:axId val="1361121136"/>
      </c:scatterChart>
      <c:valAx>
        <c:axId val="1361120656"/>
        <c:scaling>
          <c:orientation val="minMax"/>
          <c:max val="-2.8499999999999996"/>
          <c:min val="-3.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log(S) /s.u.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1136"/>
        <c:crossesAt val="-0.60000000000000009"/>
        <c:crossBetween val="midCat"/>
        <c:majorUnit val="5.000000000000001E-2"/>
      </c:valAx>
      <c:valAx>
        <c:axId val="136112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log(V</a:t>
                </a:r>
                <a:r>
                  <a:rPr lang="pt-PT" baseline="-25000"/>
                  <a:t>E0</a:t>
                </a:r>
                <a:r>
                  <a:rPr lang="pt-PT" baseline="0"/>
                  <a:t>) - log(V</a:t>
                </a:r>
                <a:r>
                  <a:rPr lang="pt-PT" baseline="-25000"/>
                  <a:t>E0|ajuste</a:t>
                </a:r>
                <a:r>
                  <a:rPr lang="pt-PT" baseline="0"/>
                  <a:t>) /s.u.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0656"/>
        <c:crossesAt val="-3.3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23201362541762011"/>
          <c:y val="0.12724983503894119"/>
          <c:w val="0.47282349857160511"/>
          <c:h val="6.32893943775794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Voltímetro - Ajuste de V</a:t>
            </a:r>
            <a:r>
              <a:rPr lang="pt-PT" baseline="-25000"/>
              <a:t>E0</a:t>
            </a:r>
            <a:r>
              <a:rPr lang="pt-PT"/>
              <a:t>(cos(</a:t>
            </a:r>
            <a:r>
              <a:rPr lang="el-GR"/>
              <a:t>θ))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9709919175443383"/>
                  <c:y val="0.1385258197688337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pt-PT" sz="900" b="0" i="0" u="none" strike="noStrike" baseline="0">
                        <a:effectLst/>
                      </a:rPr>
                      <a:t>V</a:t>
                    </a:r>
                    <a:r>
                      <a:rPr lang="pt-PT" sz="900" b="0" i="0" u="none" strike="noStrike" baseline="-25000">
                        <a:effectLst/>
                      </a:rPr>
                      <a:t>E0</a:t>
                    </a:r>
                    <a:r>
                      <a:rPr lang="en-US" baseline="0"/>
                      <a:t> = 0.086cos(</a:t>
                    </a:r>
                    <a:r>
                      <a:rPr lang="el-GR" sz="900" b="0" i="0" u="none" strike="noStrike" baseline="0">
                        <a:effectLst/>
                      </a:rPr>
                      <a:t>θ</a:t>
                    </a:r>
                    <a:r>
                      <a:rPr lang="pt-PT" sz="900" b="0" i="0" u="none" strike="noStrike" baseline="0">
                        <a:effectLst/>
                      </a:rPr>
                      <a:t>)</a:t>
                    </a:r>
                    <a:r>
                      <a:rPr lang="en-US" baseline="0"/>
                      <a:t> - 0.0003</a:t>
                    </a:r>
                    <a:endParaRPr lang="en-US"/>
                  </a:p>
                </c:rich>
              </c:tx>
              <c:numFmt formatCode="General" sourceLinked="0"/>
              <c:spPr>
                <a:solidFill>
                  <a:sysClr val="window" lastClr="FFFFFF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θ!$D$13:$D$19</c:f>
              <c:numCache>
                <c:formatCode>0.0</c:formatCode>
                <c:ptCount val="7"/>
                <c:pt idx="0">
                  <c:v>1</c:v>
                </c:pt>
                <c:pt idx="1">
                  <c:v>0.96592582628906831</c:v>
                </c:pt>
                <c:pt idx="2">
                  <c:v>0.86602540378443871</c:v>
                </c:pt>
                <c:pt idx="3">
                  <c:v>0.70710678118654757</c:v>
                </c:pt>
                <c:pt idx="4">
                  <c:v>0.50000000000000011</c:v>
                </c:pt>
                <c:pt idx="5">
                  <c:v>0.25881904510252074</c:v>
                </c:pt>
                <c:pt idx="6" formatCode="0">
                  <c:v>6.1257422745431001E-17</c:v>
                </c:pt>
              </c:numCache>
            </c:numRef>
          </c:xVal>
          <c:yVal>
            <c:numRef>
              <c:f>θ!$K$13:$K$19</c:f>
              <c:numCache>
                <c:formatCode>0.0000</c:formatCode>
                <c:ptCount val="7"/>
                <c:pt idx="0">
                  <c:v>8.669129137347073E-2</c:v>
                </c:pt>
                <c:pt idx="1">
                  <c:v>8.3014336111300685E-2</c:v>
                </c:pt>
                <c:pt idx="2">
                  <c:v>7.4246212024587491E-2</c:v>
                </c:pt>
                <c:pt idx="3">
                  <c:v>6.0669761825805781E-2</c:v>
                </c:pt>
                <c:pt idx="4">
                  <c:v>4.115361466505707E-2</c:v>
                </c:pt>
                <c:pt idx="5">
                  <c:v>2.276883835420683E-2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0E-45E6-B503-61AB4D441C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120656"/>
        <c:axId val="1361121136"/>
      </c:scatterChart>
      <c:valAx>
        <c:axId val="1361120656"/>
        <c:scaling>
          <c:orientation val="minMax"/>
          <c:min val="-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cos(</a:t>
                </a:r>
                <a:r>
                  <a:rPr lang="el-GR"/>
                  <a:t>θ)</a:t>
                </a:r>
                <a:r>
                  <a:rPr lang="pt-PT"/>
                  <a:t> /s.u.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1136"/>
        <c:crossesAt val="-2.0000000000000004E-2"/>
        <c:crossBetween val="midCat"/>
        <c:majorUnit val="0.1"/>
      </c:valAx>
      <c:valAx>
        <c:axId val="1361121136"/>
        <c:scaling>
          <c:orientation val="minMax"/>
          <c:min val="-2.0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-25000"/>
                  <a:t>E0</a:t>
                </a:r>
                <a:r>
                  <a:rPr lang="pt-PT" baseline="0"/>
                  <a:t> /V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0656"/>
        <c:crossesAt val="-0.1"/>
        <c:crossBetween val="midCat"/>
        <c:majorUnit val="2.0000000000000004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Voltímetro - Resíduos de V</a:t>
            </a:r>
            <a:r>
              <a:rPr lang="pt-PT" baseline="-25000"/>
              <a:t>E0</a:t>
            </a:r>
            <a:r>
              <a:rPr lang="pt-PT"/>
              <a:t>(</a:t>
            </a:r>
            <a:r>
              <a:rPr lang="pt-PT" sz="1400" b="0" i="0" u="none" strike="noStrike" baseline="0">
                <a:effectLst/>
              </a:rPr>
              <a:t>cos(</a:t>
            </a:r>
            <a:r>
              <a:rPr lang="el-GR" sz="1400" b="0" i="0" u="none" strike="noStrike" baseline="0">
                <a:effectLst/>
              </a:rPr>
              <a:t>θ)</a:t>
            </a:r>
            <a:r>
              <a:rPr lang="el-GR"/>
              <a:t>)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527870182866374"/>
          <c:y val="0.2103894298245762"/>
          <c:w val="0.76725095605771176"/>
          <c:h val="0.59930732185034097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θ!$I$4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θ!$I$4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θ!$D$13:$D$19</c:f>
              <c:numCache>
                <c:formatCode>0.0</c:formatCode>
                <c:ptCount val="7"/>
                <c:pt idx="0">
                  <c:v>1</c:v>
                </c:pt>
                <c:pt idx="1">
                  <c:v>0.96592582628906831</c:v>
                </c:pt>
                <c:pt idx="2">
                  <c:v>0.86602540378443871</c:v>
                </c:pt>
                <c:pt idx="3">
                  <c:v>0.70710678118654757</c:v>
                </c:pt>
                <c:pt idx="4">
                  <c:v>0.50000000000000011</c:v>
                </c:pt>
                <c:pt idx="5">
                  <c:v>0.25881904510252074</c:v>
                </c:pt>
                <c:pt idx="6" formatCode="0">
                  <c:v>6.1257422745431001E-17</c:v>
                </c:pt>
              </c:numCache>
            </c:numRef>
          </c:xVal>
          <c:yVal>
            <c:numRef>
              <c:f>θ!$M$13:$M$19</c:f>
              <c:numCache>
                <c:formatCode>0.0000</c:formatCode>
                <c:ptCount val="7"/>
                <c:pt idx="0">
                  <c:v>7.5276891454925665E-4</c:v>
                </c:pt>
                <c:pt idx="1">
                  <c:v>1.4301292097868012E-5</c:v>
                </c:pt>
                <c:pt idx="2">
                  <c:v>-1.3861295202567681E-4</c:v>
                </c:pt>
                <c:pt idx="3">
                  <c:v>-1.0243418811867189E-5</c:v>
                </c:pt>
                <c:pt idx="4">
                  <c:v>-1.6659217746091901E-3</c:v>
                </c:pt>
                <c:pt idx="5">
                  <c:v>7.4825835921064551E-4</c:v>
                </c:pt>
                <c:pt idx="6">
                  <c:v>2.9944957958896902E-4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F4-4713-AEC6-0578858474B8}"/>
            </c:ext>
          </c:extLst>
        </c:ser>
        <c:ser>
          <c:idx val="1"/>
          <c:order val="1"/>
          <c:tx>
            <c:v>u(y)</c:v>
          </c:tx>
          <c:spPr>
            <a:ln w="22225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-0.1</c:v>
              </c:pt>
              <c:pt idx="1">
                <c:v>1.1000000000000001</c:v>
              </c:pt>
            </c:numLit>
          </c:xVal>
          <c:yVal>
            <c:numRef>
              <c:f>(θ!$D$28,θ!$D$28)</c:f>
              <c:numCache>
                <c:formatCode>0.000</c:formatCode>
                <c:ptCount val="2"/>
                <c:pt idx="0">
                  <c:v>1.7913213057912753E-3</c:v>
                </c:pt>
                <c:pt idx="1">
                  <c:v>1.7913213057912753E-3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09-4059-B4A5-EB462D75523D}"/>
            </c:ext>
          </c:extLst>
        </c:ser>
        <c:ser>
          <c:idx val="2"/>
          <c:order val="2"/>
          <c:tx>
            <c:v>-u(y)</c:v>
          </c:tx>
          <c:spPr>
            <a:ln w="22225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-0.1</c:v>
              </c:pt>
              <c:pt idx="1">
                <c:v>1.1000000000000001</c:v>
              </c:pt>
            </c:numLit>
          </c:xVal>
          <c:yVal>
            <c:numRef>
              <c:f>(θ!$D$29,θ!$D$29)</c:f>
              <c:numCache>
                <c:formatCode>0.000</c:formatCode>
                <c:ptCount val="2"/>
                <c:pt idx="0">
                  <c:v>-1.7913213057912753E-3</c:v>
                </c:pt>
                <c:pt idx="1">
                  <c:v>-1.7913213057912753E-3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09-4059-B4A5-EB462D7552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120656"/>
        <c:axId val="1361121136"/>
      </c:scatterChart>
      <c:valAx>
        <c:axId val="1361120656"/>
        <c:scaling>
          <c:orientation val="minMax"/>
          <c:max val="1.1000000000000001"/>
          <c:min val="-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u="none" strike="noStrike" baseline="0">
                    <a:effectLst/>
                  </a:rPr>
                  <a:t>cos(</a:t>
                </a:r>
                <a:r>
                  <a:rPr lang="el-GR" sz="1000" b="0" i="0" u="none" strike="noStrike" baseline="0">
                    <a:effectLst/>
                  </a:rPr>
                  <a:t>θ)</a:t>
                </a:r>
                <a:r>
                  <a:rPr lang="pt-PT" sz="1000" b="0" i="0" u="none" strike="noStrike" baseline="0">
                    <a:effectLst/>
                  </a:rPr>
                  <a:t> /s.u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1136"/>
        <c:crossesAt val="-2.0000000000000005E-3"/>
        <c:crossBetween val="midCat"/>
      </c:valAx>
      <c:valAx>
        <c:axId val="136112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-25000"/>
                  <a:t>E0</a:t>
                </a:r>
                <a:r>
                  <a:rPr lang="pt-PT" baseline="0"/>
                  <a:t> - V</a:t>
                </a:r>
                <a:r>
                  <a:rPr lang="pt-PT" baseline="-25000"/>
                  <a:t>E0|ajuste</a:t>
                </a:r>
                <a:r>
                  <a:rPr lang="pt-PT" baseline="0"/>
                  <a:t>/V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0656"/>
        <c:crossesAt val="-0.1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18768130643994352"/>
          <c:y val="0.10643540049019987"/>
          <c:w val="0.57896022263990599"/>
          <c:h val="8.46453643782010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Voltímetro - Ajuste de log(V</a:t>
            </a:r>
            <a:r>
              <a:rPr lang="pt-PT" baseline="-25000"/>
              <a:t>E0</a:t>
            </a:r>
            <a:r>
              <a:rPr lang="pt-PT" baseline="0"/>
              <a:t>)[log(</a:t>
            </a:r>
            <a:r>
              <a:rPr lang="pt-PT" sz="1400" b="0" i="0" u="none" strike="noStrike" baseline="0">
                <a:effectLst/>
              </a:rPr>
              <a:t>cos(</a:t>
            </a:r>
            <a:r>
              <a:rPr lang="el-GR" sz="1400" b="0" i="0" u="none" strike="noStrike" baseline="0">
                <a:effectLst/>
              </a:rPr>
              <a:t>θ)</a:t>
            </a:r>
            <a:r>
              <a:rPr lang="el-GR"/>
              <a:t>)</a:t>
            </a:r>
            <a:r>
              <a:rPr lang="pt-PT"/>
              <a:t>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2068922423219919"/>
                  <c:y val="0.106965611494347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log(</a:t>
                    </a:r>
                    <a:r>
                      <a:rPr lang="pt-PT" sz="900" b="0" i="0" u="none" strike="noStrike" baseline="0">
                        <a:effectLst/>
                      </a:rPr>
                      <a:t>V</a:t>
                    </a:r>
                    <a:r>
                      <a:rPr lang="pt-PT" sz="900" b="0" i="0" u="none" strike="noStrike" baseline="-25000">
                        <a:effectLst/>
                      </a:rPr>
                      <a:t>E0</a:t>
                    </a:r>
                    <a:r>
                      <a:rPr lang="en-US" baseline="0"/>
                      <a:t>) = 0.99log[cos(</a:t>
                    </a:r>
                    <a:r>
                      <a:rPr lang="el-GR" sz="900" b="0" i="0" u="none" strike="noStrike" baseline="0">
                        <a:effectLst/>
                      </a:rPr>
                      <a:t>θ</a:t>
                    </a:r>
                    <a:r>
                      <a:rPr lang="en-US" baseline="0"/>
                      <a:t>)] - 1.068</a:t>
                    </a:r>
                    <a:endParaRPr lang="en-US"/>
                  </a:p>
                </c:rich>
              </c:tx>
              <c:numFmt formatCode="General" sourceLinked="0"/>
              <c:spPr>
                <a:solidFill>
                  <a:sysClr val="window" lastClr="FFFFFF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θ!$F$13:$F$18</c:f>
              <c:numCache>
                <c:formatCode>0.00</c:formatCode>
                <c:ptCount val="6"/>
                <c:pt idx="0">
                  <c:v>0</c:v>
                </c:pt>
                <c:pt idx="1">
                  <c:v>-1.5056221897301486E-2</c:v>
                </c:pt>
                <c:pt idx="2">
                  <c:v>-6.2469368304149946E-2</c:v>
                </c:pt>
                <c:pt idx="3">
                  <c:v>-0.15051499783199057</c:v>
                </c:pt>
                <c:pt idx="4" formatCode="0.0">
                  <c:v>-0.30102999566398109</c:v>
                </c:pt>
                <c:pt idx="5" formatCode="0.0">
                  <c:v>-0.5870037694306609</c:v>
                </c:pt>
              </c:numCache>
            </c:numRef>
          </c:xVal>
          <c:yVal>
            <c:numRef>
              <c:f>θ!$N$13:$N$18</c:f>
              <c:numCache>
                <c:formatCode>0.0000</c:formatCode>
                <c:ptCount val="6"/>
                <c:pt idx="0">
                  <c:v>-1.0620245276495943</c:v>
                </c:pt>
                <c:pt idx="1">
                  <c:v>-1.0808469009203949</c:v>
                </c:pt>
                <c:pt idx="2">
                  <c:v>-1.1293256987620526</c:v>
                </c:pt>
                <c:pt idx="3" formatCode="0.000">
                  <c:v>-1.2170277099832851</c:v>
                </c:pt>
                <c:pt idx="4" formatCode="0.000">
                  <c:v>-1.385592013182102</c:v>
                </c:pt>
                <c:pt idx="5" formatCode="0.000">
                  <c:v>-1.6426591261361596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D9-4694-8D38-ED2B689820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120656"/>
        <c:axId val="1361121136"/>
      </c:scatterChart>
      <c:valAx>
        <c:axId val="1361120656"/>
        <c:scaling>
          <c:orientation val="minMax"/>
          <c:max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u="none" strike="noStrike" baseline="0">
                    <a:effectLst/>
                  </a:rPr>
                  <a:t>log(cos(</a:t>
                </a:r>
                <a:r>
                  <a:rPr lang="el-GR" sz="1000" b="0" i="0" u="none" strike="noStrike" baseline="0">
                    <a:effectLst/>
                  </a:rPr>
                  <a:t>θ</a:t>
                </a:r>
                <a:r>
                  <a:rPr lang="pt-PT" sz="1000" b="0" i="0" u="none" strike="noStrike" baseline="0">
                    <a:effectLst/>
                  </a:rPr>
                  <a:t>)</a:t>
                </a:r>
                <a:r>
                  <a:rPr lang="el-GR" sz="1000" b="0" i="0" u="none" strike="noStrike" baseline="0">
                    <a:effectLst/>
                  </a:rPr>
                  <a:t>)</a:t>
                </a:r>
                <a:r>
                  <a:rPr lang="pt-PT" sz="1000" b="0" i="0" u="none" strike="noStrike" baseline="0">
                    <a:effectLst/>
                  </a:rPr>
                  <a:t> /s.u.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1136"/>
        <c:crossesAt val="-1.8"/>
        <c:crossBetween val="midCat"/>
      </c:valAx>
      <c:valAx>
        <c:axId val="1361121136"/>
        <c:scaling>
          <c:orientation val="minMax"/>
          <c:max val="-1"/>
          <c:min val="-1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log(V</a:t>
                </a:r>
                <a:r>
                  <a:rPr lang="pt-PT" baseline="-25000"/>
                  <a:t>E0</a:t>
                </a:r>
                <a:r>
                  <a:rPr lang="pt-PT" baseline="0"/>
                  <a:t>) /s.u.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0656"/>
        <c:crossesAt val="-2.8499999999999996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Voltímetro - Resíduos de log(V</a:t>
            </a:r>
            <a:r>
              <a:rPr lang="pt-PT" sz="1400" b="0" i="0" u="none" strike="noStrike" kern="1200" spc="0" baseline="-2500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E0</a:t>
            </a:r>
            <a:r>
              <a:rPr lang="pt-P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)[log(</a:t>
            </a:r>
            <a:r>
              <a:rPr lang="pt-PT" sz="1400" b="0" i="0" u="none" strike="noStrike" baseline="0">
                <a:effectLst/>
              </a:rPr>
              <a:t>cos(</a:t>
            </a:r>
            <a:r>
              <a:rPr lang="el-GR" sz="1400" b="0" i="0" u="none" strike="noStrike" baseline="0">
                <a:effectLst/>
              </a:rPr>
              <a:t>θ)</a:t>
            </a:r>
            <a:r>
              <a:rPr lang="el-G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)</a:t>
            </a:r>
            <a:r>
              <a:rPr lang="pt-P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]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262130760449733"/>
          <c:y val="0.19899184111315868"/>
          <c:w val="0.78050496794511182"/>
          <c:h val="0.60504684088554805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θ!$F$13:$F$18</c:f>
              <c:numCache>
                <c:formatCode>0.00</c:formatCode>
                <c:ptCount val="6"/>
                <c:pt idx="0">
                  <c:v>0</c:v>
                </c:pt>
                <c:pt idx="1">
                  <c:v>-1.5056221897301486E-2</c:v>
                </c:pt>
                <c:pt idx="2">
                  <c:v>-6.2469368304149946E-2</c:v>
                </c:pt>
                <c:pt idx="3">
                  <c:v>-0.15051499783199057</c:v>
                </c:pt>
                <c:pt idx="4" formatCode="0.0">
                  <c:v>-0.30102999566398109</c:v>
                </c:pt>
                <c:pt idx="5" formatCode="0.0">
                  <c:v>-0.5870037694306609</c:v>
                </c:pt>
              </c:numCache>
            </c:numRef>
          </c:xVal>
          <c:yVal>
            <c:numRef>
              <c:f>θ!$Q$13:$Q$18</c:f>
              <c:numCache>
                <c:formatCode>0.000</c:formatCode>
                <c:ptCount val="6"/>
                <c:pt idx="0">
                  <c:v>5.8716271925967067E-3</c:v>
                </c:pt>
                <c:pt idx="1">
                  <c:v>2.0248669188238644E-3</c:v>
                </c:pt>
                <c:pt idx="2">
                  <c:v>7.0537214825305838E-4</c:v>
                </c:pt>
                <c:pt idx="3">
                  <c:v>5.7760650352434162E-4</c:v>
                </c:pt>
                <c:pt idx="4">
                  <c:v>-1.827753505067431E-2</c:v>
                </c:pt>
                <c:pt idx="5">
                  <c:v>9.0980622874774486E-3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73-4A6B-81D3-F226F24AF989}"/>
            </c:ext>
          </c:extLst>
        </c:ser>
        <c:ser>
          <c:idx val="1"/>
          <c:order val="1"/>
          <c:tx>
            <c:v>u(y)</c:v>
          </c:tx>
          <c:spPr>
            <a:ln w="22225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-0.7</c:v>
              </c:pt>
              <c:pt idx="1">
                <c:v>0.1</c:v>
              </c:pt>
            </c:numLit>
          </c:xVal>
          <c:yVal>
            <c:numRef>
              <c:f>(θ!$D$45,θ!$D$45)</c:f>
              <c:numCache>
                <c:formatCode>0.00</c:formatCode>
                <c:ptCount val="2"/>
                <c:pt idx="0">
                  <c:v>2.1360016291746511E-2</c:v>
                </c:pt>
                <c:pt idx="1">
                  <c:v>2.1360016291746511E-2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24-446E-8FC9-3117E35233CC}"/>
            </c:ext>
          </c:extLst>
        </c:ser>
        <c:ser>
          <c:idx val="2"/>
          <c:order val="2"/>
          <c:tx>
            <c:v>-u(y)</c:v>
          </c:tx>
          <c:spPr>
            <a:ln w="22225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-0.7</c:v>
              </c:pt>
              <c:pt idx="1">
                <c:v>0.1</c:v>
              </c:pt>
            </c:numLit>
          </c:xVal>
          <c:yVal>
            <c:numRef>
              <c:f>(θ!$D$46,θ!$D$46)</c:f>
              <c:numCache>
                <c:formatCode>0.00</c:formatCode>
                <c:ptCount val="2"/>
                <c:pt idx="0">
                  <c:v>-2.1360016291746511E-2</c:v>
                </c:pt>
                <c:pt idx="1">
                  <c:v>-2.1360016291746511E-2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24-446E-8FC9-3117E35233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120656"/>
        <c:axId val="1361121136"/>
      </c:scatterChart>
      <c:valAx>
        <c:axId val="1361120656"/>
        <c:scaling>
          <c:orientation val="minMax"/>
          <c:max val="0.1"/>
          <c:min val="-0.70000000000000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log(cos(</a:t>
                </a:r>
                <a:r>
                  <a:rPr lang="el-GR"/>
                  <a:t>θ)</a:t>
                </a:r>
                <a:r>
                  <a:rPr lang="pt-PT"/>
                  <a:t>) /s.u.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1136"/>
        <c:crossesAt val="-3.0000000000000006E-2"/>
        <c:crossBetween val="midCat"/>
      </c:valAx>
      <c:valAx>
        <c:axId val="136112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log(V</a:t>
                </a:r>
                <a:r>
                  <a:rPr lang="pt-PT" baseline="-25000"/>
                  <a:t>E0</a:t>
                </a:r>
                <a:r>
                  <a:rPr lang="pt-PT" baseline="0"/>
                  <a:t>) - log(V</a:t>
                </a:r>
                <a:r>
                  <a:rPr lang="pt-PT" baseline="-25000"/>
                  <a:t>E0|ajuste</a:t>
                </a:r>
                <a:r>
                  <a:rPr lang="pt-PT" baseline="0"/>
                  <a:t>) /V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0656"/>
        <c:crossesAt val="-0.70000000000000007"/>
        <c:crossBetween val="midCat"/>
        <c:majorUnit val="1.0000000000000002E-2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21730235488722149"/>
          <c:y val="0.11238685056682009"/>
          <c:w val="0.52355440253647245"/>
          <c:h val="7.83355995942622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Osciloscópio - Ajuste de V</a:t>
            </a:r>
            <a:r>
              <a:rPr lang="pt-PT" baseline="-25000"/>
              <a:t>E0</a:t>
            </a:r>
            <a:r>
              <a:rPr lang="pt-PT"/>
              <a:t>(</a:t>
            </a:r>
            <a:r>
              <a:rPr lang="pt-PT" sz="1400" b="0" i="0" u="none" strike="noStrike" baseline="0">
                <a:effectLst/>
              </a:rPr>
              <a:t>cos(</a:t>
            </a:r>
            <a:r>
              <a:rPr lang="el-GR" sz="1400" b="0" i="0" u="none" strike="noStrike" baseline="0">
                <a:effectLst/>
              </a:rPr>
              <a:t>θ)</a:t>
            </a:r>
            <a:r>
              <a:rPr lang="el-GR"/>
              <a:t>)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5127873676649076"/>
                  <c:y val="8.6698255122563433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pt-PT" sz="900" b="0" i="0" u="none" strike="noStrike" baseline="0">
                        <a:effectLst/>
                      </a:rPr>
                      <a:t>V</a:t>
                    </a:r>
                    <a:r>
                      <a:rPr lang="pt-PT" sz="900" b="0" i="0" u="none" strike="noStrike" baseline="-25000">
                        <a:effectLst/>
                      </a:rPr>
                      <a:t>E0</a:t>
                    </a:r>
                    <a:r>
                      <a:rPr lang="en-US" baseline="0"/>
                      <a:t> = 0.084cos(</a:t>
                    </a:r>
                    <a:r>
                      <a:rPr lang="el-GR" sz="900" b="0" i="0" u="none" strike="noStrike" baseline="0">
                        <a:effectLst/>
                      </a:rPr>
                      <a:t>θ</a:t>
                    </a:r>
                    <a:r>
                      <a:rPr lang="pt-PT" sz="900" b="0" i="0" u="none" strike="noStrike" baseline="0">
                        <a:effectLst/>
                      </a:rPr>
                      <a:t>)</a:t>
                    </a:r>
                    <a:r>
                      <a:rPr lang="en-US" baseline="0"/>
                      <a:t> + 0.002</a:t>
                    </a:r>
                    <a:endParaRPr lang="en-US"/>
                  </a:p>
                </c:rich>
              </c:tx>
              <c:numFmt formatCode="General" sourceLinked="0"/>
              <c:spPr>
                <a:solidFill>
                  <a:sysClr val="window" lastClr="FFFFFF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θ!$D$13:$D$19</c:f>
              <c:numCache>
                <c:formatCode>0.0</c:formatCode>
                <c:ptCount val="7"/>
                <c:pt idx="0">
                  <c:v>1</c:v>
                </c:pt>
                <c:pt idx="1">
                  <c:v>0.96592582628906831</c:v>
                </c:pt>
                <c:pt idx="2">
                  <c:v>0.86602540378443871</c:v>
                </c:pt>
                <c:pt idx="3">
                  <c:v>0.70710678118654757</c:v>
                </c:pt>
                <c:pt idx="4">
                  <c:v>0.50000000000000011</c:v>
                </c:pt>
                <c:pt idx="5">
                  <c:v>0.25881904510252074</c:v>
                </c:pt>
                <c:pt idx="6" formatCode="0">
                  <c:v>6.1257422745431001E-17</c:v>
                </c:pt>
              </c:numCache>
            </c:numRef>
          </c:xVal>
          <c:yVal>
            <c:numRef>
              <c:f>θ!$T$13:$T$19</c:f>
              <c:numCache>
                <c:formatCode>0.0000</c:formatCode>
                <c:ptCount val="7"/>
                <c:pt idx="0">
                  <c:v>8.7499999999999994E-2</c:v>
                </c:pt>
                <c:pt idx="1">
                  <c:v>8.4000000000000005E-2</c:v>
                </c:pt>
                <c:pt idx="2">
                  <c:v>7.5499999999999998E-2</c:v>
                </c:pt>
                <c:pt idx="3">
                  <c:v>6.2E-2</c:v>
                </c:pt>
                <c:pt idx="4" formatCode="0.00000">
                  <c:v>4.2000000000000003E-2</c:v>
                </c:pt>
                <c:pt idx="5" formatCode="0.00000">
                  <c:v>2.3099999999999999E-2</c:v>
                </c:pt>
                <c:pt idx="6" formatCode="0.00000">
                  <c:v>4.1999999999999997E-3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A7-4E8F-8C9D-9F1DBBA899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120656"/>
        <c:axId val="1361121136"/>
      </c:scatterChart>
      <c:valAx>
        <c:axId val="1361120656"/>
        <c:scaling>
          <c:orientation val="minMax"/>
          <c:min val="-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u="none" strike="noStrike" baseline="0">
                    <a:effectLst/>
                  </a:rPr>
                  <a:t>cos(</a:t>
                </a:r>
                <a:r>
                  <a:rPr lang="el-GR" sz="1000" b="0" i="0" u="none" strike="noStrike" baseline="0">
                    <a:effectLst/>
                  </a:rPr>
                  <a:t>θ)</a:t>
                </a:r>
                <a:r>
                  <a:rPr lang="el-GR" sz="1000" b="0" i="0" u="none" strike="noStrike" baseline="0"/>
                  <a:t> </a:t>
                </a:r>
                <a:r>
                  <a:rPr lang="pt-PT" sz="1000" b="0" i="0" u="none" strike="noStrike" baseline="0"/>
                  <a:t>/s.u.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1136"/>
        <c:crossesAt val="-1.0000000000000002E-2"/>
        <c:crossBetween val="midCat"/>
      </c:valAx>
      <c:valAx>
        <c:axId val="1361121136"/>
        <c:scaling>
          <c:orientation val="minMax"/>
          <c:min val="-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-25000"/>
                  <a:t>E0</a:t>
                </a:r>
                <a:r>
                  <a:rPr lang="pt-PT" baseline="0"/>
                  <a:t> /V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0656"/>
        <c:crossesAt val="-0.1"/>
        <c:crossBetween val="midCat"/>
        <c:majorUnit val="2.0000000000000004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Osciloscópio - Resíduos de V</a:t>
            </a:r>
            <a:r>
              <a:rPr lang="pt-PT" baseline="-25000"/>
              <a:t>E0</a:t>
            </a:r>
            <a:r>
              <a:rPr lang="pt-PT"/>
              <a:t>(</a:t>
            </a:r>
            <a:r>
              <a:rPr lang="pt-PT" sz="1400" b="0" i="0" u="none" strike="noStrike" baseline="0">
                <a:effectLst/>
              </a:rPr>
              <a:t>cos(</a:t>
            </a:r>
            <a:r>
              <a:rPr lang="el-GR" sz="1400" b="0" i="0" u="none" strike="noStrike" baseline="0">
                <a:effectLst/>
              </a:rPr>
              <a:t>θ)</a:t>
            </a:r>
            <a:r>
              <a:rPr lang="el-GR"/>
              <a:t>)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372626316180073"/>
          <c:y val="0.18209563118057631"/>
          <c:w val="0.80328408045728117"/>
          <c:h val="0.62580058572505537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θ!$U$13:$U$19</c:f>
                <c:numCache>
                  <c:formatCode>General</c:formatCode>
                  <c:ptCount val="7"/>
                  <c:pt idx="0">
                    <c:v>5.0000000000000001E-4</c:v>
                  </c:pt>
                  <c:pt idx="1">
                    <c:v>5.0000000000000001E-4</c:v>
                  </c:pt>
                  <c:pt idx="2">
                    <c:v>5.0000000000000001E-4</c:v>
                  </c:pt>
                  <c:pt idx="3">
                    <c:v>5.0000000000000001E-4</c:v>
                  </c:pt>
                  <c:pt idx="4">
                    <c:v>5.0000000000000002E-5</c:v>
                  </c:pt>
                  <c:pt idx="5">
                    <c:v>5.0000000000000002E-5</c:v>
                  </c:pt>
                  <c:pt idx="6">
                    <c:v>5.0000000000000002E-5</c:v>
                  </c:pt>
                </c:numCache>
              </c:numRef>
            </c:plus>
            <c:minus>
              <c:numRef>
                <c:f>θ!$U$13:$U$19</c:f>
                <c:numCache>
                  <c:formatCode>General</c:formatCode>
                  <c:ptCount val="7"/>
                  <c:pt idx="0">
                    <c:v>5.0000000000000001E-4</c:v>
                  </c:pt>
                  <c:pt idx="1">
                    <c:v>5.0000000000000001E-4</c:v>
                  </c:pt>
                  <c:pt idx="2">
                    <c:v>5.0000000000000001E-4</c:v>
                  </c:pt>
                  <c:pt idx="3">
                    <c:v>5.0000000000000001E-4</c:v>
                  </c:pt>
                  <c:pt idx="4">
                    <c:v>5.0000000000000002E-5</c:v>
                  </c:pt>
                  <c:pt idx="5">
                    <c:v>5.0000000000000002E-5</c:v>
                  </c:pt>
                  <c:pt idx="6">
                    <c:v>5.0000000000000002E-5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θ!$D$13:$D$19</c:f>
              <c:numCache>
                <c:formatCode>0.0</c:formatCode>
                <c:ptCount val="7"/>
                <c:pt idx="0">
                  <c:v>1</c:v>
                </c:pt>
                <c:pt idx="1">
                  <c:v>0.96592582628906831</c:v>
                </c:pt>
                <c:pt idx="2">
                  <c:v>0.86602540378443871</c:v>
                </c:pt>
                <c:pt idx="3">
                  <c:v>0.70710678118654757</c:v>
                </c:pt>
                <c:pt idx="4">
                  <c:v>0.50000000000000011</c:v>
                </c:pt>
                <c:pt idx="5">
                  <c:v>0.25881904510252074</c:v>
                </c:pt>
                <c:pt idx="6" formatCode="0">
                  <c:v>6.1257422745431001E-17</c:v>
                </c:pt>
              </c:numCache>
            </c:numRef>
          </c:xVal>
          <c:yVal>
            <c:numRef>
              <c:f>θ!$W$13:$W$19</c:f>
              <c:numCache>
                <c:formatCode>0.0000</c:formatCode>
                <c:ptCount val="7"/>
                <c:pt idx="0">
                  <c:v>9.2703042044509076E-4</c:v>
                </c:pt>
                <c:pt idx="1">
                  <c:v>2.98497439478837E-4</c:v>
                </c:pt>
                <c:pt idx="2">
                  <c:v>2.1721276455653749E-4</c:v>
                </c:pt>
                <c:pt idx="3">
                  <c:v>1.0945485885907602E-4</c:v>
                </c:pt>
                <c:pt idx="4">
                  <c:v>-2.4374354446138266E-3</c:v>
                </c:pt>
                <c:pt idx="5">
                  <c:v>-1.0128587290529727E-3</c:v>
                </c:pt>
                <c:pt idx="6">
                  <c:v>1.8980986903272606E-3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14-40FD-A543-B2C36D2BF66C}"/>
            </c:ext>
          </c:extLst>
        </c:ser>
        <c:ser>
          <c:idx val="1"/>
          <c:order val="1"/>
          <c:tx>
            <c:v>u(y)</c:v>
          </c:tx>
          <c:spPr>
            <a:ln w="22225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-0.1</c:v>
              </c:pt>
              <c:pt idx="1">
                <c:v>1.1000000000000001</c:v>
              </c:pt>
            </c:numLit>
          </c:xVal>
          <c:yVal>
            <c:numRef>
              <c:f>(θ!$D$62,θ!$D$62)</c:f>
              <c:numCache>
                <c:formatCode>0.000</c:formatCode>
                <c:ptCount val="2"/>
                <c:pt idx="0">
                  <c:v>3.0433403835812851E-3</c:v>
                </c:pt>
                <c:pt idx="1">
                  <c:v>3.0433403835812851E-3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FA-4FD5-8284-A3E80DA63EC4}"/>
            </c:ext>
          </c:extLst>
        </c:ser>
        <c:ser>
          <c:idx val="2"/>
          <c:order val="2"/>
          <c:tx>
            <c:v>-u(y)</c:v>
          </c:tx>
          <c:spPr>
            <a:ln w="22225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-0.1</c:v>
              </c:pt>
              <c:pt idx="1">
                <c:v>1.1000000000000001</c:v>
              </c:pt>
            </c:numLit>
          </c:xVal>
          <c:yVal>
            <c:numRef>
              <c:f>(θ!$D$63,θ!$D$63)</c:f>
              <c:numCache>
                <c:formatCode>0.000</c:formatCode>
                <c:ptCount val="2"/>
                <c:pt idx="0">
                  <c:v>-3.0433403835812851E-3</c:v>
                </c:pt>
                <c:pt idx="1">
                  <c:v>-3.0433403835812851E-3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FA-4FD5-8284-A3E80DA63E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120656"/>
        <c:axId val="1361121136"/>
      </c:scatterChart>
      <c:valAx>
        <c:axId val="1361120656"/>
        <c:scaling>
          <c:orientation val="minMax"/>
          <c:max val="1.1000000000000001"/>
          <c:min val="-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u="none" strike="noStrike" baseline="0">
                    <a:effectLst/>
                  </a:rPr>
                  <a:t>cos(</a:t>
                </a:r>
                <a:r>
                  <a:rPr lang="el-GR" sz="1000" b="0" i="0" u="none" strike="noStrike" baseline="0">
                    <a:effectLst/>
                  </a:rPr>
                  <a:t>θ)</a:t>
                </a:r>
                <a:r>
                  <a:rPr lang="pt-PT" sz="1000" b="0" i="0" u="none" strike="noStrike" baseline="0">
                    <a:effectLst/>
                  </a:rPr>
                  <a:t> /s.u.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1136"/>
        <c:crossesAt val="-4.000000000000001E-3"/>
        <c:crossBetween val="midCat"/>
      </c:valAx>
      <c:valAx>
        <c:axId val="136112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-25000"/>
                  <a:t>E0</a:t>
                </a:r>
                <a:r>
                  <a:rPr lang="pt-PT" baseline="0"/>
                  <a:t> - V</a:t>
                </a:r>
                <a:r>
                  <a:rPr lang="pt-PT" baseline="-25000"/>
                  <a:t>E0|ajuste</a:t>
                </a:r>
                <a:r>
                  <a:rPr lang="pt-PT" baseline="0"/>
                  <a:t>/V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0656"/>
        <c:crossesAt val="-0.1"/>
        <c:crossBetween val="midCat"/>
        <c:majorUnit val="1.0000000000000002E-3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24846759255637932"/>
          <c:y val="0.10271172918340853"/>
          <c:w val="0.45835795214008579"/>
          <c:h val="7.67935487805002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Osciloscópio - Ajuste de log(V</a:t>
            </a:r>
            <a:r>
              <a:rPr lang="pt-PT" baseline="-25000"/>
              <a:t>E0</a:t>
            </a:r>
            <a:r>
              <a:rPr lang="pt-PT" baseline="0"/>
              <a:t>)[log(</a:t>
            </a:r>
            <a:r>
              <a:rPr lang="pt-PT" sz="1400" b="0" i="0" u="none" strike="noStrike" baseline="0">
                <a:effectLst/>
              </a:rPr>
              <a:t>cos(</a:t>
            </a:r>
            <a:r>
              <a:rPr lang="el-GR" sz="1400" b="0" i="0" u="none" strike="noStrike" baseline="0">
                <a:effectLst/>
              </a:rPr>
              <a:t>θ)</a:t>
            </a:r>
            <a:r>
              <a:rPr lang="el-GR"/>
              <a:t>)</a:t>
            </a:r>
            <a:r>
              <a:rPr lang="pt-PT"/>
              <a:t>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2656253660009318"/>
                  <c:y val="0.1299663101202945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log(</a:t>
                    </a:r>
                    <a:r>
                      <a:rPr lang="pt-PT" sz="900" b="0" i="0" u="none" strike="noStrike" baseline="0">
                        <a:effectLst/>
                      </a:rPr>
                      <a:t>V</a:t>
                    </a:r>
                    <a:r>
                      <a:rPr lang="pt-PT" sz="900" b="0" i="0" u="none" strike="noStrike" baseline="-25000">
                        <a:effectLst/>
                      </a:rPr>
                      <a:t>E0</a:t>
                    </a:r>
                    <a:r>
                      <a:rPr lang="en-US" baseline="0"/>
                      <a:t>) = 0.99log[cos(</a:t>
                    </a:r>
                    <a:r>
                      <a:rPr lang="el-GR" sz="900" b="0" i="0" u="none" strike="noStrike" baseline="0">
                        <a:effectLst/>
                      </a:rPr>
                      <a:t>θ</a:t>
                    </a:r>
                    <a:r>
                      <a:rPr lang="en-US" baseline="0"/>
                      <a:t>)] - 1.06</a:t>
                    </a:r>
                    <a:endParaRPr lang="en-US"/>
                  </a:p>
                </c:rich>
              </c:tx>
              <c:numFmt formatCode="General" sourceLinked="0"/>
              <c:spPr>
                <a:solidFill>
                  <a:sysClr val="window" lastClr="FFFFFF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θ!$F$13:$F$18</c:f>
              <c:numCache>
                <c:formatCode>0.00</c:formatCode>
                <c:ptCount val="6"/>
                <c:pt idx="0">
                  <c:v>0</c:v>
                </c:pt>
                <c:pt idx="1">
                  <c:v>-1.5056221897301486E-2</c:v>
                </c:pt>
                <c:pt idx="2">
                  <c:v>-6.2469368304149946E-2</c:v>
                </c:pt>
                <c:pt idx="3">
                  <c:v>-0.15051499783199057</c:v>
                </c:pt>
                <c:pt idx="4" formatCode="0.0">
                  <c:v>-0.30102999566398109</c:v>
                </c:pt>
                <c:pt idx="5" formatCode="0.0">
                  <c:v>-0.5870037694306609</c:v>
                </c:pt>
              </c:numCache>
            </c:numRef>
          </c:xVal>
          <c:yVal>
            <c:numRef>
              <c:f>θ!$X$13:$X$18</c:f>
              <c:numCache>
                <c:formatCode>0.0000</c:formatCode>
                <c:ptCount val="6"/>
                <c:pt idx="0">
                  <c:v>-1.0579919469776868</c:v>
                </c:pt>
                <c:pt idx="1">
                  <c:v>-1.0757207139381184</c:v>
                </c:pt>
                <c:pt idx="2">
                  <c:v>-1.1220530483708118</c:v>
                </c:pt>
                <c:pt idx="3">
                  <c:v>-1.2076083105017461</c:v>
                </c:pt>
                <c:pt idx="4" formatCode="0.00000">
                  <c:v>-1.3767507096020994</c:v>
                </c:pt>
                <c:pt idx="5" formatCode="0.00000">
                  <c:v>-1.6363880201078558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31-4D4B-BA70-9F9261EE1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120656"/>
        <c:axId val="1361121136"/>
      </c:scatterChart>
      <c:valAx>
        <c:axId val="1361120656"/>
        <c:scaling>
          <c:orientation val="minMax"/>
          <c:max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u="none" strike="noStrike" baseline="0">
                    <a:effectLst/>
                  </a:rPr>
                  <a:t>log(cos(</a:t>
                </a:r>
                <a:r>
                  <a:rPr lang="el-GR" sz="1000" b="0" i="0" u="none" strike="noStrike" baseline="0">
                    <a:effectLst/>
                  </a:rPr>
                  <a:t>θ)</a:t>
                </a:r>
                <a:r>
                  <a:rPr lang="pt-PT" sz="1000" b="0" i="0" u="none" strike="noStrike" baseline="0">
                    <a:effectLst/>
                  </a:rPr>
                  <a:t>) /s.u.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1136"/>
        <c:crossesAt val="-1.8"/>
        <c:crossBetween val="midCat"/>
      </c:valAx>
      <c:valAx>
        <c:axId val="1361121136"/>
        <c:scaling>
          <c:orientation val="minMax"/>
          <c:max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log(V</a:t>
                </a:r>
                <a:r>
                  <a:rPr lang="pt-PT" baseline="-25000"/>
                  <a:t>E0</a:t>
                </a:r>
                <a:r>
                  <a:rPr lang="pt-PT" baseline="0"/>
                  <a:t>) /s.u.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0656"/>
        <c:crossesAt val="-2.8499999999999996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Osciloscópio - Resíduos de log(V</a:t>
            </a:r>
            <a:r>
              <a:rPr lang="pt-PT" sz="1400" b="0" i="0" u="none" strike="noStrike" kern="1200" spc="0" baseline="-2500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E0</a:t>
            </a:r>
            <a:r>
              <a:rPr lang="pt-P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)[log(</a:t>
            </a:r>
            <a:r>
              <a:rPr lang="pt-PT" sz="1400" b="0" i="0" u="none" strike="noStrike" baseline="0">
                <a:effectLst/>
              </a:rPr>
              <a:t>cos(</a:t>
            </a:r>
            <a:r>
              <a:rPr lang="el-GR" sz="1400" b="0" i="0" u="none" strike="noStrike" baseline="0">
                <a:effectLst/>
              </a:rPr>
              <a:t>θ)</a:t>
            </a:r>
            <a:r>
              <a:rPr lang="el-G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)</a:t>
            </a:r>
            <a:r>
              <a:rPr lang="pt-PT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]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383896689286951"/>
          <c:y val="0.19543262585619073"/>
          <c:w val="0.80797948327077784"/>
          <c:h val="0.6121110667444789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θ!$Y$13:$Y$18</c:f>
                <c:numCache>
                  <c:formatCode>General</c:formatCode>
                  <c:ptCount val="6"/>
                  <c:pt idx="0">
                    <c:v>2.4816827537328676E-3</c:v>
                  </c:pt>
                  <c:pt idx="1">
                    <c:v>2.5850862018050699E-3</c:v>
                  </c:pt>
                  <c:pt idx="2">
                    <c:v>2.8761223967102767E-3</c:v>
                  </c:pt>
                  <c:pt idx="3">
                    <c:v>3.5023748540584819E-3</c:v>
                  </c:pt>
                  <c:pt idx="4">
                    <c:v>5.1701724036101401E-4</c:v>
                  </c:pt>
                  <c:pt idx="5">
                    <c:v>9.4003134611093464E-4</c:v>
                  </c:pt>
                </c:numCache>
              </c:numRef>
            </c:plus>
            <c:minus>
              <c:numRef>
                <c:f>θ!$Y$13:$Y$18</c:f>
                <c:numCache>
                  <c:formatCode>General</c:formatCode>
                  <c:ptCount val="6"/>
                  <c:pt idx="0">
                    <c:v>2.4816827537328676E-3</c:v>
                  </c:pt>
                  <c:pt idx="1">
                    <c:v>2.5850862018050699E-3</c:v>
                  </c:pt>
                  <c:pt idx="2">
                    <c:v>2.8761223967102767E-3</c:v>
                  </c:pt>
                  <c:pt idx="3">
                    <c:v>3.5023748540584819E-3</c:v>
                  </c:pt>
                  <c:pt idx="4">
                    <c:v>5.1701724036101401E-4</c:v>
                  </c:pt>
                  <c:pt idx="5">
                    <c:v>9.4003134611093464E-4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θ!$F$13:$F$18</c:f>
              <c:numCache>
                <c:formatCode>0.00</c:formatCode>
                <c:ptCount val="6"/>
                <c:pt idx="0">
                  <c:v>0</c:v>
                </c:pt>
                <c:pt idx="1">
                  <c:v>-1.5056221897301486E-2</c:v>
                </c:pt>
                <c:pt idx="2">
                  <c:v>-6.2469368304149946E-2</c:v>
                </c:pt>
                <c:pt idx="3">
                  <c:v>-0.15051499783199057</c:v>
                </c:pt>
                <c:pt idx="4" formatCode="0.0">
                  <c:v>-0.30102999566398109</c:v>
                </c:pt>
                <c:pt idx="5" formatCode="0.0">
                  <c:v>-0.5870037694306609</c:v>
                </c:pt>
              </c:numCache>
            </c:numRef>
          </c:xVal>
          <c:yVal>
            <c:numRef>
              <c:f>θ!$AA$13:$AA$18</c:f>
              <c:numCache>
                <c:formatCode>0.000</c:formatCode>
                <c:ptCount val="6"/>
                <c:pt idx="0">
                  <c:v>3.5685941063794413E-3</c:v>
                </c:pt>
                <c:pt idx="1">
                  <c:v>7.7564978522182138E-4</c:v>
                </c:pt>
                <c:pt idx="2">
                  <c:v>1.477315670333379E-3</c:v>
                </c:pt>
                <c:pt idx="3">
                  <c:v>3.2636134447259213E-3</c:v>
                </c:pt>
                <c:pt idx="4">
                  <c:v>-1.6567402793221664E-2</c:v>
                </c:pt>
                <c:pt idx="5">
                  <c:v>7.4822297865597687E-3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C1-4F04-B545-68406F039E26}"/>
            </c:ext>
          </c:extLst>
        </c:ser>
        <c:ser>
          <c:idx val="1"/>
          <c:order val="1"/>
          <c:tx>
            <c:v>u(y)</c:v>
          </c:tx>
          <c:spPr>
            <a:ln w="22225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-0.7</c:v>
              </c:pt>
              <c:pt idx="1">
                <c:v>0.1</c:v>
              </c:pt>
            </c:numLit>
          </c:xVal>
          <c:yVal>
            <c:numRef>
              <c:f>(θ!$D$78,θ!$D$78)</c:f>
              <c:numCache>
                <c:formatCode>0.00</c:formatCode>
                <c:ptCount val="2"/>
                <c:pt idx="0">
                  <c:v>1.8884722097069342E-2</c:v>
                </c:pt>
                <c:pt idx="1">
                  <c:v>1.8884722097069342E-2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EB-48A6-8B63-3B4F2DC1003E}"/>
            </c:ext>
          </c:extLst>
        </c:ser>
        <c:ser>
          <c:idx val="2"/>
          <c:order val="2"/>
          <c:tx>
            <c:v>-u(y)</c:v>
          </c:tx>
          <c:spPr>
            <a:ln w="22225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-0.7</c:v>
              </c:pt>
              <c:pt idx="1">
                <c:v>0.1</c:v>
              </c:pt>
            </c:numLit>
          </c:xVal>
          <c:yVal>
            <c:numRef>
              <c:f>(θ!$D$79,θ!$D$79)</c:f>
              <c:numCache>
                <c:formatCode>0.00</c:formatCode>
                <c:ptCount val="2"/>
                <c:pt idx="0">
                  <c:v>-1.8884722097069342E-2</c:v>
                </c:pt>
                <c:pt idx="1">
                  <c:v>-1.8884722097069342E-2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EB-48A6-8B63-3B4F2DC100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120656"/>
        <c:axId val="1361121136"/>
      </c:scatterChart>
      <c:valAx>
        <c:axId val="1361120656"/>
        <c:scaling>
          <c:orientation val="minMax"/>
          <c:max val="0.1"/>
          <c:min val="-0.70000000000000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log(cos(</a:t>
                </a:r>
                <a:r>
                  <a:rPr lang="el-GR"/>
                  <a:t>θ)</a:t>
                </a:r>
                <a:r>
                  <a:rPr lang="pt-PT"/>
                  <a:t>) /s.u.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accent6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1136"/>
        <c:crossesAt val="-2.5000000000000005E-2"/>
        <c:crossBetween val="midCat"/>
      </c:valAx>
      <c:valAx>
        <c:axId val="1361121136"/>
        <c:scaling>
          <c:orientation val="minMax"/>
          <c:max val="2.5000000000000005E-2"/>
          <c:min val="-2.5000000000000005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log(V</a:t>
                </a:r>
                <a:r>
                  <a:rPr lang="pt-PT" baseline="-25000"/>
                  <a:t>E0</a:t>
                </a:r>
                <a:r>
                  <a:rPr lang="pt-PT" baseline="0"/>
                  <a:t>) - log(V</a:t>
                </a:r>
                <a:r>
                  <a:rPr lang="pt-PT" baseline="-25000"/>
                  <a:t>E0|ajuste</a:t>
                </a:r>
                <a:r>
                  <a:rPr lang="pt-PT" baseline="0"/>
                  <a:t>) /s.u.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61120656"/>
        <c:crossesAt val="-0.70000000000000007"/>
        <c:crossBetween val="midCat"/>
        <c:majorUnit val="1.0000000000000002E-2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18725754093283759"/>
          <c:y val="0.11498534194728562"/>
          <c:w val="0.56540986680240612"/>
          <c:h val="5.95973557487210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Comparação dos</a:t>
            </a:r>
            <a:r>
              <a:rPr lang="pt-PT" baseline="0"/>
              <a:t> valores obtidos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343315108475607"/>
          <c:y val="0.1880232965895674"/>
          <c:w val="0.80514164214600337"/>
          <c:h val="0.62681688575897776"/>
        </c:manualLayout>
      </c:layout>
      <c:scatterChart>
        <c:scatterStyle val="lineMarker"/>
        <c:varyColors val="0"/>
        <c:ser>
          <c:idx val="0"/>
          <c:order val="0"/>
          <c:tx>
            <c:v>μ0 voltímetro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Comparar!$E$7:$E$11</c:f>
                <c:numCache>
                  <c:formatCode>General</c:formatCode>
                  <c:ptCount val="5"/>
                  <c:pt idx="0">
                    <c:v>8.8930505422897196E-3</c:v>
                  </c:pt>
                  <c:pt idx="1">
                    <c:v>3.4490689126433524E-3</c:v>
                  </c:pt>
                  <c:pt idx="2">
                    <c:v>6.0567120885760368E-3</c:v>
                  </c:pt>
                  <c:pt idx="3">
                    <c:v>0.26337322453929213</c:v>
                  </c:pt>
                  <c:pt idx="4">
                    <c:v>1.2260019836270198E-2</c:v>
                  </c:pt>
                </c:numCache>
              </c:numRef>
            </c:plus>
            <c:minus>
              <c:numRef>
                <c:f>Comparar!$E$7:$E$11</c:f>
                <c:numCache>
                  <c:formatCode>General</c:formatCode>
                  <c:ptCount val="5"/>
                  <c:pt idx="0">
                    <c:v>8.8930505422897196E-3</c:v>
                  </c:pt>
                  <c:pt idx="1">
                    <c:v>3.4490689126433524E-3</c:v>
                  </c:pt>
                  <c:pt idx="2">
                    <c:v>6.0567120885760368E-3</c:v>
                  </c:pt>
                  <c:pt idx="3">
                    <c:v>0.26337322453929213</c:v>
                  </c:pt>
                  <c:pt idx="4">
                    <c:v>1.2260019836270198E-2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Comparar!$B$7:$B$11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Comparar!$D$7:$D$11</c:f>
              <c:numCache>
                <c:formatCode>0.000</c:formatCode>
                <c:ptCount val="5"/>
                <c:pt idx="0">
                  <c:v>1.1973284483487114</c:v>
                </c:pt>
                <c:pt idx="1">
                  <c:v>1.2024502565901798</c:v>
                </c:pt>
                <c:pt idx="2">
                  <c:v>1.1888585959211504</c:v>
                </c:pt>
                <c:pt idx="3" formatCode="0.0">
                  <c:v>1.5307499909330593</c:v>
                </c:pt>
                <c:pt idx="4" formatCode="0.00">
                  <c:v>1.0590785433711927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FC-4741-8810-75DF5486906A}"/>
            </c:ext>
          </c:extLst>
        </c:ser>
        <c:ser>
          <c:idx val="1"/>
          <c:order val="1"/>
          <c:tx>
            <c:v>μ0 osciloscópio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Comparar!$I$7:$I$11</c:f>
                <c:numCache>
                  <c:formatCode>General</c:formatCode>
                  <c:ptCount val="5"/>
                  <c:pt idx="0">
                    <c:v>1.0334329642968269E-2</c:v>
                  </c:pt>
                  <c:pt idx="1">
                    <c:v>4.0867125827221563E-3</c:v>
                  </c:pt>
                  <c:pt idx="2">
                    <c:v>8.3878164540149864E-3</c:v>
                  </c:pt>
                  <c:pt idx="3">
                    <c:v>0.45118254444626438</c:v>
                  </c:pt>
                  <c:pt idx="4">
                    <c:v>2.0368800510815143E-2</c:v>
                  </c:pt>
                </c:numCache>
              </c:numRef>
            </c:plus>
            <c:minus>
              <c:numRef>
                <c:f>Comparar!$I$7:$I$11</c:f>
                <c:numCache>
                  <c:formatCode>General</c:formatCode>
                  <c:ptCount val="5"/>
                  <c:pt idx="0">
                    <c:v>1.0334329642968269E-2</c:v>
                  </c:pt>
                  <c:pt idx="1">
                    <c:v>4.0867125827221563E-3</c:v>
                  </c:pt>
                  <c:pt idx="2">
                    <c:v>8.3878164540149864E-3</c:v>
                  </c:pt>
                  <c:pt idx="3">
                    <c:v>0.45118254444626438</c:v>
                  </c:pt>
                  <c:pt idx="4">
                    <c:v>2.0368800510815143E-2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Comparar!$B$7:$B$11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Comparar!$H$7:$H$11</c:f>
              <c:numCache>
                <c:formatCode>0.000</c:formatCode>
                <c:ptCount val="5"/>
                <c:pt idx="0" formatCode="0.00">
                  <c:v>1.2180088699931544</c:v>
                </c:pt>
                <c:pt idx="1">
                  <c:v>1.1940602396318896</c:v>
                </c:pt>
                <c:pt idx="2">
                  <c:v>1.1984213780877742</c:v>
                </c:pt>
                <c:pt idx="3" formatCode="0.0">
                  <c:v>1.7742207998188504</c:v>
                </c:pt>
                <c:pt idx="4" formatCode="0.00">
                  <c:v>1.03492322606735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13-454A-84D3-BF7BEEECEE60}"/>
            </c:ext>
          </c:extLst>
        </c:ser>
        <c:ser>
          <c:idx val="2"/>
          <c:order val="2"/>
          <c:tx>
            <c:v>μ0 esperado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0.5</c:v>
              </c:pt>
              <c:pt idx="1">
                <c:v>5.5</c:v>
              </c:pt>
            </c:numLit>
          </c:xVal>
          <c:yVal>
            <c:numRef>
              <c:f>(Comparar!$C$2,Comparar!$C$2)</c:f>
              <c:numCache>
                <c:formatCode>0.00</c:formatCode>
                <c:ptCount val="2"/>
                <c:pt idx="0">
                  <c:v>1.2566370614359172</c:v>
                </c:pt>
                <c:pt idx="1">
                  <c:v>1.2566370614359172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13-454A-84D3-BF7BEEECEE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17536"/>
        <c:axId val="40216576"/>
      </c:scatterChart>
      <c:valAx>
        <c:axId val="40217536"/>
        <c:scaling>
          <c:orientation val="minMax"/>
          <c:max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Ensaio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0216576"/>
        <c:crosses val="autoZero"/>
        <c:crossBetween val="midCat"/>
      </c:valAx>
      <c:valAx>
        <c:axId val="4021657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μ</a:t>
                </a:r>
                <a:r>
                  <a:rPr lang="el-GR" baseline="-25000"/>
                  <a:t>0</a:t>
                </a:r>
                <a:r>
                  <a:rPr lang="pt-PT" baseline="-25000"/>
                  <a:t>  </a:t>
                </a:r>
                <a:r>
                  <a:rPr lang="pt-PT" baseline="0"/>
                  <a:t>x 10</a:t>
                </a:r>
                <a:r>
                  <a:rPr lang="pt-PT" baseline="30000"/>
                  <a:t>-6</a:t>
                </a:r>
                <a:r>
                  <a:rPr lang="pt-PT" baseline="0"/>
                  <a:t> /Hm</a:t>
                </a:r>
                <a:r>
                  <a:rPr lang="pt-PT" baseline="30000"/>
                  <a:t>-1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0217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5289073611107509"/>
          <c:y val="0.10690781049095152"/>
          <c:w val="0.65349806488961626"/>
          <c:h val="8.74947549736811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4.xml"/><Relationship Id="rId13" Type="http://schemas.openxmlformats.org/officeDocument/2006/relationships/chart" Target="../charts/chart29.xml"/><Relationship Id="rId18" Type="http://schemas.openxmlformats.org/officeDocument/2006/relationships/chart" Target="../charts/chart34.xml"/><Relationship Id="rId3" Type="http://schemas.openxmlformats.org/officeDocument/2006/relationships/chart" Target="../charts/chart19.xml"/><Relationship Id="rId7" Type="http://schemas.openxmlformats.org/officeDocument/2006/relationships/chart" Target="../charts/chart23.xml"/><Relationship Id="rId12" Type="http://schemas.openxmlformats.org/officeDocument/2006/relationships/chart" Target="../charts/chart28.xml"/><Relationship Id="rId17" Type="http://schemas.openxmlformats.org/officeDocument/2006/relationships/chart" Target="../charts/chart33.xml"/><Relationship Id="rId2" Type="http://schemas.openxmlformats.org/officeDocument/2006/relationships/chart" Target="../charts/chart18.xml"/><Relationship Id="rId16" Type="http://schemas.openxmlformats.org/officeDocument/2006/relationships/chart" Target="../charts/chart32.xml"/><Relationship Id="rId20" Type="http://schemas.openxmlformats.org/officeDocument/2006/relationships/chart" Target="../charts/chart36.xml"/><Relationship Id="rId1" Type="http://schemas.openxmlformats.org/officeDocument/2006/relationships/chart" Target="../charts/chart17.xml"/><Relationship Id="rId6" Type="http://schemas.openxmlformats.org/officeDocument/2006/relationships/chart" Target="../charts/chart22.xml"/><Relationship Id="rId11" Type="http://schemas.openxmlformats.org/officeDocument/2006/relationships/chart" Target="../charts/chart27.xml"/><Relationship Id="rId5" Type="http://schemas.openxmlformats.org/officeDocument/2006/relationships/chart" Target="../charts/chart21.xml"/><Relationship Id="rId15" Type="http://schemas.openxmlformats.org/officeDocument/2006/relationships/chart" Target="../charts/chart31.xml"/><Relationship Id="rId10" Type="http://schemas.openxmlformats.org/officeDocument/2006/relationships/chart" Target="../charts/chart26.xml"/><Relationship Id="rId19" Type="http://schemas.openxmlformats.org/officeDocument/2006/relationships/chart" Target="../charts/chart35.xml"/><Relationship Id="rId4" Type="http://schemas.openxmlformats.org/officeDocument/2006/relationships/chart" Target="../charts/chart20.xml"/><Relationship Id="rId9" Type="http://schemas.openxmlformats.org/officeDocument/2006/relationships/chart" Target="../charts/chart25.xml"/><Relationship Id="rId14" Type="http://schemas.openxmlformats.org/officeDocument/2006/relationships/chart" Target="../charts/chart30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4.xml"/><Relationship Id="rId3" Type="http://schemas.openxmlformats.org/officeDocument/2006/relationships/chart" Target="../charts/chart39.xml"/><Relationship Id="rId7" Type="http://schemas.openxmlformats.org/officeDocument/2006/relationships/chart" Target="../charts/chart43.xml"/><Relationship Id="rId2" Type="http://schemas.openxmlformats.org/officeDocument/2006/relationships/chart" Target="../charts/chart38.xml"/><Relationship Id="rId1" Type="http://schemas.openxmlformats.org/officeDocument/2006/relationships/chart" Target="../charts/chart37.xml"/><Relationship Id="rId6" Type="http://schemas.openxmlformats.org/officeDocument/2006/relationships/chart" Target="../charts/chart42.xml"/><Relationship Id="rId5" Type="http://schemas.openxmlformats.org/officeDocument/2006/relationships/chart" Target="../charts/chart41.xml"/><Relationship Id="rId4" Type="http://schemas.openxmlformats.org/officeDocument/2006/relationships/chart" Target="../charts/chart40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2.xml"/><Relationship Id="rId3" Type="http://schemas.openxmlformats.org/officeDocument/2006/relationships/chart" Target="../charts/chart47.xml"/><Relationship Id="rId7" Type="http://schemas.openxmlformats.org/officeDocument/2006/relationships/chart" Target="../charts/chart51.xml"/><Relationship Id="rId2" Type="http://schemas.openxmlformats.org/officeDocument/2006/relationships/chart" Target="../charts/chart46.xml"/><Relationship Id="rId1" Type="http://schemas.openxmlformats.org/officeDocument/2006/relationships/chart" Target="../charts/chart45.xml"/><Relationship Id="rId6" Type="http://schemas.openxmlformats.org/officeDocument/2006/relationships/chart" Target="../charts/chart50.xml"/><Relationship Id="rId5" Type="http://schemas.openxmlformats.org/officeDocument/2006/relationships/chart" Target="../charts/chart49.xml"/><Relationship Id="rId4" Type="http://schemas.openxmlformats.org/officeDocument/2006/relationships/chart" Target="../charts/chart48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0.xml"/><Relationship Id="rId3" Type="http://schemas.openxmlformats.org/officeDocument/2006/relationships/chart" Target="../charts/chart55.xml"/><Relationship Id="rId7" Type="http://schemas.openxmlformats.org/officeDocument/2006/relationships/chart" Target="../charts/chart59.xml"/><Relationship Id="rId2" Type="http://schemas.openxmlformats.org/officeDocument/2006/relationships/chart" Target="../charts/chart54.xml"/><Relationship Id="rId1" Type="http://schemas.openxmlformats.org/officeDocument/2006/relationships/chart" Target="../charts/chart53.xml"/><Relationship Id="rId6" Type="http://schemas.openxmlformats.org/officeDocument/2006/relationships/chart" Target="../charts/chart58.xml"/><Relationship Id="rId5" Type="http://schemas.openxmlformats.org/officeDocument/2006/relationships/chart" Target="../charts/chart57.xml"/><Relationship Id="rId4" Type="http://schemas.openxmlformats.org/officeDocument/2006/relationships/chart" Target="../charts/chart5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23</xdr:row>
      <xdr:rowOff>194233</xdr:rowOff>
    </xdr:from>
    <xdr:to>
      <xdr:col>11</xdr:col>
      <xdr:colOff>417562</xdr:colOff>
      <xdr:row>38</xdr:row>
      <xdr:rowOff>157201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0FF9A9A-2C3D-4E50-96C7-C3F0ACAD0E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55</xdr:row>
      <xdr:rowOff>194234</xdr:rowOff>
    </xdr:from>
    <xdr:to>
      <xdr:col>11</xdr:col>
      <xdr:colOff>423686</xdr:colOff>
      <xdr:row>70</xdr:row>
      <xdr:rowOff>135091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FF3709A6-F841-4CA1-BE8E-3B7BAF57FB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39</xdr:row>
      <xdr:rowOff>188321</xdr:rowOff>
    </xdr:from>
    <xdr:to>
      <xdr:col>11</xdr:col>
      <xdr:colOff>417562</xdr:colOff>
      <xdr:row>55</xdr:row>
      <xdr:rowOff>91758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474374E4-0736-44C5-87F2-7DD26D7963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72</xdr:row>
      <xdr:rowOff>0</xdr:rowOff>
    </xdr:from>
    <xdr:to>
      <xdr:col>11</xdr:col>
      <xdr:colOff>423686</xdr:colOff>
      <xdr:row>87</xdr:row>
      <xdr:rowOff>17058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5D4C43F0-B84C-4F93-A944-09B6DEB768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2560</xdr:colOff>
      <xdr:row>23</xdr:row>
      <xdr:rowOff>194232</xdr:rowOff>
    </xdr:from>
    <xdr:to>
      <xdr:col>19</xdr:col>
      <xdr:colOff>459810</xdr:colOff>
      <xdr:row>38</xdr:row>
      <xdr:rowOff>163815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4520952E-DF3D-43ED-9C41-01D7F31956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2560</xdr:colOff>
      <xdr:row>39</xdr:row>
      <xdr:rowOff>188321</xdr:rowOff>
    </xdr:from>
    <xdr:to>
      <xdr:col>19</xdr:col>
      <xdr:colOff>459810</xdr:colOff>
      <xdr:row>55</xdr:row>
      <xdr:rowOff>83821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4A2853CF-ACD4-4FE8-B51C-5165523CE3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2561</xdr:colOff>
      <xdr:row>55</xdr:row>
      <xdr:rowOff>194234</xdr:rowOff>
    </xdr:from>
    <xdr:to>
      <xdr:col>19</xdr:col>
      <xdr:colOff>458903</xdr:colOff>
      <xdr:row>70</xdr:row>
      <xdr:rowOff>135091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0C5ED8EB-9EFD-4BCB-B68C-5C1D12555D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2561</xdr:colOff>
      <xdr:row>72</xdr:row>
      <xdr:rowOff>0</xdr:rowOff>
    </xdr:from>
    <xdr:to>
      <xdr:col>19</xdr:col>
      <xdr:colOff>458903</xdr:colOff>
      <xdr:row>87</xdr:row>
      <xdr:rowOff>17058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F41CC5A5-5421-4EAF-A3D9-9A977EFC6A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26</xdr:col>
      <xdr:colOff>0</xdr:colOff>
      <xdr:row>23</xdr:row>
      <xdr:rowOff>194234</xdr:rowOff>
    </xdr:from>
    <xdr:to>
      <xdr:col>32</xdr:col>
      <xdr:colOff>167531</xdr:colOff>
      <xdr:row>38</xdr:row>
      <xdr:rowOff>157202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A25D17A-F88B-4845-A099-F7970047F9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26</xdr:col>
      <xdr:colOff>0</xdr:colOff>
      <xdr:row>39</xdr:row>
      <xdr:rowOff>190498</xdr:rowOff>
    </xdr:from>
    <xdr:to>
      <xdr:col>32</xdr:col>
      <xdr:colOff>167531</xdr:colOff>
      <xdr:row>55</xdr:row>
      <xdr:rowOff>93935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517243D-7CAF-4DE7-ACEF-7E16C7E422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25</xdr:col>
      <xdr:colOff>607217</xdr:colOff>
      <xdr:row>56</xdr:row>
      <xdr:rowOff>3734</xdr:rowOff>
    </xdr:from>
    <xdr:to>
      <xdr:col>32</xdr:col>
      <xdr:colOff>167530</xdr:colOff>
      <xdr:row>70</xdr:row>
      <xdr:rowOff>169109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FDA68758-A7C1-406F-9C60-5D537EBB95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26</xdr:col>
      <xdr:colOff>0</xdr:colOff>
      <xdr:row>72</xdr:row>
      <xdr:rowOff>0</xdr:rowOff>
    </xdr:from>
    <xdr:to>
      <xdr:col>32</xdr:col>
      <xdr:colOff>167531</xdr:colOff>
      <xdr:row>87</xdr:row>
      <xdr:rowOff>93938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D9C9C631-DD6E-468D-B792-26C6070228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33</xdr:col>
      <xdr:colOff>0</xdr:colOff>
      <xdr:row>23</xdr:row>
      <xdr:rowOff>194234</xdr:rowOff>
    </xdr:from>
    <xdr:to>
      <xdr:col>39</xdr:col>
      <xdr:colOff>191344</xdr:colOff>
      <xdr:row>38</xdr:row>
      <xdr:rowOff>157202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908037AA-780D-4507-AC93-F1F2A5E673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33</xdr:col>
      <xdr:colOff>0</xdr:colOff>
      <xdr:row>39</xdr:row>
      <xdr:rowOff>190499</xdr:rowOff>
    </xdr:from>
    <xdr:to>
      <xdr:col>39</xdr:col>
      <xdr:colOff>191344</xdr:colOff>
      <xdr:row>55</xdr:row>
      <xdr:rowOff>93936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9CF94740-77CC-44D6-814B-756448611F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32</xdr:col>
      <xdr:colOff>682941</xdr:colOff>
      <xdr:row>56</xdr:row>
      <xdr:rowOff>3734</xdr:rowOff>
    </xdr:from>
    <xdr:to>
      <xdr:col>39</xdr:col>
      <xdr:colOff>183722</xdr:colOff>
      <xdr:row>70</xdr:row>
      <xdr:rowOff>169109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B922C6D8-D618-43CF-B535-9A34FF6C23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33</xdr:col>
      <xdr:colOff>0</xdr:colOff>
      <xdr:row>72</xdr:row>
      <xdr:rowOff>0</xdr:rowOff>
    </xdr:from>
    <xdr:to>
      <xdr:col>39</xdr:col>
      <xdr:colOff>191344</xdr:colOff>
      <xdr:row>87</xdr:row>
      <xdr:rowOff>93938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59CEDECA-15E6-4329-9BE8-33A6550BBB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34</xdr:row>
      <xdr:rowOff>0</xdr:rowOff>
    </xdr:from>
    <xdr:to>
      <xdr:col>12</xdr:col>
      <xdr:colOff>127539</xdr:colOff>
      <xdr:row>48</xdr:row>
      <xdr:rowOff>144616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C547718-E0E8-4FC8-A1A2-E4F3BEC19F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50</xdr:row>
      <xdr:rowOff>187764</xdr:rowOff>
    </xdr:from>
    <xdr:to>
      <xdr:col>12</xdr:col>
      <xdr:colOff>127539</xdr:colOff>
      <xdr:row>66</xdr:row>
      <xdr:rowOff>17615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71E055B-08EF-4A6E-B4F1-359EB9FD51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68</xdr:row>
      <xdr:rowOff>0</xdr:rowOff>
    </xdr:from>
    <xdr:to>
      <xdr:col>12</xdr:col>
      <xdr:colOff>127539</xdr:colOff>
      <xdr:row>82</xdr:row>
      <xdr:rowOff>144615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AD8EB2A-9C58-4BD0-ACD2-D98900C76C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83</xdr:row>
      <xdr:rowOff>187376</xdr:rowOff>
    </xdr:from>
    <xdr:to>
      <xdr:col>12</xdr:col>
      <xdr:colOff>127539</xdr:colOff>
      <xdr:row>99</xdr:row>
      <xdr:rowOff>9606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DF51BFA-1DAF-4F75-A220-360BA364B0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0</xdr:colOff>
      <xdr:row>34</xdr:row>
      <xdr:rowOff>0</xdr:rowOff>
    </xdr:from>
    <xdr:to>
      <xdr:col>20</xdr:col>
      <xdr:colOff>391308</xdr:colOff>
      <xdr:row>48</xdr:row>
      <xdr:rowOff>144616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97E8073E-7E9C-4B7B-9D7E-BC26B6C726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0</xdr:colOff>
      <xdr:row>50</xdr:row>
      <xdr:rowOff>187764</xdr:rowOff>
    </xdr:from>
    <xdr:to>
      <xdr:col>20</xdr:col>
      <xdr:colOff>391308</xdr:colOff>
      <xdr:row>66</xdr:row>
      <xdr:rowOff>9995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9E18CED8-48B0-4D8C-B443-487E333B8C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0</xdr:colOff>
      <xdr:row>68</xdr:row>
      <xdr:rowOff>0</xdr:rowOff>
    </xdr:from>
    <xdr:to>
      <xdr:col>20</xdr:col>
      <xdr:colOff>391308</xdr:colOff>
      <xdr:row>82</xdr:row>
      <xdr:rowOff>144615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919C5B19-49E6-4355-99BE-5AFA50CB6C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0</xdr:colOff>
      <xdr:row>83</xdr:row>
      <xdr:rowOff>187376</xdr:rowOff>
    </xdr:from>
    <xdr:to>
      <xdr:col>20</xdr:col>
      <xdr:colOff>407804</xdr:colOff>
      <xdr:row>99</xdr:row>
      <xdr:rowOff>19376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0A94AD95-D5CA-4678-A589-8214C0A90D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27</xdr:col>
      <xdr:colOff>0</xdr:colOff>
      <xdr:row>33</xdr:row>
      <xdr:rowOff>188025</xdr:rowOff>
    </xdr:from>
    <xdr:to>
      <xdr:col>34</xdr:col>
      <xdr:colOff>132580</xdr:colOff>
      <xdr:row>48</xdr:row>
      <xdr:rowOff>130637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7A34EA89-DC36-4BAC-816D-CC868AC228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36</xdr:col>
      <xdr:colOff>0</xdr:colOff>
      <xdr:row>34</xdr:row>
      <xdr:rowOff>0</xdr:rowOff>
    </xdr:from>
    <xdr:to>
      <xdr:col>43</xdr:col>
      <xdr:colOff>378387</xdr:colOff>
      <xdr:row>48</xdr:row>
      <xdr:rowOff>139258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3D9C01D2-AD1A-47E6-B211-332B2C085E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27</xdr:col>
      <xdr:colOff>0</xdr:colOff>
      <xdr:row>50</xdr:row>
      <xdr:rowOff>189024</xdr:rowOff>
    </xdr:from>
    <xdr:to>
      <xdr:col>34</xdr:col>
      <xdr:colOff>132580</xdr:colOff>
      <xdr:row>66</xdr:row>
      <xdr:rowOff>21024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4BAE8BBA-E653-4A58-922A-ECCB8BCD72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36</xdr:col>
      <xdr:colOff>0</xdr:colOff>
      <xdr:row>50</xdr:row>
      <xdr:rowOff>189024</xdr:rowOff>
    </xdr:from>
    <xdr:to>
      <xdr:col>43</xdr:col>
      <xdr:colOff>378387</xdr:colOff>
      <xdr:row>66</xdr:row>
      <xdr:rowOff>21024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24599F29-C47F-4F93-89E6-E36220636B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26</xdr:col>
      <xdr:colOff>733777</xdr:colOff>
      <xdr:row>68</xdr:row>
      <xdr:rowOff>0</xdr:rowOff>
    </xdr:from>
    <xdr:to>
      <xdr:col>34</xdr:col>
      <xdr:colOff>164443</xdr:colOff>
      <xdr:row>82</xdr:row>
      <xdr:rowOff>128334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6CF30EAE-C314-4EA2-AA83-7409DDFFB4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36</xdr:col>
      <xdr:colOff>0</xdr:colOff>
      <xdr:row>68</xdr:row>
      <xdr:rowOff>0</xdr:rowOff>
    </xdr:from>
    <xdr:to>
      <xdr:col>43</xdr:col>
      <xdr:colOff>432555</xdr:colOff>
      <xdr:row>82</xdr:row>
      <xdr:rowOff>128334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BD984D81-BD73-4E42-9295-B1F130855B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26</xdr:col>
      <xdr:colOff>733777</xdr:colOff>
      <xdr:row>83</xdr:row>
      <xdr:rowOff>187376</xdr:rowOff>
    </xdr:from>
    <xdr:to>
      <xdr:col>34</xdr:col>
      <xdr:colOff>164443</xdr:colOff>
      <xdr:row>99</xdr:row>
      <xdr:rowOff>19376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E6FEE134-44EC-48F0-B60F-DE2FD7D168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36</xdr:col>
      <xdr:colOff>0</xdr:colOff>
      <xdr:row>83</xdr:row>
      <xdr:rowOff>187376</xdr:rowOff>
    </xdr:from>
    <xdr:to>
      <xdr:col>43</xdr:col>
      <xdr:colOff>412800</xdr:colOff>
      <xdr:row>98</xdr:row>
      <xdr:rowOff>156536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A445ECBA-F503-40C1-838D-0F67158042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50</xdr:col>
      <xdr:colOff>0</xdr:colOff>
      <xdr:row>34</xdr:row>
      <xdr:rowOff>0</xdr:rowOff>
    </xdr:from>
    <xdr:to>
      <xdr:col>57</xdr:col>
      <xdr:colOff>400395</xdr:colOff>
      <xdr:row>48</xdr:row>
      <xdr:rowOff>150976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6A96A2DF-C76E-4D95-995F-F48BF41FB0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50</xdr:col>
      <xdr:colOff>0</xdr:colOff>
      <xdr:row>50</xdr:row>
      <xdr:rowOff>0</xdr:rowOff>
    </xdr:from>
    <xdr:to>
      <xdr:col>57</xdr:col>
      <xdr:colOff>400395</xdr:colOff>
      <xdr:row>65</xdr:row>
      <xdr:rowOff>9209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11C47551-8300-4A7D-9858-169B637C96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59</xdr:col>
      <xdr:colOff>0</xdr:colOff>
      <xdr:row>34</xdr:row>
      <xdr:rowOff>0</xdr:rowOff>
    </xdr:from>
    <xdr:to>
      <xdr:col>66</xdr:col>
      <xdr:colOff>400395</xdr:colOff>
      <xdr:row>48</xdr:row>
      <xdr:rowOff>150976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47074B04-46D6-491C-97EE-E5DC62B683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59</xdr:col>
      <xdr:colOff>0</xdr:colOff>
      <xdr:row>49</xdr:row>
      <xdr:rowOff>186069</xdr:rowOff>
    </xdr:from>
    <xdr:to>
      <xdr:col>66</xdr:col>
      <xdr:colOff>400395</xdr:colOff>
      <xdr:row>65</xdr:row>
      <xdr:rowOff>9208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FF289966-7B42-43A9-B798-7DA3366628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20</xdr:row>
      <xdr:rowOff>-1</xdr:rowOff>
    </xdr:from>
    <xdr:to>
      <xdr:col>11</xdr:col>
      <xdr:colOff>707606</xdr:colOff>
      <xdr:row>34</xdr:row>
      <xdr:rowOff>156786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CAE45CD-E2E9-40FC-8B06-32FF859A78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37</xdr:row>
      <xdr:rowOff>0</xdr:rowOff>
    </xdr:from>
    <xdr:to>
      <xdr:col>11</xdr:col>
      <xdr:colOff>707606</xdr:colOff>
      <xdr:row>52</xdr:row>
      <xdr:rowOff>19377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665CC08-103F-4630-9AAD-18EA9382D3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53</xdr:row>
      <xdr:rowOff>187376</xdr:rowOff>
    </xdr:from>
    <xdr:to>
      <xdr:col>11</xdr:col>
      <xdr:colOff>707606</xdr:colOff>
      <xdr:row>68</xdr:row>
      <xdr:rowOff>156786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4F5CEE21-D5AE-4CB7-B05A-B67026F064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70</xdr:row>
      <xdr:rowOff>0</xdr:rowOff>
    </xdr:from>
    <xdr:to>
      <xdr:col>11</xdr:col>
      <xdr:colOff>707606</xdr:colOff>
      <xdr:row>85</xdr:row>
      <xdr:rowOff>19377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B5EBA4B7-AB73-46BD-A6A2-E923411AB5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1911</xdr:colOff>
      <xdr:row>20</xdr:row>
      <xdr:rowOff>4408</xdr:rowOff>
    </xdr:from>
    <xdr:to>
      <xdr:col>19</xdr:col>
      <xdr:colOff>175225</xdr:colOff>
      <xdr:row>34</xdr:row>
      <xdr:rowOff>97665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4492A319-150C-4B97-9683-D5882DC6E7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0</xdr:colOff>
      <xdr:row>37</xdr:row>
      <xdr:rowOff>0</xdr:rowOff>
    </xdr:from>
    <xdr:to>
      <xdr:col>19</xdr:col>
      <xdr:colOff>173314</xdr:colOff>
      <xdr:row>51</xdr:row>
      <xdr:rowOff>169457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39047D74-823E-42B7-840B-4AC3705E91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0</xdr:colOff>
      <xdr:row>53</xdr:row>
      <xdr:rowOff>187376</xdr:rowOff>
    </xdr:from>
    <xdr:to>
      <xdr:col>19</xdr:col>
      <xdr:colOff>173314</xdr:colOff>
      <xdr:row>68</xdr:row>
      <xdr:rowOff>128234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116F7886-2F0D-44E0-B0B7-B0EA69DE6B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0</xdr:colOff>
      <xdr:row>70</xdr:row>
      <xdr:rowOff>0</xdr:rowOff>
    </xdr:from>
    <xdr:to>
      <xdr:col>19</xdr:col>
      <xdr:colOff>173314</xdr:colOff>
      <xdr:row>84</xdr:row>
      <xdr:rowOff>169457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10BC0DD1-6958-4E30-8C8E-BE7D71A908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18</xdr:row>
      <xdr:rowOff>0</xdr:rowOff>
    </xdr:from>
    <xdr:to>
      <xdr:col>12</xdr:col>
      <xdr:colOff>582689</xdr:colOff>
      <xdr:row>32</xdr:row>
      <xdr:rowOff>156787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17B58C4-D77A-459C-89CF-687F0E5FBB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18</xdr:row>
      <xdr:rowOff>0</xdr:rowOff>
    </xdr:from>
    <xdr:to>
      <xdr:col>20</xdr:col>
      <xdr:colOff>632656</xdr:colOff>
      <xdr:row>32</xdr:row>
      <xdr:rowOff>156787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5D54482-2B8F-483B-A406-813676B6FD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35</xdr:row>
      <xdr:rowOff>0</xdr:rowOff>
    </xdr:from>
    <xdr:to>
      <xdr:col>12</xdr:col>
      <xdr:colOff>582689</xdr:colOff>
      <xdr:row>50</xdr:row>
      <xdr:rowOff>19377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8C9EF40-6FA1-41EB-ACCD-F0F40E6C2F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35</xdr:row>
      <xdr:rowOff>0</xdr:rowOff>
    </xdr:from>
    <xdr:to>
      <xdr:col>20</xdr:col>
      <xdr:colOff>632656</xdr:colOff>
      <xdr:row>50</xdr:row>
      <xdr:rowOff>19377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A6B633C-74EA-4AAC-A303-B4D6D290DC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0</xdr:colOff>
      <xdr:row>52</xdr:row>
      <xdr:rowOff>0</xdr:rowOff>
    </xdr:from>
    <xdr:to>
      <xdr:col>12</xdr:col>
      <xdr:colOff>582689</xdr:colOff>
      <xdr:row>66</xdr:row>
      <xdr:rowOff>156787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A50A82C4-F489-4F9F-A4F3-935932EC2D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0</xdr:colOff>
      <xdr:row>52</xdr:row>
      <xdr:rowOff>0</xdr:rowOff>
    </xdr:from>
    <xdr:to>
      <xdr:col>20</xdr:col>
      <xdr:colOff>632656</xdr:colOff>
      <xdr:row>66</xdr:row>
      <xdr:rowOff>156787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3622EA94-8932-4BF0-91BB-10B2CDFA4A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0</xdr:colOff>
      <xdr:row>68</xdr:row>
      <xdr:rowOff>0</xdr:rowOff>
    </xdr:from>
    <xdr:to>
      <xdr:col>12</xdr:col>
      <xdr:colOff>582689</xdr:colOff>
      <xdr:row>83</xdr:row>
      <xdr:rowOff>19377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246207AB-26FC-44FF-9745-5A9BCBE683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0</xdr:colOff>
      <xdr:row>68</xdr:row>
      <xdr:rowOff>0</xdr:rowOff>
    </xdr:from>
    <xdr:to>
      <xdr:col>20</xdr:col>
      <xdr:colOff>632656</xdr:colOff>
      <xdr:row>83</xdr:row>
      <xdr:rowOff>19377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EE2C87E5-BB68-40E0-98B7-C80DA0279F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22</xdr:row>
      <xdr:rowOff>0</xdr:rowOff>
    </xdr:from>
    <xdr:to>
      <xdr:col>12</xdr:col>
      <xdr:colOff>230903</xdr:colOff>
      <xdr:row>36</xdr:row>
      <xdr:rowOff>139258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13EF398-7A37-4065-B82C-3280C4547D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22</xdr:row>
      <xdr:rowOff>0</xdr:rowOff>
    </xdr:from>
    <xdr:to>
      <xdr:col>20</xdr:col>
      <xdr:colOff>476710</xdr:colOff>
      <xdr:row>36</xdr:row>
      <xdr:rowOff>139258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712A55E-8F5D-48E5-A9D0-835320118E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39</xdr:row>
      <xdr:rowOff>0</xdr:rowOff>
    </xdr:from>
    <xdr:to>
      <xdr:col>12</xdr:col>
      <xdr:colOff>230903</xdr:colOff>
      <xdr:row>54</xdr:row>
      <xdr:rowOff>28645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CE29BC4-564F-4A49-81BB-4335C7A15B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39</xdr:row>
      <xdr:rowOff>0</xdr:rowOff>
    </xdr:from>
    <xdr:to>
      <xdr:col>20</xdr:col>
      <xdr:colOff>476710</xdr:colOff>
      <xdr:row>54</xdr:row>
      <xdr:rowOff>28645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7296FED-D0CE-4DC5-A2DB-2919D32692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0</xdr:colOff>
      <xdr:row>56</xdr:row>
      <xdr:rowOff>0</xdr:rowOff>
    </xdr:from>
    <xdr:to>
      <xdr:col>12</xdr:col>
      <xdr:colOff>230903</xdr:colOff>
      <xdr:row>70</xdr:row>
      <xdr:rowOff>139258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91F0063A-B49B-42BE-83BF-5C24E21E1F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0</xdr:colOff>
      <xdr:row>56</xdr:row>
      <xdr:rowOff>0</xdr:rowOff>
    </xdr:from>
    <xdr:to>
      <xdr:col>20</xdr:col>
      <xdr:colOff>476710</xdr:colOff>
      <xdr:row>70</xdr:row>
      <xdr:rowOff>139258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B2DB3393-F1DE-4E44-8B5A-636A92DD7E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0</xdr:colOff>
      <xdr:row>72</xdr:row>
      <xdr:rowOff>0</xdr:rowOff>
    </xdr:from>
    <xdr:to>
      <xdr:col>12</xdr:col>
      <xdr:colOff>230903</xdr:colOff>
      <xdr:row>87</xdr:row>
      <xdr:rowOff>28645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AF5CD3AB-3F60-417C-ABD8-B16B63A415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0</xdr:colOff>
      <xdr:row>72</xdr:row>
      <xdr:rowOff>0</xdr:rowOff>
    </xdr:from>
    <xdr:to>
      <xdr:col>20</xdr:col>
      <xdr:colOff>476710</xdr:colOff>
      <xdr:row>87</xdr:row>
      <xdr:rowOff>28645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02F4483F-894F-4C75-81D5-69C3A3AC06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12</xdr:row>
      <xdr:rowOff>181840</xdr:rowOff>
    </xdr:from>
    <xdr:to>
      <xdr:col>6</xdr:col>
      <xdr:colOff>428387</xdr:colOff>
      <xdr:row>28</xdr:row>
      <xdr:rowOff>152385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4AFE2A81-2495-46E1-B08A-AEAB39A5EC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BF49F-94AF-46FE-AC86-B65154E9E42B}">
  <sheetPr>
    <tabColor rgb="FFFF0000"/>
  </sheetPr>
  <dimension ref="B1:AO81"/>
  <sheetViews>
    <sheetView topLeftCell="S3" zoomScale="59" zoomScaleNormal="70" workbookViewId="0">
      <selection activeCell="AO26" sqref="AO26"/>
    </sheetView>
  </sheetViews>
  <sheetFormatPr defaultRowHeight="14.4" x14ac:dyDescent="0.3"/>
  <cols>
    <col min="1" max="1" width="8.88671875" style="139"/>
    <col min="2" max="2" width="8.88671875" style="139" customWidth="1"/>
    <col min="3" max="4" width="11.109375" style="139" customWidth="1"/>
    <col min="5" max="5" width="8.88671875" style="139" customWidth="1"/>
    <col min="6" max="6" width="10" style="139" bestFit="1" customWidth="1"/>
    <col min="7" max="7" width="12.109375" style="139" bestFit="1" customWidth="1"/>
    <col min="8" max="8" width="12.44140625" style="139" bestFit="1" customWidth="1"/>
    <col min="9" max="9" width="14.109375" style="139" bestFit="1" customWidth="1"/>
    <col min="10" max="10" width="12.77734375" style="139" bestFit="1" customWidth="1"/>
    <col min="11" max="11" width="10.6640625" style="139" bestFit="1" customWidth="1"/>
    <col min="12" max="12" width="11" style="139" bestFit="1" customWidth="1"/>
    <col min="13" max="13" width="12.44140625" style="139" bestFit="1" customWidth="1"/>
    <col min="14" max="14" width="11.21875" style="139" bestFit="1" customWidth="1"/>
    <col min="15" max="15" width="9.6640625" style="139" bestFit="1" customWidth="1"/>
    <col min="16" max="16" width="10.33203125" style="139" bestFit="1" customWidth="1"/>
    <col min="17" max="17" width="9" style="139" bestFit="1" customWidth="1"/>
    <col min="18" max="18" width="10.33203125" style="139" bestFit="1" customWidth="1"/>
    <col min="19" max="19" width="10.88671875" style="139" customWidth="1"/>
    <col min="20" max="20" width="10.21875" style="139" bestFit="1" customWidth="1"/>
    <col min="21" max="21" width="9.6640625" style="139" customWidth="1"/>
    <col min="22" max="22" width="8.77734375" style="139" customWidth="1"/>
    <col min="23" max="23" width="11" style="139" customWidth="1"/>
    <col min="24" max="24" width="11.109375" style="139" customWidth="1"/>
    <col min="25" max="25" width="8.88671875" style="139" customWidth="1"/>
    <col min="26" max="26" width="8.88671875" style="139"/>
    <col min="27" max="27" width="10.44140625" style="139" bestFit="1" customWidth="1"/>
    <col min="28" max="28" width="10.33203125" style="139" bestFit="1" customWidth="1"/>
    <col min="29" max="29" width="12.21875" style="139" bestFit="1" customWidth="1"/>
    <col min="30" max="30" width="10.33203125" style="139" bestFit="1" customWidth="1"/>
    <col min="31" max="31" width="10.44140625" style="139" bestFit="1" customWidth="1"/>
    <col min="32" max="32" width="12" style="139" bestFit="1" customWidth="1"/>
    <col min="33" max="33" width="10" style="139" bestFit="1" customWidth="1"/>
    <col min="34" max="35" width="13.44140625" style="139" bestFit="1" customWidth="1"/>
    <col min="36" max="37" width="8.88671875" style="139"/>
    <col min="38" max="38" width="10.44140625" style="139" bestFit="1" customWidth="1"/>
    <col min="39" max="39" width="10.6640625" style="139" bestFit="1" customWidth="1"/>
    <col min="40" max="40" width="12.6640625" style="139" bestFit="1" customWidth="1"/>
    <col min="41" max="41" width="13.44140625" style="139" customWidth="1"/>
    <col min="42" max="42" width="13.44140625" style="139" bestFit="1" customWidth="1"/>
    <col min="43" max="16384" width="8.88671875" style="139"/>
  </cols>
  <sheetData>
    <row r="1" spans="2:41" ht="15" thickBot="1" x14ac:dyDescent="0.35">
      <c r="B1" s="138" t="s">
        <v>5</v>
      </c>
    </row>
    <row r="2" spans="2:41" ht="16.2" thickBot="1" x14ac:dyDescent="0.4">
      <c r="B2" s="140" t="s">
        <v>6</v>
      </c>
      <c r="C2" s="142">
        <v>300</v>
      </c>
      <c r="E2" s="149" t="s">
        <v>56</v>
      </c>
      <c r="F2" s="150">
        <v>0</v>
      </c>
      <c r="H2" s="140" t="s">
        <v>39</v>
      </c>
      <c r="I2" s="142">
        <v>1E-4</v>
      </c>
      <c r="K2" s="140" t="s">
        <v>33</v>
      </c>
      <c r="L2" s="142">
        <v>1E-4</v>
      </c>
    </row>
    <row r="3" spans="2:41" ht="16.2" thickBot="1" x14ac:dyDescent="0.4">
      <c r="B3" s="163" t="s">
        <v>38</v>
      </c>
      <c r="C3" s="164">
        <v>4.1000000000000002E-2</v>
      </c>
      <c r="H3" s="143" t="s">
        <v>41</v>
      </c>
      <c r="I3" s="145">
        <f>SQRT(2)*I2</f>
        <v>1.4142135623730951E-4</v>
      </c>
      <c r="K3" s="143" t="s">
        <v>34</v>
      </c>
      <c r="L3" s="145">
        <f>SQRT(2)*L2</f>
        <v>1.4142135623730951E-4</v>
      </c>
    </row>
    <row r="4" spans="2:41" ht="16.8" thickBot="1" x14ac:dyDescent="0.35">
      <c r="B4" s="143" t="s">
        <v>42</v>
      </c>
      <c r="C4" s="165">
        <f>PI()*C3^2/4</f>
        <v>1.3202543126711107E-3</v>
      </c>
      <c r="E4" s="149" t="s">
        <v>3</v>
      </c>
      <c r="F4" s="166">
        <v>1</v>
      </c>
    </row>
    <row r="5" spans="2:41" ht="16.2" thickBot="1" x14ac:dyDescent="0.4">
      <c r="K5" s="140" t="s">
        <v>43</v>
      </c>
      <c r="L5" s="313">
        <f>AVERAGE(G12:G23)</f>
        <v>0.43207759864403988</v>
      </c>
    </row>
    <row r="6" spans="2:41" ht="16.2" thickBot="1" x14ac:dyDescent="0.4">
      <c r="B6" s="168" t="s">
        <v>10</v>
      </c>
      <c r="C6" s="168"/>
      <c r="E6" s="169" t="s">
        <v>2</v>
      </c>
      <c r="F6" s="170">
        <f>2*PI()*F4</f>
        <v>6.2831853071795862</v>
      </c>
      <c r="K6" s="143" t="s">
        <v>44</v>
      </c>
      <c r="L6" s="174">
        <f>ABS(L5-MAX(G12:G23))</f>
        <v>2.7930717856868847E-3</v>
      </c>
    </row>
    <row r="7" spans="2:41" x14ac:dyDescent="0.3">
      <c r="B7" s="140" t="s">
        <v>11</v>
      </c>
      <c r="C7" s="171">
        <v>361</v>
      </c>
    </row>
    <row r="8" spans="2:41" x14ac:dyDescent="0.3">
      <c r="B8" s="172" t="s">
        <v>82</v>
      </c>
      <c r="C8" s="173">
        <v>1</v>
      </c>
    </row>
    <row r="9" spans="2:41" ht="15" thickBot="1" x14ac:dyDescent="0.35">
      <c r="B9" s="143" t="s">
        <v>97</v>
      </c>
      <c r="C9" s="186">
        <v>0.75</v>
      </c>
    </row>
    <row r="10" spans="2:41" ht="15.6" thickTop="1" thickBot="1" x14ac:dyDescent="0.35">
      <c r="B10" s="1"/>
      <c r="C10" s="1"/>
      <c r="D10" s="1"/>
      <c r="E10" s="1"/>
      <c r="F10" s="1"/>
      <c r="H10" s="323" t="s">
        <v>13</v>
      </c>
      <c r="I10" s="324"/>
      <c r="J10" s="324"/>
      <c r="K10" s="324"/>
      <c r="L10" s="324"/>
      <c r="M10" s="324"/>
      <c r="N10" s="324"/>
      <c r="O10" s="325"/>
      <c r="P10" s="332" t="s">
        <v>12</v>
      </c>
      <c r="Q10" s="333"/>
      <c r="R10" s="333"/>
      <c r="S10" s="333"/>
      <c r="T10" s="333"/>
      <c r="U10" s="333"/>
      <c r="V10" s="333"/>
      <c r="W10" s="333"/>
      <c r="X10" s="333"/>
      <c r="Y10" s="334"/>
    </row>
    <row r="11" spans="2:41" ht="16.8" thickTop="1" thickBot="1" x14ac:dyDescent="0.35">
      <c r="B11" s="2" t="s">
        <v>0</v>
      </c>
      <c r="C11" s="3" t="s">
        <v>1</v>
      </c>
      <c r="D11" s="3" t="s">
        <v>14</v>
      </c>
      <c r="E11" s="3" t="s">
        <v>35</v>
      </c>
      <c r="F11" s="3" t="s">
        <v>21</v>
      </c>
      <c r="G11" s="4" t="s">
        <v>4</v>
      </c>
      <c r="H11" s="21" t="s">
        <v>79</v>
      </c>
      <c r="I11" s="22" t="s">
        <v>15</v>
      </c>
      <c r="J11" s="22" t="s">
        <v>19</v>
      </c>
      <c r="K11" s="22" t="s">
        <v>17</v>
      </c>
      <c r="L11" s="22" t="s">
        <v>18</v>
      </c>
      <c r="M11" s="22" t="s">
        <v>36</v>
      </c>
      <c r="N11" s="22" t="s">
        <v>20</v>
      </c>
      <c r="O11" s="23" t="s">
        <v>17</v>
      </c>
      <c r="P11" s="96" t="s">
        <v>77</v>
      </c>
      <c r="Q11" s="129" t="s">
        <v>40</v>
      </c>
      <c r="R11" s="89" t="s">
        <v>15</v>
      </c>
      <c r="S11" s="89" t="s">
        <v>80</v>
      </c>
      <c r="T11" s="89" t="s">
        <v>19</v>
      </c>
      <c r="U11" s="89" t="s">
        <v>17</v>
      </c>
      <c r="V11" s="89" t="s">
        <v>18</v>
      </c>
      <c r="W11" s="89" t="s">
        <v>36</v>
      </c>
      <c r="X11" s="89" t="s">
        <v>20</v>
      </c>
      <c r="Y11" s="90" t="s">
        <v>17</v>
      </c>
      <c r="AD11" s="329" t="s">
        <v>13</v>
      </c>
      <c r="AE11" s="330"/>
      <c r="AF11" s="330"/>
      <c r="AG11" s="330"/>
      <c r="AH11" s="330"/>
      <c r="AI11" s="330"/>
      <c r="AJ11" s="331"/>
      <c r="AL11" s="335" t="s">
        <v>12</v>
      </c>
      <c r="AM11" s="336"/>
      <c r="AN11" s="336"/>
      <c r="AO11" s="337"/>
    </row>
    <row r="12" spans="2:41" ht="16.8" thickTop="1" thickBot="1" x14ac:dyDescent="0.35">
      <c r="B12" s="8">
        <v>400</v>
      </c>
      <c r="C12" s="71">
        <f>2*PI()*B12</f>
        <v>2513.2741228718346</v>
      </c>
      <c r="D12" s="70">
        <f>LOG10(C12)</f>
        <v>3.4002398596860774</v>
      </c>
      <c r="E12" s="70">
        <f t="shared" ref="E12:E22" si="0">F$6/(LN(10)*C12)</f>
        <v>1.0857362047581294E-3</v>
      </c>
      <c r="F12" s="9">
        <v>0.30719999999999997</v>
      </c>
      <c r="G12" s="80">
        <f t="shared" ref="G12:G22" si="1">F12*SQRT(2)</f>
        <v>0.43444640636101478</v>
      </c>
      <c r="H12" s="72">
        <v>0.18459999999999999</v>
      </c>
      <c r="I12" s="69">
        <f>H12*SQRT(2)</f>
        <v>0.26106382361407332</v>
      </c>
      <c r="J12" s="70">
        <f t="shared" ref="J12:J23" si="2">C$26*C12+D$26</f>
        <v>0.25293393238595629</v>
      </c>
      <c r="K12" s="70">
        <f>I12-J12</f>
        <v>8.1298912281170255E-3</v>
      </c>
      <c r="L12" s="69">
        <f>LOG10(I12)</f>
        <v>-0.58325330547811616</v>
      </c>
      <c r="M12" s="66">
        <f>I$3/(LN(10)*I12)</f>
        <v>2.3526244956839211E-4</v>
      </c>
      <c r="N12" s="70">
        <f t="shared" ref="N12:N23" si="3">C$42*D12+D$42</f>
        <v>-0.59457861059921369</v>
      </c>
      <c r="O12" s="85">
        <f t="shared" ref="O12:O22" si="4">L12-N12</f>
        <v>1.1325305121097529E-2</v>
      </c>
      <c r="P12" s="8">
        <v>0.52400000000000002</v>
      </c>
      <c r="Q12" s="9">
        <v>1E-3</v>
      </c>
      <c r="R12" s="69">
        <f>P12/2</f>
        <v>0.26200000000000001</v>
      </c>
      <c r="S12" s="9">
        <f>Q12/2</f>
        <v>5.0000000000000001E-4</v>
      </c>
      <c r="T12" s="70">
        <f t="shared" ref="T12:T23" si="5">C$58*C12+D$58</f>
        <v>0.25119934664846144</v>
      </c>
      <c r="U12" s="70">
        <f t="shared" ref="U12:U23" si="6">R12-T12</f>
        <v>1.0800653351538569E-2</v>
      </c>
      <c r="V12" s="70">
        <f t="shared" ref="V12:V23" si="7">LOG(R12)</f>
        <v>-0.58169870868025453</v>
      </c>
      <c r="W12" s="70">
        <f>S12/(LN(10)*R12)</f>
        <v>8.2880626317414466E-4</v>
      </c>
      <c r="X12" s="70">
        <f t="shared" ref="X12:X23" si="8">C$74*D12+D$74</f>
        <v>-0.59412714544725365</v>
      </c>
      <c r="Y12" s="85">
        <f t="shared" ref="Y12:Y22" si="9">V12-X12</f>
        <v>1.2428436766999118E-2</v>
      </c>
      <c r="AA12" s="2" t="s">
        <v>0</v>
      </c>
      <c r="AB12" s="27" t="s">
        <v>1</v>
      </c>
      <c r="AC12" s="107" t="s">
        <v>14</v>
      </c>
      <c r="AD12" s="122" t="s">
        <v>79</v>
      </c>
      <c r="AE12" s="94" t="s">
        <v>15</v>
      </c>
      <c r="AF12" s="94" t="s">
        <v>84</v>
      </c>
      <c r="AG12" s="94" t="s">
        <v>17</v>
      </c>
      <c r="AH12" s="94" t="s">
        <v>18</v>
      </c>
      <c r="AI12" s="94" t="s">
        <v>83</v>
      </c>
      <c r="AJ12" s="123" t="s">
        <v>17</v>
      </c>
      <c r="AL12" s="88" t="s">
        <v>19</v>
      </c>
      <c r="AM12" s="89" t="s">
        <v>17</v>
      </c>
      <c r="AN12" s="89" t="s">
        <v>20</v>
      </c>
      <c r="AO12" s="90" t="s">
        <v>17</v>
      </c>
    </row>
    <row r="13" spans="2:41" x14ac:dyDescent="0.3">
      <c r="B13" s="11">
        <v>645</v>
      </c>
      <c r="C13" s="67">
        <f t="shared" ref="C13:C22" si="10">2*PI()*B13</f>
        <v>4052.6545231308332</v>
      </c>
      <c r="D13" s="33">
        <f t="shared" ref="D13:D22" si="11">LOG10(C13)</f>
        <v>3.6077395829933829</v>
      </c>
      <c r="E13" s="33">
        <f t="shared" si="0"/>
        <v>6.7332477814457633E-4</v>
      </c>
      <c r="F13" s="12">
        <v>0.3039</v>
      </c>
      <c r="G13" s="81">
        <f t="shared" si="1"/>
        <v>0.42977950160518363</v>
      </c>
      <c r="H13" s="32">
        <v>0.2823</v>
      </c>
      <c r="I13" s="33">
        <f t="shared" ref="I13:I22" si="12">H13*SQRT(2)</f>
        <v>0.39923248865792477</v>
      </c>
      <c r="J13" s="64">
        <f t="shared" si="2"/>
        <v>0.40422195987371184</v>
      </c>
      <c r="K13" s="64">
        <f t="shared" ref="K13:K22" si="13">I13-J13</f>
        <v>-4.989471215787078E-3</v>
      </c>
      <c r="L13" s="33">
        <f t="shared" ref="L13:L22" si="14">LOG10(I13)</f>
        <v>-0.39877412402109003</v>
      </c>
      <c r="M13" s="83">
        <f t="shared" ref="M13:M22" si="15">I$3/(LN(10)*I13)</f>
        <v>1.5384147428382989E-4</v>
      </c>
      <c r="N13" s="64">
        <f t="shared" si="3"/>
        <v>-0.39049112082645232</v>
      </c>
      <c r="O13" s="86">
        <f t="shared" si="4"/>
        <v>-8.2830031946377058E-3</v>
      </c>
      <c r="P13" s="31">
        <v>0.8</v>
      </c>
      <c r="Q13" s="12">
        <v>1E-3</v>
      </c>
      <c r="R13" s="33">
        <f t="shared" ref="R13:R23" si="16">P13/2</f>
        <v>0.4</v>
      </c>
      <c r="S13" s="12">
        <f t="shared" ref="S13:S23" si="17">Q13/2</f>
        <v>5.0000000000000001E-4</v>
      </c>
      <c r="T13" s="64">
        <f t="shared" si="5"/>
        <v>0.40486817006732928</v>
      </c>
      <c r="U13" s="64">
        <f t="shared" si="6"/>
        <v>-4.8681700673292583E-3</v>
      </c>
      <c r="V13" s="64">
        <f t="shared" si="7"/>
        <v>-0.3979400086720376</v>
      </c>
      <c r="W13" s="64">
        <f t="shared" ref="W13:W23" si="18">S13/(LN(10)*R13)</f>
        <v>5.4286810237906471E-4</v>
      </c>
      <c r="X13" s="64">
        <f t="shared" si="8"/>
        <v>-0.3888254705433809</v>
      </c>
      <c r="Y13" s="86">
        <f t="shared" si="9"/>
        <v>-9.1145381286567018E-3</v>
      </c>
      <c r="AA13" s="8">
        <v>645</v>
      </c>
      <c r="AB13" s="106">
        <f t="shared" ref="AB13:AB22" si="19">2*PI()*AA13</f>
        <v>4052.6545231308332</v>
      </c>
      <c r="AC13" s="108">
        <f t="shared" ref="AC13:AC22" si="20">LOG10(AB13)</f>
        <v>3.6077395829933829</v>
      </c>
      <c r="AD13" s="124">
        <v>0.2823</v>
      </c>
      <c r="AE13" s="41">
        <f t="shared" ref="AE13:AE22" si="21">AD13*SQRT(2)</f>
        <v>0.39923248865792477</v>
      </c>
      <c r="AF13" s="113">
        <f>W$26*AB13+X$26</f>
        <v>0.40044092315594415</v>
      </c>
      <c r="AG13" s="113">
        <f>AE13-AF13</f>
        <v>-1.208434498019384E-3</v>
      </c>
      <c r="AH13" s="41">
        <f>LOG10(AE13)</f>
        <v>-0.39877412402109003</v>
      </c>
      <c r="AI13" s="111">
        <f>W$42*AC13+X$42</f>
        <v>-0.39746452576427815</v>
      </c>
      <c r="AJ13" s="175">
        <f>AH13-AI13</f>
        <v>-1.3095982568118725E-3</v>
      </c>
      <c r="AL13" s="127">
        <f>W$58*C13+X$58</f>
        <v>0.40074291722353189</v>
      </c>
      <c r="AM13" s="70">
        <f>R13-AL13</f>
        <v>-7.4291722353186929E-4</v>
      </c>
      <c r="AN13" s="70">
        <f>W$74*D13+X$74</f>
        <v>-0.39647811401688804</v>
      </c>
      <c r="AO13" s="85">
        <f>V13-AN13</f>
        <v>-1.4618946551495648E-3</v>
      </c>
    </row>
    <row r="14" spans="2:41" x14ac:dyDescent="0.3">
      <c r="B14" s="11">
        <v>806</v>
      </c>
      <c r="C14" s="67">
        <f t="shared" si="10"/>
        <v>5064.2473575867461</v>
      </c>
      <c r="D14" s="33">
        <f t="shared" si="11"/>
        <v>3.7045149101632058</v>
      </c>
      <c r="E14" s="33">
        <f t="shared" si="0"/>
        <v>5.3882690062438188E-4</v>
      </c>
      <c r="F14" s="12">
        <v>0.307</v>
      </c>
      <c r="G14" s="81">
        <f t="shared" si="1"/>
        <v>0.4341635636485402</v>
      </c>
      <c r="H14" s="32">
        <v>0.35610000000000003</v>
      </c>
      <c r="I14" s="33">
        <f t="shared" si="12"/>
        <v>0.50360144956105923</v>
      </c>
      <c r="J14" s="64">
        <f t="shared" si="2"/>
        <v>0.50363980650852258</v>
      </c>
      <c r="K14" s="64">
        <f t="shared" si="13"/>
        <v>-3.8356947463347169E-5</v>
      </c>
      <c r="L14" s="33">
        <f t="shared" si="14"/>
        <v>-0.29791302849375567</v>
      </c>
      <c r="M14" s="83">
        <f t="shared" si="15"/>
        <v>1.2195857396889967E-4</v>
      </c>
      <c r="N14" s="64">
        <f t="shared" si="3"/>
        <v>-0.29530721754588596</v>
      </c>
      <c r="O14" s="86">
        <f t="shared" si="4"/>
        <v>-2.6058109478697133E-3</v>
      </c>
      <c r="P14" s="74">
        <v>1.02</v>
      </c>
      <c r="Q14" s="12">
        <v>0.01</v>
      </c>
      <c r="R14" s="64">
        <f t="shared" si="16"/>
        <v>0.51</v>
      </c>
      <c r="S14" s="12">
        <f t="shared" si="17"/>
        <v>5.0000000000000001E-3</v>
      </c>
      <c r="T14" s="64">
        <f t="shared" si="5"/>
        <v>0.50585053974258531</v>
      </c>
      <c r="U14" s="64">
        <f t="shared" si="6"/>
        <v>4.1494602574146944E-3</v>
      </c>
      <c r="V14" s="64">
        <f t="shared" si="7"/>
        <v>-0.29242982390206362</v>
      </c>
      <c r="W14" s="64">
        <f t="shared" si="18"/>
        <v>4.2577890382671738E-3</v>
      </c>
      <c r="X14" s="64">
        <f t="shared" si="8"/>
        <v>-0.29307528620260292</v>
      </c>
      <c r="Y14" s="86">
        <f t="shared" si="9"/>
        <v>6.454623005393012E-4</v>
      </c>
      <c r="AA14" s="11">
        <v>806</v>
      </c>
      <c r="AB14" s="67">
        <f t="shared" si="19"/>
        <v>5064.2473575867461</v>
      </c>
      <c r="AC14" s="109">
        <f t="shared" si="20"/>
        <v>3.7045149101632058</v>
      </c>
      <c r="AD14" s="32">
        <v>0.35610000000000003</v>
      </c>
      <c r="AE14" s="33">
        <f t="shared" si="21"/>
        <v>0.50360144956105923</v>
      </c>
      <c r="AF14" s="114">
        <f t="shared" ref="AF14:AF22" si="22">W$26*AB14+X$26</f>
        <v>0.50021221245202241</v>
      </c>
      <c r="AG14" s="114">
        <f t="shared" ref="AG14:AG22" si="23">AE14-AF14</f>
        <v>3.3892371090368245E-3</v>
      </c>
      <c r="AH14" s="33">
        <f t="shared" ref="AH14:AH22" si="24">LOG10(AE14)</f>
        <v>-0.29791302849375567</v>
      </c>
      <c r="AI14" s="112">
        <f t="shared" ref="AI14:AI22" si="25">W$42*AC14+X$42</f>
        <v>-0.30070808529042026</v>
      </c>
      <c r="AJ14" s="176">
        <f t="shared" ref="AJ14:AJ22" si="26">AH14-AI14</f>
        <v>2.7950567966645856E-3</v>
      </c>
      <c r="AL14" s="31">
        <f t="shared" ref="AL14:AL23" si="27">W$58*C14+X$58</f>
        <v>0.50223746995120921</v>
      </c>
      <c r="AM14" s="64">
        <f t="shared" ref="AM14:AM23" si="28">R14-AL14</f>
        <v>7.7625300487907944E-3</v>
      </c>
      <c r="AN14" s="64">
        <f t="shared" ref="AN14:AN23" si="29">W$74*D14+X$74</f>
        <v>-0.29900222084428663</v>
      </c>
      <c r="AO14" s="86">
        <f t="shared" ref="AO14:AO23" si="30">V14-AN14</f>
        <v>6.5723969422230022E-3</v>
      </c>
    </row>
    <row r="15" spans="2:41" x14ac:dyDescent="0.3">
      <c r="B15" s="11">
        <v>997</v>
      </c>
      <c r="C15" s="67">
        <f t="shared" si="10"/>
        <v>6264.3357512580478</v>
      </c>
      <c r="D15" s="33">
        <f t="shared" si="11"/>
        <v>3.7968750266697708</v>
      </c>
      <c r="E15" s="33">
        <f t="shared" si="0"/>
        <v>4.3560128576053332E-4</v>
      </c>
      <c r="F15" s="12">
        <v>0.30299999999999999</v>
      </c>
      <c r="G15" s="81">
        <f t="shared" si="1"/>
        <v>0.42850670939904784</v>
      </c>
      <c r="H15" s="32">
        <v>0.435</v>
      </c>
      <c r="I15" s="33">
        <f t="shared" si="12"/>
        <v>0.61518289963229633</v>
      </c>
      <c r="J15" s="64">
        <f t="shared" si="2"/>
        <v>0.6215827177336708</v>
      </c>
      <c r="K15" s="64">
        <f t="shared" si="13"/>
        <v>-6.3998181013744659E-3</v>
      </c>
      <c r="L15" s="33">
        <f t="shared" si="14"/>
        <v>-0.21099574521337208</v>
      </c>
      <c r="M15" s="83">
        <f t="shared" si="15"/>
        <v>9.9837811931782021E-5</v>
      </c>
      <c r="N15" s="64">
        <f t="shared" si="3"/>
        <v>-0.20446591890459276</v>
      </c>
      <c r="O15" s="86">
        <f t="shared" si="4"/>
        <v>-6.529826308779324E-3</v>
      </c>
      <c r="P15" s="74">
        <v>1.23</v>
      </c>
      <c r="Q15" s="12">
        <v>0.01</v>
      </c>
      <c r="R15" s="64">
        <f t="shared" si="16"/>
        <v>0.61499999999999999</v>
      </c>
      <c r="S15" s="12">
        <f t="shared" si="17"/>
        <v>5.0000000000000001E-3</v>
      </c>
      <c r="T15" s="64">
        <f t="shared" si="5"/>
        <v>0.62564950004055986</v>
      </c>
      <c r="U15" s="64">
        <f t="shared" si="6"/>
        <v>-1.0649500040559867E-2</v>
      </c>
      <c r="V15" s="64">
        <f t="shared" si="7"/>
        <v>-0.21112488422458328</v>
      </c>
      <c r="W15" s="64">
        <f t="shared" si="18"/>
        <v>3.5308494463679009E-3</v>
      </c>
      <c r="X15" s="64">
        <f t="shared" si="8"/>
        <v>-0.20169354211693769</v>
      </c>
      <c r="Y15" s="86">
        <f t="shared" si="9"/>
        <v>-9.4313421076455961E-3</v>
      </c>
      <c r="AA15" s="11">
        <v>997</v>
      </c>
      <c r="AB15" s="67">
        <f t="shared" si="19"/>
        <v>6264.3357512580478</v>
      </c>
      <c r="AC15" s="109">
        <f t="shared" si="20"/>
        <v>3.7968750266697708</v>
      </c>
      <c r="AD15" s="32">
        <v>0.435</v>
      </c>
      <c r="AE15" s="33">
        <f t="shared" si="21"/>
        <v>0.61518289963229633</v>
      </c>
      <c r="AF15" s="114">
        <f t="shared" si="22"/>
        <v>0.61857442521941974</v>
      </c>
      <c r="AG15" s="114">
        <f t="shared" si="23"/>
        <v>-3.3915255871234118E-3</v>
      </c>
      <c r="AH15" s="33">
        <f t="shared" si="24"/>
        <v>-0.21099574521337208</v>
      </c>
      <c r="AI15" s="112">
        <f t="shared" si="25"/>
        <v>-0.20836599380625298</v>
      </c>
      <c r="AJ15" s="176">
        <f t="shared" si="26"/>
        <v>-2.6297514071191019E-3</v>
      </c>
      <c r="AL15" s="31">
        <f t="shared" si="27"/>
        <v>0.62264405113746002</v>
      </c>
      <c r="AM15" s="64">
        <f t="shared" si="28"/>
        <v>-7.6440511374600284E-3</v>
      </c>
      <c r="AN15" s="64">
        <f t="shared" si="29"/>
        <v>-0.20597350047422269</v>
      </c>
      <c r="AO15" s="86">
        <f t="shared" si="30"/>
        <v>-5.1513837503605886E-3</v>
      </c>
    </row>
    <row r="16" spans="2:41" x14ac:dyDescent="0.3">
      <c r="B16" s="11">
        <v>1218</v>
      </c>
      <c r="C16" s="67">
        <f t="shared" si="10"/>
        <v>7652.919704144736</v>
      </c>
      <c r="D16" s="33">
        <f t="shared" si="11"/>
        <v>3.8838271566549718</v>
      </c>
      <c r="E16" s="33">
        <f t="shared" si="0"/>
        <v>3.5656361404207859E-4</v>
      </c>
      <c r="F16" s="12">
        <v>0.30559999999999998</v>
      </c>
      <c r="G16" s="81">
        <f t="shared" si="1"/>
        <v>0.43218366466121783</v>
      </c>
      <c r="H16" s="32">
        <v>0.53559999999999997</v>
      </c>
      <c r="I16" s="33">
        <f t="shared" si="12"/>
        <v>0.75745278400702976</v>
      </c>
      <c r="J16" s="64">
        <f t="shared" si="2"/>
        <v>0.75805069354915633</v>
      </c>
      <c r="K16" s="64">
        <f t="shared" si="13"/>
        <v>-5.9790954212657343E-4</v>
      </c>
      <c r="L16" s="62">
        <f t="shared" si="14"/>
        <v>-0.12064443382803801</v>
      </c>
      <c r="M16" s="83">
        <f t="shared" si="15"/>
        <v>8.1085601550271049E-5</v>
      </c>
      <c r="N16" s="64">
        <f t="shared" si="3"/>
        <v>-0.11894367503734182</v>
      </c>
      <c r="O16" s="86">
        <f t="shared" si="4"/>
        <v>-1.7007587906961857E-3</v>
      </c>
      <c r="P16" s="74">
        <v>1.51</v>
      </c>
      <c r="Q16" s="12">
        <v>0.01</v>
      </c>
      <c r="R16" s="64">
        <f t="shared" si="16"/>
        <v>0.755</v>
      </c>
      <c r="S16" s="12">
        <f t="shared" si="17"/>
        <v>5.0000000000000001E-3</v>
      </c>
      <c r="T16" s="64">
        <f t="shared" si="5"/>
        <v>0.76426505096125286</v>
      </c>
      <c r="U16" s="64">
        <f t="shared" si="6"/>
        <v>-9.265050961252852E-3</v>
      </c>
      <c r="V16" s="64">
        <f t="shared" si="7"/>
        <v>-0.12205304837081175</v>
      </c>
      <c r="W16" s="64">
        <f t="shared" si="18"/>
        <v>2.8761223967102767E-3</v>
      </c>
      <c r="X16" s="64">
        <f t="shared" si="8"/>
        <v>-0.11566249765147951</v>
      </c>
      <c r="Y16" s="86">
        <f t="shared" si="9"/>
        <v>-6.3905507193322414E-3</v>
      </c>
      <c r="AA16" s="11">
        <v>1218</v>
      </c>
      <c r="AB16" s="67">
        <f t="shared" si="19"/>
        <v>7652.919704144736</v>
      </c>
      <c r="AC16" s="109">
        <f t="shared" si="20"/>
        <v>3.8838271566549718</v>
      </c>
      <c r="AD16" s="32">
        <v>0.53559999999999997</v>
      </c>
      <c r="AE16" s="33">
        <f t="shared" si="21"/>
        <v>0.75745278400702976</v>
      </c>
      <c r="AF16" s="114">
        <f t="shared" si="22"/>
        <v>0.75552756145813582</v>
      </c>
      <c r="AG16" s="114">
        <f t="shared" si="23"/>
        <v>1.9252225488939345E-3</v>
      </c>
      <c r="AH16" s="33">
        <f t="shared" si="24"/>
        <v>-0.12064443382803801</v>
      </c>
      <c r="AI16" s="112">
        <f t="shared" si="25"/>
        <v>-0.12143083341950867</v>
      </c>
      <c r="AJ16" s="176">
        <f t="shared" si="26"/>
        <v>7.863995914706573E-4</v>
      </c>
      <c r="AL16" s="31">
        <f t="shared" si="27"/>
        <v>0.76196266078228425</v>
      </c>
      <c r="AM16" s="64">
        <f t="shared" si="28"/>
        <v>-6.9626607822842468E-3</v>
      </c>
      <c r="AN16" s="64">
        <f t="shared" si="29"/>
        <v>-0.11839191556576534</v>
      </c>
      <c r="AO16" s="86">
        <f t="shared" si="30"/>
        <v>-3.6611328050464159E-3</v>
      </c>
    </row>
    <row r="17" spans="2:41" x14ac:dyDescent="0.3">
      <c r="B17" s="11">
        <v>1492</v>
      </c>
      <c r="C17" s="67">
        <f t="shared" si="10"/>
        <v>9374.5124783119427</v>
      </c>
      <c r="D17" s="33">
        <f t="shared" si="11"/>
        <v>3.9719486914947648</v>
      </c>
      <c r="E17" s="33">
        <f t="shared" si="0"/>
        <v>2.9108209242845293E-4</v>
      </c>
      <c r="F17" s="12">
        <v>0.3039</v>
      </c>
      <c r="G17" s="81">
        <f>F17*SQRT(2)</f>
        <v>0.42977950160518363</v>
      </c>
      <c r="H17" s="32">
        <v>0.65210000000000001</v>
      </c>
      <c r="I17" s="33">
        <f t="shared" si="12"/>
        <v>0.92220866402349533</v>
      </c>
      <c r="J17" s="64">
        <f t="shared" si="2"/>
        <v>0.9272462834742381</v>
      </c>
      <c r="K17" s="64">
        <f t="shared" si="13"/>
        <v>-5.0376194507427696E-3</v>
      </c>
      <c r="L17" s="62">
        <f t="shared" si="14"/>
        <v>-3.5170801960549808E-2</v>
      </c>
      <c r="M17" s="83">
        <f t="shared" si="15"/>
        <v>6.6599368486927119E-5</v>
      </c>
      <c r="N17" s="64">
        <f t="shared" si="3"/>
        <v>-3.2271256618058519E-2</v>
      </c>
      <c r="O17" s="86">
        <f t="shared" si="4"/>
        <v>-2.8995453424912887E-3</v>
      </c>
      <c r="P17" s="74">
        <v>1.87</v>
      </c>
      <c r="Q17" s="12">
        <v>0.01</v>
      </c>
      <c r="R17" s="64">
        <f t="shared" si="16"/>
        <v>0.93500000000000005</v>
      </c>
      <c r="S17" s="12">
        <f t="shared" si="17"/>
        <v>5.0000000000000001E-3</v>
      </c>
      <c r="T17" s="64">
        <f t="shared" si="5"/>
        <v>0.93612324531541535</v>
      </c>
      <c r="U17" s="64">
        <f t="shared" si="6"/>
        <v>-1.1232453154152999E-3</v>
      </c>
      <c r="V17" s="64">
        <f t="shared" si="7"/>
        <v>-2.91883891274822E-2</v>
      </c>
      <c r="W17" s="64">
        <f t="shared" si="18"/>
        <v>2.3224303845093678E-3</v>
      </c>
      <c r="X17" s="64">
        <f t="shared" si="8"/>
        <v>-2.8474435858663938E-2</v>
      </c>
      <c r="Y17" s="86">
        <f t="shared" si="9"/>
        <v>-7.139532688182626E-4</v>
      </c>
      <c r="AA17" s="11">
        <v>1492</v>
      </c>
      <c r="AB17" s="67">
        <f t="shared" si="19"/>
        <v>9374.5124783119427</v>
      </c>
      <c r="AC17" s="109">
        <f t="shared" si="20"/>
        <v>3.9719486914947648</v>
      </c>
      <c r="AD17" s="32">
        <v>0.65210000000000001</v>
      </c>
      <c r="AE17" s="33">
        <f t="shared" si="21"/>
        <v>0.92220866402349533</v>
      </c>
      <c r="AF17" s="114">
        <f t="shared" si="22"/>
        <v>0.92532466249618217</v>
      </c>
      <c r="AG17" s="114">
        <f t="shared" si="23"/>
        <v>-3.1159984726868428E-3</v>
      </c>
      <c r="AH17" s="33">
        <f t="shared" si="24"/>
        <v>-3.5170801960549808E-2</v>
      </c>
      <c r="AI17" s="112">
        <f t="shared" si="25"/>
        <v>-3.3326496399502581E-2</v>
      </c>
      <c r="AJ17" s="176">
        <f t="shared" si="26"/>
        <v>-1.844305561047227E-3</v>
      </c>
      <c r="AL17" s="31">
        <f t="shared" si="27"/>
        <v>0.9346925207039215</v>
      </c>
      <c r="AM17" s="64">
        <f t="shared" si="28"/>
        <v>3.0747929607854996E-4</v>
      </c>
      <c r="AN17" s="64">
        <f t="shared" si="29"/>
        <v>-2.9632460367272628E-2</v>
      </c>
      <c r="AO17" s="86">
        <f t="shared" si="30"/>
        <v>4.4407123979042784E-4</v>
      </c>
    </row>
    <row r="18" spans="2:41" x14ac:dyDescent="0.3">
      <c r="B18" s="11">
        <v>1720</v>
      </c>
      <c r="C18" s="67">
        <f t="shared" si="10"/>
        <v>10807.078728348888</v>
      </c>
      <c r="D18" s="33">
        <f t="shared" si="11"/>
        <v>4.0337083152656641</v>
      </c>
      <c r="E18" s="33">
        <f t="shared" si="0"/>
        <v>2.5249679180421616E-4</v>
      </c>
      <c r="F18" s="12">
        <v>0.3075</v>
      </c>
      <c r="G18" s="81">
        <f t="shared" si="1"/>
        <v>0.43487067042972677</v>
      </c>
      <c r="H18" s="32">
        <v>0.76100000000000001</v>
      </c>
      <c r="I18" s="33">
        <f t="shared" si="12"/>
        <v>1.0762165209659253</v>
      </c>
      <c r="J18" s="64">
        <f t="shared" si="2"/>
        <v>1.0680367743608024</v>
      </c>
      <c r="K18" s="64">
        <f t="shared" si="13"/>
        <v>8.179746605122995E-3</v>
      </c>
      <c r="L18" s="62">
        <f t="shared" si="14"/>
        <v>3.1899654602563429E-2</v>
      </c>
      <c r="M18" s="83">
        <f t="shared" si="15"/>
        <v>5.7068920092411538E-5</v>
      </c>
      <c r="N18" s="64">
        <f t="shared" si="3"/>
        <v>2.8472759729597286E-2</v>
      </c>
      <c r="O18" s="86">
        <f t="shared" si="4"/>
        <v>3.4268948729661436E-3</v>
      </c>
      <c r="P18" s="74">
        <v>2.17</v>
      </c>
      <c r="Q18" s="12">
        <v>0.01</v>
      </c>
      <c r="R18" s="64">
        <f t="shared" si="16"/>
        <v>1.085</v>
      </c>
      <c r="S18" s="12">
        <f t="shared" si="17"/>
        <v>5.0000000000000001E-3</v>
      </c>
      <c r="T18" s="64">
        <f t="shared" si="5"/>
        <v>1.0791293340480761</v>
      </c>
      <c r="U18" s="64">
        <f t="shared" si="6"/>
        <v>5.8706659519238702E-3</v>
      </c>
      <c r="V18" s="64">
        <f t="shared" si="7"/>
        <v>3.5429738184548303E-2</v>
      </c>
      <c r="W18" s="64">
        <f t="shared" si="18"/>
        <v>2.0013570594619896E-3</v>
      </c>
      <c r="X18" s="64">
        <f t="shared" si="8"/>
        <v>3.2630967076358708E-2</v>
      </c>
      <c r="Y18" s="86">
        <f t="shared" si="9"/>
        <v>2.7987711081895947E-3</v>
      </c>
      <c r="AA18" s="11">
        <v>1900</v>
      </c>
      <c r="AB18" s="67">
        <f t="shared" si="19"/>
        <v>11938.052083641214</v>
      </c>
      <c r="AC18" s="109">
        <f t="shared" si="20"/>
        <v>4.0769334693109442</v>
      </c>
      <c r="AD18" s="32">
        <v>0.8357</v>
      </c>
      <c r="AE18" s="33">
        <f t="shared" si="21"/>
        <v>1.1818582740751955</v>
      </c>
      <c r="AF18" s="114">
        <f t="shared" si="22"/>
        <v>1.1781612217061197</v>
      </c>
      <c r="AG18" s="114">
        <f t="shared" si="23"/>
        <v>3.6970523690758039E-3</v>
      </c>
      <c r="AH18" s="33">
        <f t="shared" si="24"/>
        <v>7.2565399999164393E-2</v>
      </c>
      <c r="AI18" s="112">
        <f t="shared" si="25"/>
        <v>7.1637792562362357E-2</v>
      </c>
      <c r="AJ18" s="176">
        <f t="shared" si="26"/>
        <v>9.2760743680203595E-4</v>
      </c>
      <c r="AL18" s="31">
        <f t="shared" si="27"/>
        <v>1.0784239369890793</v>
      </c>
      <c r="AM18" s="64">
        <f t="shared" si="28"/>
        <v>6.5760630109206186E-3</v>
      </c>
      <c r="AN18" s="64">
        <f t="shared" si="29"/>
        <v>3.2574247324947514E-2</v>
      </c>
      <c r="AO18" s="86">
        <f t="shared" si="30"/>
        <v>2.8554908596007886E-3</v>
      </c>
    </row>
    <row r="19" spans="2:41" x14ac:dyDescent="0.3">
      <c r="B19" s="11">
        <v>1900</v>
      </c>
      <c r="C19" s="67">
        <f t="shared" si="10"/>
        <v>11938.052083641214</v>
      </c>
      <c r="D19" s="33">
        <f t="shared" si="11"/>
        <v>4.0769334693109442</v>
      </c>
      <c r="E19" s="33">
        <f t="shared" si="0"/>
        <v>2.2857604310697462E-4</v>
      </c>
      <c r="F19" s="12">
        <v>0.30580000000000002</v>
      </c>
      <c r="G19" s="81">
        <f t="shared" si="1"/>
        <v>0.43246650737369252</v>
      </c>
      <c r="H19" s="32">
        <v>0.8357</v>
      </c>
      <c r="I19" s="33">
        <f t="shared" si="12"/>
        <v>1.1818582740751955</v>
      </c>
      <c r="J19" s="64">
        <f t="shared" si="2"/>
        <v>1.1791871619028269</v>
      </c>
      <c r="K19" s="64">
        <f t="shared" si="13"/>
        <v>2.6711121723685949E-3</v>
      </c>
      <c r="L19" s="62">
        <f t="shared" si="14"/>
        <v>7.2565399999164393E-2</v>
      </c>
      <c r="M19" s="83">
        <f t="shared" si="15"/>
        <v>5.1967749420037311E-5</v>
      </c>
      <c r="N19" s="64">
        <f t="shared" si="3"/>
        <v>7.09870968262174E-2</v>
      </c>
      <c r="O19" s="86">
        <f t="shared" si="4"/>
        <v>1.5783031729469932E-3</v>
      </c>
      <c r="P19" s="74">
        <v>2.4</v>
      </c>
      <c r="Q19" s="12">
        <v>0.01</v>
      </c>
      <c r="R19" s="64">
        <f t="shared" si="16"/>
        <v>1.2</v>
      </c>
      <c r="S19" s="12">
        <f t="shared" si="17"/>
        <v>5.0000000000000001E-3</v>
      </c>
      <c r="T19" s="64">
        <f t="shared" si="5"/>
        <v>1.1920288777843873</v>
      </c>
      <c r="U19" s="64">
        <f t="shared" si="6"/>
        <v>7.9711222156126915E-3</v>
      </c>
      <c r="V19" s="64">
        <f t="shared" si="7"/>
        <v>7.9181246047624818E-2</v>
      </c>
      <c r="W19" s="64">
        <f t="shared" si="18"/>
        <v>1.8095603412635493E-3</v>
      </c>
      <c r="X19" s="64">
        <f t="shared" si="8"/>
        <v>7.5398236266068785E-2</v>
      </c>
      <c r="Y19" s="86">
        <f t="shared" si="9"/>
        <v>3.7830097815560321E-3</v>
      </c>
      <c r="AA19" s="11">
        <v>2106</v>
      </c>
      <c r="AB19" s="67">
        <f t="shared" si="19"/>
        <v>13232.388256920209</v>
      </c>
      <c r="AC19" s="109">
        <f t="shared" si="20"/>
        <v>4.1216382352075831</v>
      </c>
      <c r="AD19" s="32">
        <v>0.92430000000000001</v>
      </c>
      <c r="AE19" s="33">
        <f t="shared" si="21"/>
        <v>1.3071575957014518</v>
      </c>
      <c r="AF19" s="114">
        <f t="shared" si="22"/>
        <v>1.3058188962091763</v>
      </c>
      <c r="AG19" s="114">
        <f t="shared" si="23"/>
        <v>1.3386994922754969E-3</v>
      </c>
      <c r="AH19" s="33">
        <f t="shared" si="24"/>
        <v>0.1163279508685937</v>
      </c>
      <c r="AI19" s="112">
        <f t="shared" si="25"/>
        <v>0.11633383386621166</v>
      </c>
      <c r="AJ19" s="176">
        <f t="shared" si="26"/>
        <v>-5.8829976179591847E-6</v>
      </c>
      <c r="AL19" s="31">
        <f t="shared" si="27"/>
        <v>1.1918961077405201</v>
      </c>
      <c r="AM19" s="64">
        <f t="shared" si="28"/>
        <v>8.1038922594798279E-3</v>
      </c>
      <c r="AN19" s="64">
        <f t="shared" si="29"/>
        <v>7.6112312463112453E-2</v>
      </c>
      <c r="AO19" s="86">
        <f t="shared" si="30"/>
        <v>3.068933584512365E-3</v>
      </c>
    </row>
    <row r="20" spans="2:41" x14ac:dyDescent="0.3">
      <c r="B20" s="11">
        <v>2106</v>
      </c>
      <c r="C20" s="67">
        <f t="shared" si="10"/>
        <v>13232.388256920209</v>
      </c>
      <c r="D20" s="33">
        <f t="shared" si="11"/>
        <v>4.1216382352075831</v>
      </c>
      <c r="E20" s="33">
        <f t="shared" si="0"/>
        <v>2.0621770270809676E-4</v>
      </c>
      <c r="F20" s="12">
        <v>0.30530000000000002</v>
      </c>
      <c r="G20" s="81">
        <f t="shared" si="1"/>
        <v>0.43175940059250595</v>
      </c>
      <c r="H20" s="32">
        <v>0.92430000000000001</v>
      </c>
      <c r="I20" s="33">
        <f t="shared" si="12"/>
        <v>1.3071575957014518</v>
      </c>
      <c r="J20" s="64">
        <f t="shared" si="2"/>
        <v>1.3063926054231438</v>
      </c>
      <c r="K20" s="64">
        <f t="shared" si="13"/>
        <v>7.649902783080087E-4</v>
      </c>
      <c r="L20" s="62">
        <f t="shared" si="14"/>
        <v>0.1163279508685937</v>
      </c>
      <c r="M20" s="83">
        <f t="shared" si="15"/>
        <v>4.6986312009439769E-5</v>
      </c>
      <c r="N20" s="64">
        <f t="shared" si="3"/>
        <v>0.11495671426619802</v>
      </c>
      <c r="O20" s="86">
        <f t="shared" si="4"/>
        <v>1.3712366023956729E-3</v>
      </c>
      <c r="P20" s="74">
        <v>2.64</v>
      </c>
      <c r="Q20" s="12">
        <v>0.01</v>
      </c>
      <c r="R20" s="64">
        <f t="shared" si="16"/>
        <v>1.32</v>
      </c>
      <c r="S20" s="12">
        <f t="shared" si="17"/>
        <v>5.0000000000000001E-3</v>
      </c>
      <c r="T20" s="64">
        <f t="shared" si="5"/>
        <v>1.321236133393721</v>
      </c>
      <c r="U20" s="64">
        <f t="shared" si="6"/>
        <v>-1.2361333937209729E-3</v>
      </c>
      <c r="V20" s="64">
        <f t="shared" si="7"/>
        <v>0.12057393120584989</v>
      </c>
      <c r="W20" s="64">
        <f t="shared" si="18"/>
        <v>1.6450548556941355E-3</v>
      </c>
      <c r="X20" s="64">
        <f t="shared" si="8"/>
        <v>0.11962944375145401</v>
      </c>
      <c r="Y20" s="86">
        <f t="shared" si="9"/>
        <v>9.4448745439587589E-4</v>
      </c>
      <c r="AA20" s="11">
        <v>2400</v>
      </c>
      <c r="AB20" s="67">
        <f t="shared" si="19"/>
        <v>15079.644737231007</v>
      </c>
      <c r="AC20" s="109">
        <f t="shared" si="20"/>
        <v>4.1783911100697209</v>
      </c>
      <c r="AD20" s="32">
        <v>1.0492999999999999</v>
      </c>
      <c r="AE20" s="33">
        <f t="shared" si="21"/>
        <v>1.4839342909980886</v>
      </c>
      <c r="AF20" s="114">
        <f t="shared" si="22"/>
        <v>1.488009946228102</v>
      </c>
      <c r="AG20" s="114">
        <f t="shared" si="23"/>
        <v>-4.0756552300134086E-3</v>
      </c>
      <c r="AH20" s="33">
        <f t="shared" si="24"/>
        <v>0.17141467069452687</v>
      </c>
      <c r="AI20" s="112">
        <f t="shared" si="25"/>
        <v>0.1730756328237355</v>
      </c>
      <c r="AJ20" s="176">
        <f t="shared" si="26"/>
        <v>-1.6609621292086318E-3</v>
      </c>
      <c r="AL20" s="31">
        <f t="shared" si="27"/>
        <v>1.3217587031560576</v>
      </c>
      <c r="AM20" s="64">
        <f t="shared" si="28"/>
        <v>-1.7587031560575284E-3</v>
      </c>
      <c r="AN20" s="64">
        <f t="shared" si="29"/>
        <v>0.12114070050668957</v>
      </c>
      <c r="AO20" s="86">
        <f t="shared" si="30"/>
        <v>-5.6676930083968124E-4</v>
      </c>
    </row>
    <row r="21" spans="2:41" x14ac:dyDescent="0.3">
      <c r="B21" s="11">
        <v>2400</v>
      </c>
      <c r="C21" s="67">
        <f t="shared" si="10"/>
        <v>15079.644737231007</v>
      </c>
      <c r="D21" s="33">
        <f t="shared" si="11"/>
        <v>4.1783911100697209</v>
      </c>
      <c r="E21" s="33">
        <f t="shared" si="0"/>
        <v>1.8095603412635492E-4</v>
      </c>
      <c r="F21" s="12">
        <v>0.30549999999999999</v>
      </c>
      <c r="G21" s="81">
        <f t="shared" si="1"/>
        <v>0.43204224330498053</v>
      </c>
      <c r="H21" s="32">
        <v>1.0492999999999999</v>
      </c>
      <c r="I21" s="33">
        <f t="shared" si="12"/>
        <v>1.4839342909980886</v>
      </c>
      <c r="J21" s="64">
        <f t="shared" si="2"/>
        <v>1.4879382384084505</v>
      </c>
      <c r="K21" s="64">
        <f t="shared" si="13"/>
        <v>-4.0039474103619188E-3</v>
      </c>
      <c r="L21" s="62">
        <f t="shared" si="14"/>
        <v>0.17141467069452687</v>
      </c>
      <c r="M21" s="83">
        <f t="shared" si="15"/>
        <v>4.1388971876798993E-5</v>
      </c>
      <c r="N21" s="64">
        <f t="shared" si="3"/>
        <v>0.17077631529211201</v>
      </c>
      <c r="O21" s="86">
        <f t="shared" si="4"/>
        <v>6.3835540241485855E-4</v>
      </c>
      <c r="P21" s="74">
        <v>3</v>
      </c>
      <c r="Q21" s="12">
        <v>0.01</v>
      </c>
      <c r="R21" s="64">
        <f t="shared" si="16"/>
        <v>1.5</v>
      </c>
      <c r="S21" s="12">
        <f t="shared" si="17"/>
        <v>5.0000000000000001E-3</v>
      </c>
      <c r="T21" s="64">
        <f t="shared" si="5"/>
        <v>1.5056387214963622</v>
      </c>
      <c r="U21" s="64">
        <f t="shared" si="6"/>
        <v>-5.6387214963622423E-3</v>
      </c>
      <c r="V21" s="64">
        <f t="shared" si="7"/>
        <v>0.17609125905568124</v>
      </c>
      <c r="W21" s="64">
        <f t="shared" si="18"/>
        <v>1.4476482730108394E-3</v>
      </c>
      <c r="X21" s="64">
        <f t="shared" si="8"/>
        <v>0.17578113436142662</v>
      </c>
      <c r="Y21" s="86">
        <f t="shared" si="9"/>
        <v>3.1012469425462097E-4</v>
      </c>
      <c r="AA21" s="11">
        <v>2200</v>
      </c>
      <c r="AB21" s="67">
        <f t="shared" si="19"/>
        <v>13823.00767579509</v>
      </c>
      <c r="AC21" s="109">
        <f t="shared" si="20"/>
        <v>4.1406025491803211</v>
      </c>
      <c r="AD21" s="32">
        <v>0.96430000000000005</v>
      </c>
      <c r="AE21" s="33">
        <f t="shared" si="21"/>
        <v>1.3637261381963757</v>
      </c>
      <c r="AF21" s="114">
        <f t="shared" si="22"/>
        <v>1.3640704564193091</v>
      </c>
      <c r="AG21" s="114">
        <f t="shared" si="23"/>
        <v>-3.4431822293345959E-4</v>
      </c>
      <c r="AH21" s="33">
        <f t="shared" si="24"/>
        <v>0.13472716459342449</v>
      </c>
      <c r="AI21" s="112">
        <f t="shared" si="25"/>
        <v>0.13529444675890456</v>
      </c>
      <c r="AJ21" s="176">
        <f t="shared" si="26"/>
        <v>-5.6728216548007637E-4</v>
      </c>
      <c r="AL21" s="31">
        <f t="shared" si="27"/>
        <v>1.507096582050077</v>
      </c>
      <c r="AM21" s="64">
        <f t="shared" si="28"/>
        <v>-7.096582050077016E-3</v>
      </c>
      <c r="AN21" s="64">
        <f t="shared" si="29"/>
        <v>0.17830441494799576</v>
      </c>
      <c r="AO21" s="86">
        <f t="shared" si="30"/>
        <v>-2.2131558923145223E-3</v>
      </c>
    </row>
    <row r="22" spans="2:41" ht="15" thickBot="1" x14ac:dyDescent="0.35">
      <c r="B22" s="11">
        <v>2200</v>
      </c>
      <c r="C22" s="67">
        <f t="shared" si="10"/>
        <v>13823.00767579509</v>
      </c>
      <c r="D22" s="33">
        <f t="shared" si="11"/>
        <v>4.1406025491803211</v>
      </c>
      <c r="E22" s="33">
        <f t="shared" si="0"/>
        <v>1.9740658268329627E-4</v>
      </c>
      <c r="F22" s="12">
        <v>0.30520000000000003</v>
      </c>
      <c r="G22" s="81">
        <f t="shared" si="1"/>
        <v>0.43161797923626866</v>
      </c>
      <c r="H22" s="32">
        <v>0.96430000000000005</v>
      </c>
      <c r="I22" s="33">
        <f t="shared" si="12"/>
        <v>1.3637261381963757</v>
      </c>
      <c r="J22" s="64">
        <f t="shared" si="2"/>
        <v>1.3644378078062012</v>
      </c>
      <c r="K22" s="64">
        <f t="shared" si="13"/>
        <v>-7.1166960982549377E-4</v>
      </c>
      <c r="L22" s="62">
        <f t="shared" si="14"/>
        <v>0.13472716459342449</v>
      </c>
      <c r="M22" s="83">
        <f t="shared" si="15"/>
        <v>4.5037279052499406E-5</v>
      </c>
      <c r="N22" s="64">
        <f t="shared" si="3"/>
        <v>0.13360916918165122</v>
      </c>
      <c r="O22" s="86">
        <f t="shared" si="4"/>
        <v>1.1179954117732649E-3</v>
      </c>
      <c r="P22" s="74">
        <v>2.76</v>
      </c>
      <c r="Q22" s="12">
        <v>0.01</v>
      </c>
      <c r="R22" s="64">
        <f t="shared" si="16"/>
        <v>1.38</v>
      </c>
      <c r="S22" s="12">
        <f t="shared" si="17"/>
        <v>5.0000000000000001E-3</v>
      </c>
      <c r="T22" s="64">
        <f t="shared" si="5"/>
        <v>1.3801947840115723</v>
      </c>
      <c r="U22" s="64">
        <f t="shared" si="6"/>
        <v>-1.9478401157235758E-4</v>
      </c>
      <c r="V22" s="64">
        <f t="shared" si="7"/>
        <v>0.13987908640123647</v>
      </c>
      <c r="W22" s="64">
        <f t="shared" si="18"/>
        <v>1.5735307315335211E-3</v>
      </c>
      <c r="X22" s="64">
        <f t="shared" si="8"/>
        <v>0.13839286839583309</v>
      </c>
      <c r="Y22" s="86">
        <f t="shared" si="9"/>
        <v>1.4862180054033836E-3</v>
      </c>
      <c r="AA22" s="14">
        <v>2480</v>
      </c>
      <c r="AB22" s="68">
        <f t="shared" si="19"/>
        <v>15582.299561805374</v>
      </c>
      <c r="AC22" s="110">
        <f t="shared" si="20"/>
        <v>4.1926315491843313</v>
      </c>
      <c r="AD22" s="73">
        <v>1.0885</v>
      </c>
      <c r="AE22" s="34">
        <f t="shared" si="21"/>
        <v>1.5393714626431141</v>
      </c>
      <c r="AF22" s="125">
        <f t="shared" si="22"/>
        <v>1.537585742151619</v>
      </c>
      <c r="AG22" s="125">
        <f t="shared" si="23"/>
        <v>1.7857204914950575E-3</v>
      </c>
      <c r="AH22" s="34">
        <f t="shared" si="24"/>
        <v>0.18734343120910377</v>
      </c>
      <c r="AI22" s="126">
        <f t="shared" si="25"/>
        <v>0.18731329277084718</v>
      </c>
      <c r="AJ22" s="177">
        <f t="shared" si="26"/>
        <v>3.01384382565828E-5</v>
      </c>
      <c r="AL22" s="31">
        <f t="shared" si="27"/>
        <v>1.3810163923262542</v>
      </c>
      <c r="AM22" s="64">
        <f t="shared" si="28"/>
        <v>-1.0163923262542784E-3</v>
      </c>
      <c r="AN22" s="64">
        <f t="shared" si="29"/>
        <v>0.14024229899216323</v>
      </c>
      <c r="AO22" s="86">
        <f t="shared" si="30"/>
        <v>-3.6321259092675362E-4</v>
      </c>
    </row>
    <row r="23" spans="2:41" ht="15.6" thickTop="1" thickBot="1" x14ac:dyDescent="0.35">
      <c r="B23" s="14">
        <v>2480</v>
      </c>
      <c r="C23" s="68">
        <f t="shared" ref="C23" si="31">2*PI()*B23</f>
        <v>15582.299561805374</v>
      </c>
      <c r="D23" s="34">
        <f t="shared" ref="D23" si="32">LOG10(C23)</f>
        <v>4.1926315491843313</v>
      </c>
      <c r="E23" s="34">
        <f t="shared" ref="E23" si="33">F$6/(LN(10)*C23)</f>
        <v>1.751187427029241E-4</v>
      </c>
      <c r="F23" s="15">
        <v>0.30640000000000001</v>
      </c>
      <c r="G23" s="82">
        <f t="shared" ref="G23" si="34">F23*SQRT(2)</f>
        <v>0.43331503551111639</v>
      </c>
      <c r="H23" s="73">
        <v>1.0885</v>
      </c>
      <c r="I23" s="34">
        <f t="shared" ref="I23" si="35">H23*SQRT(2)</f>
        <v>1.5393714626431141</v>
      </c>
      <c r="J23" s="65">
        <f t="shared" si="2"/>
        <v>1.5373384106493502</v>
      </c>
      <c r="K23" s="65">
        <f t="shared" ref="K23" si="36">I23-J23</f>
        <v>2.0330519937639124E-3</v>
      </c>
      <c r="L23" s="63">
        <f t="shared" ref="L23" si="37">LOG10(I23)</f>
        <v>0.18734343120910377</v>
      </c>
      <c r="M23" s="84">
        <f t="shared" ref="M23" si="38">I$3/(LN(10)*I23)</f>
        <v>3.989843655519079E-5</v>
      </c>
      <c r="N23" s="65">
        <f t="shared" si="3"/>
        <v>0.18478257720822233</v>
      </c>
      <c r="O23" s="87">
        <f t="shared" ref="O23" si="39">L23-N23</f>
        <v>2.5608540008814351E-3</v>
      </c>
      <c r="P23" s="75">
        <v>3.12</v>
      </c>
      <c r="Q23" s="15">
        <v>0.01</v>
      </c>
      <c r="R23" s="65">
        <f t="shared" si="16"/>
        <v>1.56</v>
      </c>
      <c r="S23" s="15">
        <f t="shared" si="17"/>
        <v>5.0000000000000001E-3</v>
      </c>
      <c r="T23" s="65">
        <f t="shared" si="5"/>
        <v>1.5558162964902784</v>
      </c>
      <c r="U23" s="65">
        <f t="shared" si="6"/>
        <v>4.1837035097216368E-3</v>
      </c>
      <c r="V23" s="65">
        <f t="shared" si="7"/>
        <v>0.19312459835446161</v>
      </c>
      <c r="W23" s="65">
        <f t="shared" si="18"/>
        <v>1.3919694932796531E-3</v>
      </c>
      <c r="X23" s="65">
        <f t="shared" si="8"/>
        <v>0.18987072424134421</v>
      </c>
      <c r="Y23" s="87">
        <f t="shared" ref="Y23" si="40">V23-X23</f>
        <v>3.2538741131173943E-3</v>
      </c>
      <c r="AL23" s="128">
        <f t="shared" si="27"/>
        <v>1.5575286579396062</v>
      </c>
      <c r="AM23" s="65">
        <f t="shared" si="28"/>
        <v>2.4713420603938996E-3</v>
      </c>
      <c r="AN23" s="65">
        <f t="shared" si="29"/>
        <v>0.19264794198594526</v>
      </c>
      <c r="AO23" s="87">
        <f t="shared" si="30"/>
        <v>4.7665636851634829E-4</v>
      </c>
    </row>
    <row r="24" spans="2:41" ht="15.6" thickTop="1" thickBot="1" x14ac:dyDescent="0.35"/>
    <row r="25" spans="2:41" ht="16.2" thickBot="1" x14ac:dyDescent="0.35">
      <c r="B25" s="326" t="s">
        <v>28</v>
      </c>
      <c r="C25" s="327"/>
      <c r="D25" s="327"/>
      <c r="E25" s="328"/>
      <c r="V25" s="326" t="s">
        <v>28</v>
      </c>
      <c r="W25" s="327"/>
      <c r="X25" s="327"/>
      <c r="Y25" s="328"/>
    </row>
    <row r="26" spans="2:41" x14ac:dyDescent="0.3">
      <c r="B26" s="17" t="s">
        <v>22</v>
      </c>
      <c r="C26" s="76">
        <f t="array" ref="C26:D28">LINEST(I12:I23,C12:C23,1,1)</f>
        <v>9.8278520021627874E-5</v>
      </c>
      <c r="D26" s="58">
        <v>5.9330711814574721E-3</v>
      </c>
      <c r="E26" s="17" t="s">
        <v>25</v>
      </c>
      <c r="V26" s="17" t="s">
        <v>22</v>
      </c>
      <c r="W26" s="76">
        <f t="array" ref="W26:X28">LINEST(AE13:AE22,AB13:AB22,1,1)</f>
        <v>9.8627912236784893E-5</v>
      </c>
      <c r="X26" s="58">
        <v>7.3606852258700783E-4</v>
      </c>
      <c r="Y26" s="17" t="s">
        <v>25</v>
      </c>
      <c r="AO26" s="193"/>
    </row>
    <row r="27" spans="2:41" ht="15.6" x14ac:dyDescent="0.3">
      <c r="B27" s="18" t="s">
        <v>23</v>
      </c>
      <c r="C27" s="77">
        <v>3.3887507094758104E-7</v>
      </c>
      <c r="D27" s="52">
        <v>3.5672713415172835E-3</v>
      </c>
      <c r="E27" s="18" t="s">
        <v>26</v>
      </c>
      <c r="V27" s="18" t="s">
        <v>23</v>
      </c>
      <c r="W27" s="77">
        <v>2.3559734003109199E-7</v>
      </c>
      <c r="X27" s="52">
        <v>2.587984662373353E-3</v>
      </c>
      <c r="Y27" s="18" t="s">
        <v>26</v>
      </c>
    </row>
    <row r="28" spans="2:41" ht="16.8" thickBot="1" x14ac:dyDescent="0.35">
      <c r="B28" s="19" t="s">
        <v>24</v>
      </c>
      <c r="C28" s="47">
        <v>0.99988111956235526</v>
      </c>
      <c r="D28" s="60">
        <v>5.029750259471037E-3</v>
      </c>
      <c r="E28" s="19" t="s">
        <v>27</v>
      </c>
      <c r="V28" s="19" t="s">
        <v>24</v>
      </c>
      <c r="W28" s="47">
        <v>0.99995435310429892</v>
      </c>
      <c r="X28" s="60">
        <v>3.025810781562849E-3</v>
      </c>
      <c r="Y28" s="19" t="s">
        <v>27</v>
      </c>
    </row>
    <row r="29" spans="2:41" ht="15" thickBot="1" x14ac:dyDescent="0.35"/>
    <row r="30" spans="2:41" x14ac:dyDescent="0.3">
      <c r="C30" s="154" t="s">
        <v>81</v>
      </c>
      <c r="D30" s="178">
        <f>2*D28</f>
        <v>1.0059500518942074E-2</v>
      </c>
      <c r="W30" s="154" t="s">
        <v>81</v>
      </c>
      <c r="X30" s="155">
        <f>2*X28</f>
        <v>6.0516215631256981E-3</v>
      </c>
    </row>
    <row r="31" spans="2:41" ht="15" thickBot="1" x14ac:dyDescent="0.35">
      <c r="C31" s="156" t="s">
        <v>81</v>
      </c>
      <c r="D31" s="179">
        <f>-2*D28</f>
        <v>-1.0059500518942074E-2</v>
      </c>
      <c r="W31" s="156" t="s">
        <v>81</v>
      </c>
      <c r="X31" s="157">
        <f>-2*X28</f>
        <v>-6.0516215631256981E-3</v>
      </c>
    </row>
    <row r="32" spans="2:41" ht="15" thickBot="1" x14ac:dyDescent="0.35"/>
    <row r="33" spans="2:25" ht="16.8" x14ac:dyDescent="0.35">
      <c r="C33" s="151" t="s">
        <v>98</v>
      </c>
      <c r="D33" s="141">
        <f>C26*C9/(C7*C2*C4*L5*COS(F2))</f>
        <v>1.1930868778911036E-6</v>
      </c>
      <c r="W33" s="151" t="s">
        <v>98</v>
      </c>
      <c r="X33" s="141">
        <f>W26*C9/(C7*C2*C4*L5*COS(F2))</f>
        <v>1.1973284483487114E-6</v>
      </c>
    </row>
    <row r="34" spans="2:25" ht="16.8" x14ac:dyDescent="0.35">
      <c r="C34" s="152" t="s">
        <v>99</v>
      </c>
      <c r="D34" s="180">
        <f>SQRT((C9*C27/(C7*C2*C4*L5*COS(F2)))^2+(C9*C26*C8/(C7^2*C2*C4*L5*COS(F2)))^2+(C9*C26*L6/(C7*C2*C4*L5^2*COS(F2)))^2)</f>
        <v>9.3449834631000221E-9</v>
      </c>
      <c r="W34" s="152" t="s">
        <v>99</v>
      </c>
      <c r="X34" s="180">
        <f>SQRT((C9*W27/(C7*C2*C4*L5*COS(F2)))^2+(C9*W26*C8/(C7^2*C2*C4*L5*COS(F2)))^2+(C9*W26*L6/(C7*C2*C4*L5^2*COS(F2)))^2)</f>
        <v>8.8930505422897198E-9</v>
      </c>
    </row>
    <row r="35" spans="2:25" ht="15.6" x14ac:dyDescent="0.35">
      <c r="C35" s="152" t="s">
        <v>47</v>
      </c>
      <c r="D35" s="283">
        <f>D34/D33*100</f>
        <v>0.78326093734415914</v>
      </c>
      <c r="W35" s="152" t="s">
        <v>47</v>
      </c>
      <c r="X35" s="283">
        <f>X34/X33*100</f>
        <v>0.74274110454441455</v>
      </c>
    </row>
    <row r="36" spans="2:25" ht="16.2" thickBot="1" x14ac:dyDescent="0.4">
      <c r="C36" s="153" t="s">
        <v>48</v>
      </c>
      <c r="D36" s="186">
        <f>ABS(D33-Comparar!C3)/Comparar!C3*100</f>
        <v>5.0571629227771595</v>
      </c>
      <c r="W36" s="153" t="s">
        <v>48</v>
      </c>
      <c r="X36" s="186">
        <f>ABS(X33-Comparar!C3)/Comparar!C3*100</f>
        <v>4.719629470376745</v>
      </c>
    </row>
    <row r="40" spans="2:25" ht="15" thickBot="1" x14ac:dyDescent="0.35"/>
    <row r="41" spans="2:25" ht="16.2" thickBot="1" x14ac:dyDescent="0.35">
      <c r="B41" s="326" t="s">
        <v>29</v>
      </c>
      <c r="C41" s="327"/>
      <c r="D41" s="327"/>
      <c r="E41" s="328"/>
      <c r="V41" s="326" t="s">
        <v>29</v>
      </c>
      <c r="W41" s="327"/>
      <c r="X41" s="327"/>
      <c r="Y41" s="328"/>
    </row>
    <row r="42" spans="2:25" x14ac:dyDescent="0.3">
      <c r="B42" s="17" t="s">
        <v>22</v>
      </c>
      <c r="C42" s="50">
        <f t="array" ref="C42:D44">LINEST(L12:L23,D12:D23,1,1)</f>
        <v>0.98355547911025132</v>
      </c>
      <c r="D42" s="79">
        <v>-3.9389031548825275</v>
      </c>
      <c r="E42" s="17" t="s">
        <v>25</v>
      </c>
      <c r="V42" s="17" t="s">
        <v>22</v>
      </c>
      <c r="W42" s="50">
        <f t="array" ref="W42:X44">LINEST(L13:L23,D13:D23,1,1)</f>
        <v>0.9998048397611502</v>
      </c>
      <c r="X42" s="79">
        <v>-4.0045000214389361</v>
      </c>
      <c r="Y42" s="17" t="s">
        <v>25</v>
      </c>
    </row>
    <row r="43" spans="2:25" ht="15.6" x14ac:dyDescent="0.3">
      <c r="B43" s="18" t="s">
        <v>23</v>
      </c>
      <c r="C43" s="49">
        <v>6.3425283973538686E-3</v>
      </c>
      <c r="D43" s="57">
        <v>2.4946341426305915E-2</v>
      </c>
      <c r="E43" s="18" t="s">
        <v>26</v>
      </c>
      <c r="V43" s="18" t="s">
        <v>23</v>
      </c>
      <c r="W43" s="49">
        <v>3.1861328155353601E-3</v>
      </c>
      <c r="X43" s="57">
        <v>1.2674743367140324E-2</v>
      </c>
      <c r="Y43" s="18" t="s">
        <v>26</v>
      </c>
    </row>
    <row r="44" spans="2:25" ht="16.8" thickBot="1" x14ac:dyDescent="0.35">
      <c r="B44" s="19" t="s">
        <v>24</v>
      </c>
      <c r="C44" s="48">
        <v>0.99958433203357033</v>
      </c>
      <c r="D44" s="60">
        <v>5.3097064679199822E-3</v>
      </c>
      <c r="E44" s="19" t="s">
        <v>27</v>
      </c>
      <c r="V44" s="19" t="s">
        <v>24</v>
      </c>
      <c r="W44" s="47">
        <v>0.99990860970080164</v>
      </c>
      <c r="X44" s="60">
        <v>2.0139897715751075E-3</v>
      </c>
      <c r="Y44" s="19" t="s">
        <v>27</v>
      </c>
    </row>
    <row r="45" spans="2:25" ht="15" thickBot="1" x14ac:dyDescent="0.35"/>
    <row r="46" spans="2:25" x14ac:dyDescent="0.3">
      <c r="C46" s="154" t="s">
        <v>81</v>
      </c>
      <c r="D46" s="178">
        <f>2*D44</f>
        <v>1.0619412935839964E-2</v>
      </c>
      <c r="W46" s="154" t="s">
        <v>81</v>
      </c>
      <c r="X46" s="155">
        <f>2*X44</f>
        <v>4.027979543150215E-3</v>
      </c>
    </row>
    <row r="47" spans="2:25" ht="15" thickBot="1" x14ac:dyDescent="0.35">
      <c r="C47" s="156" t="s">
        <v>81</v>
      </c>
      <c r="D47" s="179">
        <f>-2*D44</f>
        <v>-1.0619412935839964E-2</v>
      </c>
      <c r="W47" s="156" t="s">
        <v>81</v>
      </c>
      <c r="X47" s="157">
        <f>-2*X44</f>
        <v>-4.027979543150215E-3</v>
      </c>
    </row>
    <row r="48" spans="2:25" ht="15" thickBot="1" x14ac:dyDescent="0.35"/>
    <row r="49" spans="2:25" ht="16.2" thickBot="1" x14ac:dyDescent="0.4">
      <c r="C49" s="291" t="s">
        <v>100</v>
      </c>
      <c r="D49" s="318">
        <f>ABS(C42-1)*100</f>
        <v>1.6444520889748682</v>
      </c>
      <c r="W49" s="291" t="s">
        <v>100</v>
      </c>
      <c r="X49" s="317">
        <f>ABS(W42-1)*100</f>
        <v>1.9516023884980083E-2</v>
      </c>
    </row>
    <row r="56" spans="2:25" ht="15" thickBot="1" x14ac:dyDescent="0.35"/>
    <row r="57" spans="2:25" ht="16.2" thickBot="1" x14ac:dyDescent="0.35">
      <c r="B57" s="338" t="s">
        <v>31</v>
      </c>
      <c r="C57" s="339"/>
      <c r="D57" s="339"/>
      <c r="E57" s="340"/>
      <c r="V57" s="338" t="s">
        <v>31</v>
      </c>
      <c r="W57" s="339"/>
      <c r="X57" s="339"/>
      <c r="Y57" s="340"/>
    </row>
    <row r="58" spans="2:25" x14ac:dyDescent="0.3">
      <c r="B58" s="91" t="s">
        <v>22</v>
      </c>
      <c r="C58" s="76">
        <f t="array" ref="C58:D60">LINEST(R12:R23,C12:C23,1,1)</f>
        <v>9.9825113658075221E-5</v>
      </c>
      <c r="D58" s="58">
        <v>3.1147167888123661E-4</v>
      </c>
      <c r="E58" s="91" t="s">
        <v>25</v>
      </c>
      <c r="V58" s="91" t="s">
        <v>22</v>
      </c>
      <c r="W58" s="78">
        <f t="array" ref="W58:X60">LINEST(R13:R23,C13:C23,1,1)</f>
        <v>1.0033142710255193E-4</v>
      </c>
      <c r="X58" s="58">
        <v>-5.8656946357966699E-3</v>
      </c>
      <c r="Y58" s="91" t="s">
        <v>25</v>
      </c>
    </row>
    <row r="59" spans="2:25" ht="15.6" x14ac:dyDescent="0.3">
      <c r="B59" s="92" t="s">
        <v>23</v>
      </c>
      <c r="C59" s="77">
        <v>4.7970854280780993E-7</v>
      </c>
      <c r="D59" s="52">
        <v>5.0497976503678038E-3</v>
      </c>
      <c r="E59" s="92" t="s">
        <v>26</v>
      </c>
      <c r="V59" s="92" t="s">
        <v>23</v>
      </c>
      <c r="W59" s="77">
        <v>4.762128022130308E-7</v>
      </c>
      <c r="X59" s="52">
        <v>5.223455933545818E-3</v>
      </c>
      <c r="Y59" s="92" t="s">
        <v>26</v>
      </c>
    </row>
    <row r="60" spans="2:25" ht="16.8" thickBot="1" x14ac:dyDescent="0.35">
      <c r="B60" s="93" t="s">
        <v>24</v>
      </c>
      <c r="C60" s="48">
        <v>0.99976912601474355</v>
      </c>
      <c r="D60" s="60">
        <v>7.1200698266509028E-3</v>
      </c>
      <c r="E60" s="93" t="s">
        <v>27</v>
      </c>
      <c r="V60" s="93" t="s">
        <v>24</v>
      </c>
      <c r="W60" s="48">
        <v>0.99979728652575639</v>
      </c>
      <c r="X60" s="60">
        <v>6.1221481182849478E-3</v>
      </c>
      <c r="Y60" s="93" t="s">
        <v>27</v>
      </c>
    </row>
    <row r="61" spans="2:25" ht="15" thickBot="1" x14ac:dyDescent="0.35"/>
    <row r="62" spans="2:25" x14ac:dyDescent="0.3">
      <c r="C62" s="158" t="s">
        <v>81</v>
      </c>
      <c r="D62" s="178">
        <f>2*D60</f>
        <v>1.4240139653301806E-2</v>
      </c>
      <c r="W62" s="158" t="s">
        <v>81</v>
      </c>
      <c r="X62" s="178">
        <f>2*X60</f>
        <v>1.2244296236569896E-2</v>
      </c>
    </row>
    <row r="63" spans="2:25" ht="15" thickBot="1" x14ac:dyDescent="0.35">
      <c r="C63" s="159" t="s">
        <v>81</v>
      </c>
      <c r="D63" s="179">
        <f>-2*D60</f>
        <v>-1.4240139653301806E-2</v>
      </c>
      <c r="W63" s="159" t="s">
        <v>81</v>
      </c>
      <c r="X63" s="179">
        <f>-2*X60</f>
        <v>-1.2244296236569896E-2</v>
      </c>
    </row>
    <row r="64" spans="2:25" ht="15" thickBot="1" x14ac:dyDescent="0.35"/>
    <row r="65" spans="2:25" ht="16.8" x14ac:dyDescent="0.35">
      <c r="C65" s="160" t="s">
        <v>98</v>
      </c>
      <c r="D65" s="141">
        <f>C58*C9/(C7*C2*C4*L5*COS(F2))</f>
        <v>1.2118622987324955E-6</v>
      </c>
      <c r="W65" s="160" t="s">
        <v>98</v>
      </c>
      <c r="X65" s="141">
        <f>W58*C9/(C7*C2*C4*L5*COS(F2))</f>
        <v>1.2180088699931543E-6</v>
      </c>
    </row>
    <row r="66" spans="2:25" ht="16.8" x14ac:dyDescent="0.35">
      <c r="C66" s="161" t="s">
        <v>99</v>
      </c>
      <c r="D66" s="180">
        <f>SQRT((C9*C59/(C7*C2*C4*L5*COS(F2)))^2+(C9*C58*C8/(C7^2*C2*C4*L5*COS(F2)))^2+(C9*C58*L6/(C7*C2*C4*L5^2*COS(F2)))^2)</f>
        <v>1.0322409623296142E-8</v>
      </c>
      <c r="W66" s="161" t="s">
        <v>99</v>
      </c>
      <c r="X66" s="180">
        <f>SQRT((C9*W59/(C7*C2*C4*L5*COS(F2)))^2+(C9*W58*C8/(C7^2*C2*C4*L5*COS(F2)))^2+(C9*W58*L6/(C7*C2*C4*L5^2*COS(F2)))^2)</f>
        <v>1.0334329642968268E-8</v>
      </c>
    </row>
    <row r="67" spans="2:25" ht="15.6" x14ac:dyDescent="0.35">
      <c r="C67" s="161" t="s">
        <v>47</v>
      </c>
      <c r="D67" s="283">
        <f>D66/D65*100</f>
        <v>0.85178073730757198</v>
      </c>
      <c r="W67" s="161" t="s">
        <v>47</v>
      </c>
      <c r="X67" s="283">
        <f>X66/X65*100</f>
        <v>0.84846095111165754</v>
      </c>
    </row>
    <row r="68" spans="2:25" ht="16.2" thickBot="1" x14ac:dyDescent="0.4">
      <c r="C68" s="162" t="s">
        <v>48</v>
      </c>
      <c r="D68" s="186">
        <f>ABS(D65-Comparar!C3)/Comparar!C3*100</f>
        <v>3.5630624050081079</v>
      </c>
      <c r="W68" s="162" t="s">
        <v>48</v>
      </c>
      <c r="X68" s="186">
        <f>ABS(X65-Comparar!C3)/Comparar!C3*100</f>
        <v>3.0739338054078913</v>
      </c>
    </row>
    <row r="72" spans="2:25" ht="15" thickBot="1" x14ac:dyDescent="0.35"/>
    <row r="73" spans="2:25" ht="16.2" thickBot="1" x14ac:dyDescent="0.35">
      <c r="B73" s="338" t="s">
        <v>30</v>
      </c>
      <c r="C73" s="339"/>
      <c r="D73" s="339"/>
      <c r="E73" s="340"/>
      <c r="V73" s="338" t="s">
        <v>30</v>
      </c>
      <c r="W73" s="339"/>
      <c r="X73" s="339"/>
      <c r="Y73" s="340"/>
    </row>
    <row r="74" spans="2:25" x14ac:dyDescent="0.3">
      <c r="B74" s="91" t="s">
        <v>22</v>
      </c>
      <c r="C74" s="50">
        <f t="array" ref="C74:D76">LINEST(V12:V23,D12:D23,1,1)</f>
        <v>0.98940698152075324</v>
      </c>
      <c r="D74" s="79">
        <v>-3.9583482014658049</v>
      </c>
      <c r="E74" s="91" t="s">
        <v>25</v>
      </c>
      <c r="V74" s="91" t="s">
        <v>22</v>
      </c>
      <c r="W74" s="50">
        <f t="array" ref="W74:X76">LINEST(V13:V23,D13:D23,1,1)</f>
        <v>1.007239097229286</v>
      </c>
      <c r="X74" s="79">
        <v>-4.0303344746295036</v>
      </c>
      <c r="Y74" s="91" t="s">
        <v>25</v>
      </c>
    </row>
    <row r="75" spans="2:25" ht="15.6" x14ac:dyDescent="0.3">
      <c r="B75" s="92" t="s">
        <v>23</v>
      </c>
      <c r="C75" s="49">
        <v>7.5942052227294821E-3</v>
      </c>
      <c r="D75" s="57">
        <v>2.9869418704799745E-2</v>
      </c>
      <c r="E75" s="92" t="s">
        <v>26</v>
      </c>
      <c r="V75" s="92" t="s">
        <v>23</v>
      </c>
      <c r="W75" s="49">
        <v>5.4959682153663024E-3</v>
      </c>
      <c r="X75" s="57">
        <v>2.1863491171513906E-2</v>
      </c>
      <c r="Y75" s="92" t="s">
        <v>26</v>
      </c>
    </row>
    <row r="76" spans="2:25" ht="16.8" thickBot="1" x14ac:dyDescent="0.35">
      <c r="B76" s="93" t="s">
        <v>24</v>
      </c>
      <c r="C76" s="48">
        <v>0.99941121202109573</v>
      </c>
      <c r="D76" s="60">
        <v>6.3575593302288369E-3</v>
      </c>
      <c r="E76" s="93" t="s">
        <v>27</v>
      </c>
      <c r="V76" s="93" t="s">
        <v>24</v>
      </c>
      <c r="W76" s="48">
        <v>0.99973211436410869</v>
      </c>
      <c r="X76" s="60">
        <v>3.4740622602669989E-3</v>
      </c>
      <c r="Y76" s="93" t="s">
        <v>27</v>
      </c>
    </row>
    <row r="77" spans="2:25" ht="15" thickBot="1" x14ac:dyDescent="0.35"/>
    <row r="78" spans="2:25" x14ac:dyDescent="0.3">
      <c r="C78" s="158" t="s">
        <v>81</v>
      </c>
      <c r="D78" s="178">
        <f>2*D76</f>
        <v>1.2715118660457674E-2</v>
      </c>
      <c r="W78" s="158" t="s">
        <v>81</v>
      </c>
      <c r="X78" s="178">
        <f>2*X76</f>
        <v>6.9481245205339978E-3</v>
      </c>
    </row>
    <row r="79" spans="2:25" ht="15" thickBot="1" x14ac:dyDescent="0.35">
      <c r="C79" s="159" t="s">
        <v>81</v>
      </c>
      <c r="D79" s="179">
        <f>-2*D76</f>
        <v>-1.2715118660457674E-2</v>
      </c>
      <c r="W79" s="159" t="s">
        <v>81</v>
      </c>
      <c r="X79" s="179">
        <f>-2*X76</f>
        <v>-6.9481245205339978E-3</v>
      </c>
    </row>
    <row r="80" spans="2:25" ht="15" thickBot="1" x14ac:dyDescent="0.35"/>
    <row r="81" spans="3:24" ht="16.2" thickBot="1" x14ac:dyDescent="0.4">
      <c r="C81" s="292" t="s">
        <v>100</v>
      </c>
      <c r="D81" s="318">
        <f>ABS(C74-1)*100</f>
        <v>1.0593018479246763</v>
      </c>
      <c r="W81" s="292" t="s">
        <v>100</v>
      </c>
      <c r="X81" s="187">
        <f>ABS(W74-1)*100</f>
        <v>0.72390972292859512</v>
      </c>
    </row>
  </sheetData>
  <mergeCells count="12">
    <mergeCell ref="AL11:AO11"/>
    <mergeCell ref="V41:Y41"/>
    <mergeCell ref="V57:Y57"/>
    <mergeCell ref="V73:Y73"/>
    <mergeCell ref="B41:E41"/>
    <mergeCell ref="B57:E57"/>
    <mergeCell ref="B73:E73"/>
    <mergeCell ref="H10:O10"/>
    <mergeCell ref="B25:E25"/>
    <mergeCell ref="AD11:AJ11"/>
    <mergeCell ref="P10:Y10"/>
    <mergeCell ref="V25:Y2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4289-81DE-449E-9FDE-D7AB3784B7F8}">
  <sheetPr>
    <tabColor rgb="FFFFC000"/>
  </sheetPr>
  <dimension ref="B1:AW93"/>
  <sheetViews>
    <sheetView tabSelected="1" topLeftCell="Y54" zoomScale="50" zoomScaleNormal="56" workbookViewId="0">
      <selection activeCell="AD13" sqref="AD13"/>
    </sheetView>
  </sheetViews>
  <sheetFormatPr defaultRowHeight="14.4" x14ac:dyDescent="0.3"/>
  <cols>
    <col min="1" max="1" width="8.88671875" style="139"/>
    <col min="2" max="2" width="8.77734375" style="139" customWidth="1"/>
    <col min="3" max="4" width="11.109375" style="139" customWidth="1"/>
    <col min="5" max="5" width="8.77734375" style="139" customWidth="1"/>
    <col min="6" max="6" width="9" style="139" bestFit="1" customWidth="1"/>
    <col min="7" max="7" width="10.44140625" style="139" bestFit="1" customWidth="1"/>
    <col min="8" max="8" width="11.33203125" style="139" bestFit="1" customWidth="1"/>
    <col min="9" max="9" width="10.21875" style="139" customWidth="1"/>
    <col min="10" max="10" width="11.109375" style="139" bestFit="1" customWidth="1"/>
    <col min="11" max="11" width="12.109375" style="139" bestFit="1" customWidth="1"/>
    <col min="12" max="12" width="11.109375" style="139" bestFit="1" customWidth="1"/>
    <col min="13" max="13" width="9.6640625" style="139" bestFit="1" customWidth="1"/>
    <col min="14" max="15" width="10.5546875" style="139" bestFit="1" customWidth="1"/>
    <col min="16" max="16" width="9.33203125" style="139" bestFit="1" customWidth="1"/>
    <col min="17" max="17" width="11.21875" style="139" bestFit="1" customWidth="1"/>
    <col min="18" max="18" width="10.5546875" style="139" bestFit="1" customWidth="1"/>
    <col min="19" max="19" width="11.33203125" style="139" bestFit="1" customWidth="1"/>
    <col min="20" max="20" width="9.33203125" style="139" bestFit="1" customWidth="1"/>
    <col min="21" max="21" width="10.44140625" style="139" bestFit="1" customWidth="1"/>
    <col min="22" max="22" width="11.33203125" style="139" bestFit="1" customWidth="1"/>
    <col min="23" max="23" width="8.88671875" style="139" customWidth="1"/>
    <col min="24" max="24" width="11.109375" style="139" customWidth="1"/>
    <col min="25" max="25" width="11" style="139" customWidth="1"/>
    <col min="26" max="26" width="10.21875" style="139" bestFit="1" customWidth="1"/>
    <col min="27" max="27" width="12.44140625" style="139" bestFit="1" customWidth="1"/>
    <col min="28" max="28" width="10.21875" style="139" bestFit="1" customWidth="1"/>
    <col min="29" max="29" width="8.88671875" style="139"/>
    <col min="30" max="30" width="11.21875" style="139" bestFit="1" customWidth="1"/>
    <col min="31" max="31" width="10.21875" style="139" customWidth="1"/>
    <col min="32" max="32" width="12.44140625" style="139" bestFit="1" customWidth="1"/>
    <col min="33" max="33" width="10.21875" style="139" bestFit="1" customWidth="1"/>
    <col min="34" max="45" width="8.88671875" style="139"/>
    <col min="46" max="46" width="8.88671875" style="139" customWidth="1"/>
    <col min="47" max="47" width="11" style="139" customWidth="1"/>
    <col min="48" max="48" width="11.109375" style="139" customWidth="1"/>
    <col min="49" max="16384" width="8.88671875" style="139"/>
  </cols>
  <sheetData>
    <row r="1" spans="2:49" ht="15" thickBot="1" x14ac:dyDescent="0.35">
      <c r="B1" s="138" t="s">
        <v>5</v>
      </c>
    </row>
    <row r="2" spans="2:49" ht="15.6" x14ac:dyDescent="0.35">
      <c r="B2" s="140" t="s">
        <v>6</v>
      </c>
      <c r="C2" s="142">
        <v>300</v>
      </c>
      <c r="E2" s="140" t="s">
        <v>0</v>
      </c>
      <c r="F2" s="142">
        <v>1500</v>
      </c>
      <c r="H2" s="140" t="s">
        <v>39</v>
      </c>
      <c r="I2" s="142">
        <v>1E-4</v>
      </c>
      <c r="K2" s="140" t="s">
        <v>33</v>
      </c>
      <c r="L2" s="142">
        <v>1E-4</v>
      </c>
    </row>
    <row r="3" spans="2:49" ht="16.2" thickBot="1" x14ac:dyDescent="0.4">
      <c r="B3" s="163" t="s">
        <v>8</v>
      </c>
      <c r="C3" s="164">
        <v>4.1000000000000002E-2</v>
      </c>
      <c r="E3" s="143" t="s">
        <v>3</v>
      </c>
      <c r="F3" s="144">
        <v>1</v>
      </c>
      <c r="H3" s="143" t="s">
        <v>41</v>
      </c>
      <c r="I3" s="145">
        <f>SQRT(2)*I2</f>
        <v>1.4142135623730951E-4</v>
      </c>
      <c r="K3" s="143" t="s">
        <v>34</v>
      </c>
      <c r="L3" s="145">
        <f>SQRT(2)*L2</f>
        <v>1.4142135623730951E-4</v>
      </c>
    </row>
    <row r="4" spans="2:49" ht="15" thickBot="1" x14ac:dyDescent="0.35">
      <c r="B4" s="143" t="s">
        <v>7</v>
      </c>
      <c r="C4" s="165">
        <f>PI()*C3^2/4</f>
        <v>1.3202543126711107E-3</v>
      </c>
    </row>
    <row r="5" spans="2:49" x14ac:dyDescent="0.3">
      <c r="E5" s="140" t="s">
        <v>1</v>
      </c>
      <c r="F5" s="184">
        <f>2*PI()*F2</f>
        <v>9424.7779607693792</v>
      </c>
    </row>
    <row r="6" spans="2:49" ht="15" thickBot="1" x14ac:dyDescent="0.35">
      <c r="B6" s="138" t="s">
        <v>10</v>
      </c>
      <c r="E6" s="143" t="s">
        <v>2</v>
      </c>
      <c r="F6" s="185">
        <f>2*PI()*F3</f>
        <v>6.2831853071795862</v>
      </c>
    </row>
    <row r="7" spans="2:49" ht="15" thickBot="1" x14ac:dyDescent="0.35">
      <c r="B7" s="140" t="s">
        <v>11</v>
      </c>
      <c r="C7" s="171">
        <v>361</v>
      </c>
    </row>
    <row r="8" spans="2:49" ht="15" thickBot="1" x14ac:dyDescent="0.35">
      <c r="B8" s="172" t="s">
        <v>82</v>
      </c>
      <c r="C8" s="173">
        <v>1</v>
      </c>
      <c r="E8" s="149" t="s">
        <v>56</v>
      </c>
      <c r="F8" s="150">
        <v>0</v>
      </c>
    </row>
    <row r="9" spans="2:49" ht="15" thickBot="1" x14ac:dyDescent="0.35">
      <c r="B9" s="143" t="s">
        <v>97</v>
      </c>
      <c r="C9" s="186">
        <v>0.75</v>
      </c>
    </row>
    <row r="10" spans="2:49" ht="15" thickBot="1" x14ac:dyDescent="0.35"/>
    <row r="11" spans="2:49" ht="15.6" thickTop="1" thickBot="1" x14ac:dyDescent="0.35">
      <c r="B11" s="1"/>
      <c r="C11" s="1"/>
      <c r="D11" s="1"/>
      <c r="F11" s="344" t="s">
        <v>13</v>
      </c>
      <c r="G11" s="345"/>
      <c r="H11" s="345"/>
      <c r="I11" s="345"/>
      <c r="J11" s="345"/>
      <c r="K11" s="345"/>
      <c r="L11" s="345"/>
      <c r="M11" s="346"/>
      <c r="N11" s="356" t="s">
        <v>12</v>
      </c>
      <c r="O11" s="357"/>
      <c r="P11" s="357"/>
      <c r="Q11" s="357"/>
      <c r="R11" s="357"/>
      <c r="S11" s="357"/>
      <c r="T11" s="357"/>
      <c r="U11" s="357"/>
      <c r="V11" s="357"/>
      <c r="W11" s="358"/>
      <c r="Y11" s="347" t="s">
        <v>86</v>
      </c>
      <c r="Z11" s="348"/>
      <c r="AA11" s="348"/>
      <c r="AB11" s="349"/>
      <c r="AD11" s="353" t="s">
        <v>87</v>
      </c>
      <c r="AE11" s="354"/>
      <c r="AF11" s="354"/>
      <c r="AG11" s="355"/>
      <c r="AT11" s="359" t="s">
        <v>88</v>
      </c>
      <c r="AU11" s="360"/>
      <c r="AV11" s="360"/>
      <c r="AW11" s="361"/>
    </row>
    <row r="12" spans="2:49" ht="16.8" thickTop="1" thickBot="1" x14ac:dyDescent="0.35">
      <c r="B12" s="20" t="s">
        <v>21</v>
      </c>
      <c r="C12" s="3" t="s">
        <v>4</v>
      </c>
      <c r="D12" s="29" t="s">
        <v>32</v>
      </c>
      <c r="E12" s="28" t="s">
        <v>51</v>
      </c>
      <c r="F12" s="5" t="s">
        <v>16</v>
      </c>
      <c r="G12" s="6" t="s">
        <v>15</v>
      </c>
      <c r="H12" s="6" t="s">
        <v>19</v>
      </c>
      <c r="I12" s="6" t="s">
        <v>17</v>
      </c>
      <c r="J12" s="6" t="s">
        <v>18</v>
      </c>
      <c r="K12" s="6" t="s">
        <v>36</v>
      </c>
      <c r="L12" s="6" t="s">
        <v>20</v>
      </c>
      <c r="M12" s="7" t="s">
        <v>17</v>
      </c>
      <c r="N12" s="88" t="s">
        <v>77</v>
      </c>
      <c r="O12" s="129" t="s">
        <v>40</v>
      </c>
      <c r="P12" s="89" t="s">
        <v>15</v>
      </c>
      <c r="Q12" s="89" t="s">
        <v>80</v>
      </c>
      <c r="R12" s="89" t="s">
        <v>19</v>
      </c>
      <c r="S12" s="89" t="s">
        <v>17</v>
      </c>
      <c r="T12" s="89" t="s">
        <v>18</v>
      </c>
      <c r="U12" s="89" t="s">
        <v>36</v>
      </c>
      <c r="V12" s="89" t="s">
        <v>20</v>
      </c>
      <c r="W12" s="90" t="s">
        <v>17</v>
      </c>
      <c r="Y12" s="219" t="s">
        <v>19</v>
      </c>
      <c r="Z12" s="218" t="s">
        <v>17</v>
      </c>
      <c r="AA12" s="218" t="s">
        <v>20</v>
      </c>
      <c r="AB12" s="220" t="s">
        <v>17</v>
      </c>
      <c r="AD12" s="227" t="s">
        <v>19</v>
      </c>
      <c r="AE12" s="228" t="s">
        <v>17</v>
      </c>
      <c r="AF12" s="228" t="s">
        <v>20</v>
      </c>
      <c r="AG12" s="229" t="s">
        <v>17</v>
      </c>
      <c r="AT12" s="257" t="s">
        <v>19</v>
      </c>
      <c r="AU12" s="258" t="s">
        <v>17</v>
      </c>
      <c r="AV12" s="258" t="s">
        <v>20</v>
      </c>
      <c r="AW12" s="259" t="s">
        <v>17</v>
      </c>
    </row>
    <row r="13" spans="2:49" x14ac:dyDescent="0.3">
      <c r="B13" s="8">
        <v>5.6300000000000003E-2</v>
      </c>
      <c r="C13" s="69">
        <f>B13*SQRT(2)</f>
        <v>7.9620223561605266E-2</v>
      </c>
      <c r="D13" s="69">
        <f>LOG10(C13)</f>
        <v>-1.0989766073166631</v>
      </c>
      <c r="E13" s="115">
        <f t="shared" ref="E13:E26" si="0">L$3/(LN(10)*C13)</f>
        <v>7.7139339592051815E-4</v>
      </c>
      <c r="F13" s="223">
        <v>0.1207</v>
      </c>
      <c r="G13" s="224">
        <f>F13*SQRT(2)</f>
        <v>0.17069557697843257</v>
      </c>
      <c r="H13" s="69">
        <f t="shared" ref="H13:H26" si="1">C$36*C13+D$36</f>
        <v>0.16984826078254281</v>
      </c>
      <c r="I13" s="69">
        <f>G13-H13</f>
        <v>8.4731619588976348E-4</v>
      </c>
      <c r="J13" s="224">
        <f>LOG10(G13)</f>
        <v>-0.76777773207066013</v>
      </c>
      <c r="K13" s="224">
        <f t="shared" ref="K13:K26" si="2">I$3/(LN(10)*G13)</f>
        <v>3.5981315816342317E-4</v>
      </c>
      <c r="L13" s="69">
        <f t="shared" ref="L13:L26" si="3">C$53*D13+D$53</f>
        <v>-0.76822394407334249</v>
      </c>
      <c r="M13" s="80">
        <f t="shared" ref="M13:M26" si="4">J13-L13</f>
        <v>4.4621200268235572E-4</v>
      </c>
      <c r="N13" s="230">
        <v>0.34200000000000003</v>
      </c>
      <c r="O13" s="231">
        <v>1E-3</v>
      </c>
      <c r="P13" s="232">
        <f t="shared" ref="P13:P26" si="5">N13/2</f>
        <v>0.17100000000000001</v>
      </c>
      <c r="Q13" s="233">
        <f t="shared" ref="Q13:Q26" si="6">O13/2</f>
        <v>5.0000000000000001E-4</v>
      </c>
      <c r="R13" s="70">
        <f t="shared" ref="R13:R26" si="7">C$70*C13+D$70</f>
        <v>0.16795969288880591</v>
      </c>
      <c r="S13" s="70">
        <f t="shared" ref="S13:S26" si="8">P13-R13</f>
        <v>3.0403071111941016E-3</v>
      </c>
      <c r="T13" s="241">
        <f t="shared" ref="T13:T26" si="9">LOG(P13)</f>
        <v>-0.76700388960784616</v>
      </c>
      <c r="U13" s="241">
        <f>Q13/(LN(10)*P13)</f>
        <v>1.2698669061498588E-3</v>
      </c>
      <c r="V13" s="9">
        <f t="shared" ref="V13:V26" si="10">C$86*D13+D$86</f>
        <v>-0.76932550330800464</v>
      </c>
      <c r="W13" s="10">
        <f t="shared" ref="W13:W26" si="11">T13-V13</f>
        <v>2.3216137001584869E-3</v>
      </c>
      <c r="Y13" s="251">
        <f>X$36*C13+Y$36</f>
        <v>0.17058639538888257</v>
      </c>
      <c r="Z13" s="221">
        <f>G13-Y13</f>
        <v>1.091815895500059E-4</v>
      </c>
      <c r="AA13" s="221">
        <f>X$53*D13+Y$53</f>
        <v>-0.76787654808972605</v>
      </c>
      <c r="AB13" s="250">
        <f>J13-AA13</f>
        <v>9.8816019065917082E-5</v>
      </c>
      <c r="AD13" s="251">
        <f>X$70*C13+Y$70</f>
        <v>0.17055071655897716</v>
      </c>
      <c r="AE13" s="221">
        <f>P13-AD13</f>
        <v>4.4928344102285189E-4</v>
      </c>
      <c r="AF13" s="221">
        <f>X$86*D13+Y$86</f>
        <v>-0.76753188489371693</v>
      </c>
      <c r="AG13" s="250">
        <f>J13-AF13</f>
        <v>-2.4584717694320357E-4</v>
      </c>
      <c r="AT13" s="251">
        <f>AU$36*C20+AV$36</f>
        <v>0.91484458674659419</v>
      </c>
      <c r="AU13" s="221">
        <f>G20-AT13</f>
        <v>1.5158810879845053E-4</v>
      </c>
      <c r="AV13" s="269">
        <f>AU$53*D20+AV$53</f>
        <v>-3.8607300018947632E-2</v>
      </c>
      <c r="AW13" s="270">
        <f>J20-AV13</f>
        <v>2.6578519638685572E-5</v>
      </c>
    </row>
    <row r="14" spans="2:49" x14ac:dyDescent="0.3">
      <c r="B14" s="11">
        <v>7.3400000000000007E-2</v>
      </c>
      <c r="C14" s="33">
        <f t="shared" ref="C14:C26" si="12">B14*SQRT(2)</f>
        <v>0.1038032754781852</v>
      </c>
      <c r="D14" s="33">
        <f t="shared" ref="D14:D26" si="13">LOG10(C14)</f>
        <v>-0.9837889422519388</v>
      </c>
      <c r="E14" s="116">
        <f t="shared" si="0"/>
        <v>5.9168185545402136E-4</v>
      </c>
      <c r="F14" s="225">
        <v>0.15740000000000001</v>
      </c>
      <c r="G14" s="226">
        <f t="shared" ref="G14:G26" si="14">F14*SQRT(2)</f>
        <v>0.22259721471752519</v>
      </c>
      <c r="H14" s="33">
        <f t="shared" si="1"/>
        <v>0.22193087181078991</v>
      </c>
      <c r="I14" s="33">
        <f t="shared" ref="I14:I26" si="15">G14-H14</f>
        <v>6.663429067352844E-4</v>
      </c>
      <c r="J14" s="226">
        <f t="shared" ref="J14:J26" si="16">LOG10(G14)</f>
        <v>-0.65248027414496357</v>
      </c>
      <c r="K14" s="226">
        <f t="shared" si="2"/>
        <v>2.7591771404272662E-4</v>
      </c>
      <c r="L14" s="33">
        <f t="shared" si="3"/>
        <v>-0.65280089362965854</v>
      </c>
      <c r="M14" s="81">
        <f t="shared" si="4"/>
        <v>3.2061948469497281E-4</v>
      </c>
      <c r="N14" s="234">
        <v>0.44400000000000001</v>
      </c>
      <c r="O14" s="235">
        <v>1E-3</v>
      </c>
      <c r="P14" s="236">
        <f t="shared" si="5"/>
        <v>0.222</v>
      </c>
      <c r="Q14" s="237">
        <f t="shared" si="6"/>
        <v>5.0000000000000001E-4</v>
      </c>
      <c r="R14" s="64">
        <f t="shared" si="7"/>
        <v>0.22071275908264637</v>
      </c>
      <c r="S14" s="64">
        <f t="shared" si="8"/>
        <v>1.2872409173536326E-3</v>
      </c>
      <c r="T14" s="240">
        <f t="shared" si="9"/>
        <v>-0.65364702554936138</v>
      </c>
      <c r="U14" s="240">
        <f t="shared" ref="U14:U26" si="17">Q14/(LN(10)*P14)</f>
        <v>9.7814072500732388E-4</v>
      </c>
      <c r="V14" s="12">
        <f t="shared" si="10"/>
        <v>-0.65322316181024964</v>
      </c>
      <c r="W14" s="13">
        <f t="shared" si="11"/>
        <v>-4.2386373911174058E-4</v>
      </c>
      <c r="Y14" s="252">
        <f t="shared" ref="Y14:Y18" si="18">X$36*C14+Y$36</f>
        <v>0.22248602147410912</v>
      </c>
      <c r="Z14" s="112">
        <f t="shared" ref="Z14:Z18" si="19">G14-Y14</f>
        <v>1.1119324341607451E-4</v>
      </c>
      <c r="AA14" s="112">
        <f t="shared" ref="AA14:AA18" si="20">X$53*D14+Y$53</f>
        <v>-0.65262713823996021</v>
      </c>
      <c r="AB14" s="176">
        <f t="shared" ref="AB14:AB18" si="21">J14-AA14</f>
        <v>1.4686409499664599E-4</v>
      </c>
      <c r="AD14" s="252">
        <f t="shared" ref="AD14:AD18" si="22">X$70*C14+Y$70</f>
        <v>0.22243469389143361</v>
      </c>
      <c r="AE14" s="112">
        <f t="shared" ref="AE14:AE18" si="23">P14-AD14</f>
        <v>-4.3469389143360737E-4</v>
      </c>
      <c r="AF14" s="112">
        <f t="shared" ref="AF14:AF18" si="24">X$86*D14+Y$86</f>
        <v>-0.6524063188568483</v>
      </c>
      <c r="AG14" s="176">
        <f t="shared" ref="AG14:AG18" si="25">J14-AF14</f>
        <v>-7.3955288115268303E-5</v>
      </c>
      <c r="AT14" s="252">
        <f t="shared" ref="AT14:AT17" si="26">AU$36*C21+AV$36</f>
        <v>1.0807566110593498</v>
      </c>
      <c r="AU14" s="112">
        <f t="shared" ref="AU14:AU17" si="27">G21-AT14</f>
        <v>-1.5602805006786902E-4</v>
      </c>
      <c r="AV14" s="271">
        <f t="shared" ref="AV14:AV17" si="28">AU$53*D21+AV$53</f>
        <v>3.3713474282926481E-2</v>
      </c>
      <c r="AW14" s="272">
        <f t="shared" ref="AW14:AW17" si="29">J21-AV14</f>
        <v>-4.8276767658318731E-5</v>
      </c>
    </row>
    <row r="15" spans="2:49" x14ac:dyDescent="0.3">
      <c r="B15" s="11">
        <v>8.7400000000000005E-2</v>
      </c>
      <c r="C15" s="33">
        <f t="shared" si="12"/>
        <v>0.12360226535140853</v>
      </c>
      <c r="D15" s="33">
        <f t="shared" si="13"/>
        <v>-0.90797356953360631</v>
      </c>
      <c r="E15" s="116">
        <f t="shared" si="0"/>
        <v>4.9690444153690128E-4</v>
      </c>
      <c r="F15" s="225">
        <v>0.18729999999999999</v>
      </c>
      <c r="G15" s="226">
        <f t="shared" si="14"/>
        <v>0.26488220023248071</v>
      </c>
      <c r="H15" s="33">
        <f t="shared" si="1"/>
        <v>0.26457160598596297</v>
      </c>
      <c r="I15" s="33">
        <f t="shared" si="15"/>
        <v>3.1059424651774803E-4</v>
      </c>
      <c r="J15" s="226">
        <f t="shared" si="16"/>
        <v>-0.57694722479277205</v>
      </c>
      <c r="K15" s="226">
        <f t="shared" si="2"/>
        <v>2.3187105280472601E-4</v>
      </c>
      <c r="L15" s="33">
        <f t="shared" si="3"/>
        <v>-0.57683059260169978</v>
      </c>
      <c r="M15" s="81">
        <f t="shared" si="4"/>
        <v>-1.1663219107227452E-4</v>
      </c>
      <c r="N15" s="234">
        <v>0.53200000000000003</v>
      </c>
      <c r="O15" s="235">
        <v>1E-3</v>
      </c>
      <c r="P15" s="236">
        <f t="shared" si="5"/>
        <v>0.26600000000000001</v>
      </c>
      <c r="Q15" s="237">
        <f t="shared" si="6"/>
        <v>5.0000000000000001E-4</v>
      </c>
      <c r="R15" s="64">
        <f t="shared" si="7"/>
        <v>0.26390240391970871</v>
      </c>
      <c r="S15" s="64">
        <f t="shared" si="8"/>
        <v>2.0975960802913085E-3</v>
      </c>
      <c r="T15" s="236">
        <f t="shared" si="9"/>
        <v>-0.57511836336893296</v>
      </c>
      <c r="U15" s="236">
        <f t="shared" si="17"/>
        <v>8.1634301109633801E-4</v>
      </c>
      <c r="V15" s="12">
        <f t="shared" si="10"/>
        <v>-0.57680575818306989</v>
      </c>
      <c r="W15" s="13">
        <f t="shared" si="11"/>
        <v>1.6873948141369333E-3</v>
      </c>
      <c r="Y15" s="252">
        <f t="shared" si="18"/>
        <v>0.26497694341523026</v>
      </c>
      <c r="Z15" s="112">
        <f t="shared" si="19"/>
        <v>-9.4743182749545962E-5</v>
      </c>
      <c r="AA15" s="112">
        <f t="shared" si="20"/>
        <v>-0.57677112571971234</v>
      </c>
      <c r="AB15" s="176">
        <f t="shared" si="21"/>
        <v>-1.7609907305971007E-4</v>
      </c>
      <c r="AD15" s="252">
        <f t="shared" si="22"/>
        <v>0.26491280398818157</v>
      </c>
      <c r="AE15" s="112">
        <f t="shared" si="23"/>
        <v>1.0871960118184476E-3</v>
      </c>
      <c r="AF15" s="112">
        <f t="shared" si="24"/>
        <v>-0.57663181909951966</v>
      </c>
      <c r="AG15" s="176">
        <f t="shared" si="25"/>
        <v>-3.1540569325239076E-4</v>
      </c>
      <c r="AT15" s="252">
        <f t="shared" si="26"/>
        <v>1.1757817299567113</v>
      </c>
      <c r="AU15" s="112">
        <f t="shared" si="27"/>
        <v>-1.4599555595729008E-4</v>
      </c>
      <c r="AV15" s="271">
        <f t="shared" si="28"/>
        <v>7.030579485772126E-2</v>
      </c>
      <c r="AW15" s="272">
        <f t="shared" si="29"/>
        <v>-3.3016523836471023E-5</v>
      </c>
    </row>
    <row r="16" spans="2:49" x14ac:dyDescent="0.3">
      <c r="B16" s="11">
        <v>0.1182</v>
      </c>
      <c r="C16" s="33">
        <f t="shared" si="12"/>
        <v>0.16716004307249985</v>
      </c>
      <c r="D16" s="33">
        <f t="shared" si="13"/>
        <v>-0.77686752562277284</v>
      </c>
      <c r="E16" s="116">
        <f t="shared" si="0"/>
        <v>3.6742341954589826E-4</v>
      </c>
      <c r="F16" s="225">
        <v>0.25330000000000003</v>
      </c>
      <c r="G16" s="226">
        <f t="shared" si="14"/>
        <v>0.35822029534910504</v>
      </c>
      <c r="H16" s="33">
        <f t="shared" si="1"/>
        <v>0.35838122117134363</v>
      </c>
      <c r="I16" s="33">
        <f t="shared" si="15"/>
        <v>-1.6092582223858898E-4</v>
      </c>
      <c r="J16" s="226">
        <f t="shared" si="16"/>
        <v>-0.44584981237746135</v>
      </c>
      <c r="K16" s="226">
        <f t="shared" si="2"/>
        <v>1.7145459214498685E-4</v>
      </c>
      <c r="L16" s="33">
        <f t="shared" si="3"/>
        <v>-0.44545663418966941</v>
      </c>
      <c r="M16" s="81">
        <f t="shared" si="4"/>
        <v>-3.9317818779194269E-4</v>
      </c>
      <c r="N16" s="234">
        <v>0.71599999999999997</v>
      </c>
      <c r="O16" s="235">
        <v>1E-3</v>
      </c>
      <c r="P16" s="236">
        <f t="shared" si="5"/>
        <v>0.35799999999999998</v>
      </c>
      <c r="Q16" s="237">
        <f t="shared" si="6"/>
        <v>5.0000000000000001E-4</v>
      </c>
      <c r="R16" s="64">
        <f t="shared" si="7"/>
        <v>0.35891962256124588</v>
      </c>
      <c r="S16" s="64">
        <f t="shared" si="8"/>
        <v>-9.1962256124589192E-4</v>
      </c>
      <c r="T16" s="236">
        <f t="shared" si="9"/>
        <v>-0.44611697335612566</v>
      </c>
      <c r="U16" s="236">
        <f t="shared" si="17"/>
        <v>6.0655653897102207E-4</v>
      </c>
      <c r="V16" s="12">
        <f t="shared" si="10"/>
        <v>-0.44465863397491689</v>
      </c>
      <c r="W16" s="13">
        <f t="shared" si="11"/>
        <v>-1.4583393812087619E-3</v>
      </c>
      <c r="Y16" s="252">
        <f t="shared" si="18"/>
        <v>0.35845697168569679</v>
      </c>
      <c r="Z16" s="112">
        <f t="shared" si="19"/>
        <v>-2.366763365917457E-4</v>
      </c>
      <c r="AA16" s="112">
        <f t="shared" si="20"/>
        <v>-0.44559480419283054</v>
      </c>
      <c r="AB16" s="176">
        <f t="shared" si="21"/>
        <v>-2.5500818463081165E-4</v>
      </c>
      <c r="AD16" s="252">
        <f t="shared" si="22"/>
        <v>0.35836464620102704</v>
      </c>
      <c r="AE16" s="112">
        <f t="shared" si="23"/>
        <v>-3.6464620102705236E-4</v>
      </c>
      <c r="AF16" s="112">
        <f t="shared" si="24"/>
        <v>-0.44559645600219427</v>
      </c>
      <c r="AG16" s="176">
        <f t="shared" si="25"/>
        <v>-2.5335637526707755E-4</v>
      </c>
      <c r="AT16" s="252">
        <f t="shared" si="26"/>
        <v>1.2350578491402742</v>
      </c>
      <c r="AU16" s="112">
        <f t="shared" si="27"/>
        <v>1.1627623638710283E-4</v>
      </c>
      <c r="AV16" s="271">
        <f t="shared" si="28"/>
        <v>9.1669273178258515E-2</v>
      </c>
      <c r="AW16" s="272">
        <f t="shared" si="29"/>
        <v>5.8912239053410254E-5</v>
      </c>
    </row>
    <row r="17" spans="2:49" x14ac:dyDescent="0.3">
      <c r="B17" s="11">
        <v>0.17369999999999999</v>
      </c>
      <c r="C17" s="33">
        <f t="shared" si="12"/>
        <v>0.24564889578420662</v>
      </c>
      <c r="D17" s="33">
        <f t="shared" si="13"/>
        <v>-0.60968518372091074</v>
      </c>
      <c r="E17" s="116">
        <f t="shared" si="0"/>
        <v>2.5002560846473906E-4</v>
      </c>
      <c r="F17" s="225">
        <v>0.37259999999999999</v>
      </c>
      <c r="G17" s="226">
        <f t="shared" si="14"/>
        <v>0.52693597334021525</v>
      </c>
      <c r="H17" s="33">
        <f t="shared" si="1"/>
        <v>0.52742127450863685</v>
      </c>
      <c r="I17" s="33">
        <f t="shared" si="15"/>
        <v>-4.8530116842160353E-4</v>
      </c>
      <c r="J17" s="226">
        <f t="shared" si="16"/>
        <v>-0.27824215160778554</v>
      </c>
      <c r="K17" s="226">
        <f t="shared" si="2"/>
        <v>1.16557831965446E-4</v>
      </c>
      <c r="L17" s="33">
        <f t="shared" si="3"/>
        <v>-0.27793265606415596</v>
      </c>
      <c r="M17" s="81">
        <f t="shared" si="4"/>
        <v>-3.0949554362957876E-4</v>
      </c>
      <c r="N17" s="238">
        <v>1.05</v>
      </c>
      <c r="O17" s="239">
        <v>0.01</v>
      </c>
      <c r="P17" s="240">
        <f t="shared" si="5"/>
        <v>0.52500000000000002</v>
      </c>
      <c r="Q17" s="237">
        <f t="shared" si="6"/>
        <v>5.0000000000000001E-3</v>
      </c>
      <c r="R17" s="64">
        <f t="shared" si="7"/>
        <v>0.53013571459388598</v>
      </c>
      <c r="S17" s="64">
        <f t="shared" si="8"/>
        <v>-5.1357145938859539E-3</v>
      </c>
      <c r="T17" s="240">
        <f t="shared" si="9"/>
        <v>-0.27984069659404309</v>
      </c>
      <c r="U17" s="240">
        <f t="shared" si="17"/>
        <v>4.1361379228881121E-3</v>
      </c>
      <c r="V17" s="12">
        <f t="shared" si="10"/>
        <v>-0.27614873891820446</v>
      </c>
      <c r="W17" s="13">
        <f t="shared" si="11"/>
        <v>-3.6919576758386308E-3</v>
      </c>
      <c r="Y17" s="252">
        <f t="shared" si="18"/>
        <v>0.52690312652371274</v>
      </c>
      <c r="Z17" s="112">
        <f t="shared" si="19"/>
        <v>3.2846816502507536E-5</v>
      </c>
      <c r="AA17" s="112">
        <f t="shared" si="20"/>
        <v>-0.27832284646484978</v>
      </c>
      <c r="AB17" s="176">
        <f t="shared" si="21"/>
        <v>8.0694857064245173E-5</v>
      </c>
      <c r="AD17" s="252">
        <f t="shared" si="22"/>
        <v>0.52676001122742067</v>
      </c>
      <c r="AE17" s="112">
        <f t="shared" si="23"/>
        <v>-1.7600112274206436E-3</v>
      </c>
      <c r="AF17" s="112">
        <f t="shared" si="24"/>
        <v>-0.27850424407128788</v>
      </c>
      <c r="AG17" s="176">
        <f t="shared" si="25"/>
        <v>2.6209246350233917E-4</v>
      </c>
      <c r="AT17" s="252">
        <f t="shared" si="26"/>
        <v>1.2805843530492991</v>
      </c>
      <c r="AU17" s="112">
        <f t="shared" si="27"/>
        <v>-1.3972320461519416E-5</v>
      </c>
      <c r="AV17" s="271">
        <f t="shared" si="28"/>
        <v>0.10739525750754347</v>
      </c>
      <c r="AW17" s="272">
        <f t="shared" si="29"/>
        <v>8.1949745243392602E-6</v>
      </c>
    </row>
    <row r="18" spans="2:49" ht="15" thickBot="1" x14ac:dyDescent="0.35">
      <c r="B18" s="11">
        <v>0.2077</v>
      </c>
      <c r="C18" s="33">
        <f t="shared" si="12"/>
        <v>0.29373215690489185</v>
      </c>
      <c r="D18" s="33">
        <f t="shared" si="13"/>
        <v>-0.53204850563291028</v>
      </c>
      <c r="E18" s="116">
        <f t="shared" si="0"/>
        <v>2.090970062124467E-4</v>
      </c>
      <c r="F18" s="225">
        <v>0.4456</v>
      </c>
      <c r="G18" s="226">
        <f t="shared" si="14"/>
        <v>0.63017356339345121</v>
      </c>
      <c r="H18" s="33">
        <f t="shared" si="1"/>
        <v>0.63097734321977139</v>
      </c>
      <c r="I18" s="33">
        <f t="shared" si="15"/>
        <v>-8.0377982632018341E-4</v>
      </c>
      <c r="J18" s="226">
        <f t="shared" si="16"/>
        <v>-0.20053982000233689</v>
      </c>
      <c r="K18" s="226">
        <f t="shared" si="2"/>
        <v>9.7462855005218084E-5</v>
      </c>
      <c r="L18" s="33">
        <f t="shared" si="3"/>
        <v>-0.20013732783872418</v>
      </c>
      <c r="M18" s="81">
        <f t="shared" si="4"/>
        <v>-4.0249216361271101E-4</v>
      </c>
      <c r="N18" s="238">
        <v>1.26</v>
      </c>
      <c r="O18" s="239">
        <v>0.01</v>
      </c>
      <c r="P18" s="240">
        <f t="shared" si="5"/>
        <v>0.63</v>
      </c>
      <c r="Q18" s="237">
        <f t="shared" si="6"/>
        <v>5.0000000000000001E-3</v>
      </c>
      <c r="R18" s="64">
        <f t="shared" si="7"/>
        <v>0.63502485205532311</v>
      </c>
      <c r="S18" s="64">
        <f t="shared" si="8"/>
        <v>-5.0248520553231035E-3</v>
      </c>
      <c r="T18" s="240">
        <f t="shared" si="9"/>
        <v>-0.20065945054641829</v>
      </c>
      <c r="U18" s="240">
        <f t="shared" si="17"/>
        <v>3.4467816024067602E-3</v>
      </c>
      <c r="V18" s="12">
        <f t="shared" si="10"/>
        <v>-0.19789556739103242</v>
      </c>
      <c r="W18" s="13">
        <f t="shared" si="11"/>
        <v>-2.7638831553858656E-3</v>
      </c>
      <c r="Y18" s="256">
        <f t="shared" si="18"/>
        <v>0.63009536552357837</v>
      </c>
      <c r="Z18" s="126">
        <f t="shared" si="19"/>
        <v>7.8197869872842496E-5</v>
      </c>
      <c r="AA18" s="126">
        <f t="shared" si="20"/>
        <v>-0.20064455228890116</v>
      </c>
      <c r="AB18" s="177">
        <f t="shared" si="21"/>
        <v>1.0473228656426858E-4</v>
      </c>
      <c r="AD18" s="252">
        <f t="shared" si="22"/>
        <v>0.62992113574809427</v>
      </c>
      <c r="AE18" s="254">
        <f t="shared" si="23"/>
        <v>7.886425190573032E-5</v>
      </c>
      <c r="AF18" s="254">
        <f t="shared" si="24"/>
        <v>-0.20090942083148239</v>
      </c>
      <c r="AG18" s="176">
        <f t="shared" si="25"/>
        <v>3.6960082914549997E-4</v>
      </c>
      <c r="AT18" s="275">
        <f>AU$36*C25+AV$36</f>
        <v>1.3728595488917525</v>
      </c>
      <c r="AU18" s="254">
        <f>G25-AT18</f>
        <v>-8.244389618905501E-5</v>
      </c>
      <c r="AV18" s="271">
        <f>AU$53*D25+AV$53</f>
        <v>0.13762968421075905</v>
      </c>
      <c r="AW18" s="277">
        <f>J25-AV18</f>
        <v>-2.965675464644546E-5</v>
      </c>
    </row>
    <row r="19" spans="2:49" ht="15.6" thickTop="1" thickBot="1" x14ac:dyDescent="0.35">
      <c r="B19" s="11">
        <v>0.25850000000000001</v>
      </c>
      <c r="C19" s="33">
        <f t="shared" si="12"/>
        <v>0.36557420587344508</v>
      </c>
      <c r="D19" s="33">
        <f t="shared" si="13"/>
        <v>-0.43702445473804807</v>
      </c>
      <c r="E19" s="116">
        <f t="shared" si="0"/>
        <v>1.6800560228365639E-4</v>
      </c>
      <c r="F19" s="11">
        <v>0.55510000000000004</v>
      </c>
      <c r="G19" s="33">
        <f t="shared" si="14"/>
        <v>0.78502994847330521</v>
      </c>
      <c r="H19" s="33">
        <f t="shared" si="1"/>
        <v>0.7857022929411136</v>
      </c>
      <c r="I19" s="33">
        <f t="shared" si="15"/>
        <v>-6.7234446780839452E-4</v>
      </c>
      <c r="J19" s="62">
        <f t="shared" si="16"/>
        <v>-0.10511377483614869</v>
      </c>
      <c r="K19" s="62">
        <f t="shared" si="2"/>
        <v>7.8237161214781437E-5</v>
      </c>
      <c r="L19" s="33">
        <f t="shared" si="3"/>
        <v>-0.10491909580287256</v>
      </c>
      <c r="M19" s="81">
        <f t="shared" si="4"/>
        <v>-1.9467903327612113E-4</v>
      </c>
      <c r="N19" s="238">
        <v>1.57</v>
      </c>
      <c r="O19" s="239">
        <v>0.01</v>
      </c>
      <c r="P19" s="240">
        <f t="shared" si="5"/>
        <v>0.78500000000000003</v>
      </c>
      <c r="Q19" s="237">
        <f t="shared" si="6"/>
        <v>5.0000000000000001E-3</v>
      </c>
      <c r="R19" s="64">
        <f t="shared" si="7"/>
        <v>0.79174156332123502</v>
      </c>
      <c r="S19" s="64">
        <f t="shared" si="8"/>
        <v>-6.741563321234989E-3</v>
      </c>
      <c r="T19" s="240">
        <f t="shared" si="9"/>
        <v>-0.10513034325474745</v>
      </c>
      <c r="U19" s="240">
        <f t="shared" si="17"/>
        <v>2.7662068911035145E-3</v>
      </c>
      <c r="V19" s="12">
        <f t="shared" si="10"/>
        <v>-0.10211695427914985</v>
      </c>
      <c r="W19" s="13">
        <f t="shared" si="11"/>
        <v>-3.0133889755975946E-3</v>
      </c>
      <c r="AD19" s="253">
        <f t="shared" ref="AD19" si="30">X$70*C19+Y$70</f>
        <v>0.78405599238486545</v>
      </c>
      <c r="AE19" s="126">
        <f t="shared" ref="AE19" si="31">P19-AD19</f>
        <v>9.4400761513457887E-4</v>
      </c>
      <c r="AF19" s="126">
        <f t="shared" ref="AF19" si="32">X$86*D19+Y$86</f>
        <v>-0.10593659852242548</v>
      </c>
      <c r="AG19" s="255">
        <f t="shared" ref="AG19" si="33">J19-AF19</f>
        <v>8.2282368627679958E-4</v>
      </c>
      <c r="AT19" s="256">
        <f>AU$36*C26+AV$36</f>
        <v>1.4480241123925592</v>
      </c>
      <c r="AU19" s="126">
        <f>G26-AT19</f>
        <v>1.3057547749029119E-4</v>
      </c>
      <c r="AV19" s="276">
        <f>AU$53*D26+AV$53</f>
        <v>0.16079769015887782</v>
      </c>
      <c r="AW19" s="273">
        <f>J26-AV19</f>
        <v>1.7264312924786251E-5</v>
      </c>
    </row>
    <row r="20" spans="2:49" ht="15" thickTop="1" x14ac:dyDescent="0.3">
      <c r="B20" s="11">
        <v>0.30120000000000002</v>
      </c>
      <c r="C20" s="33">
        <f t="shared" si="12"/>
        <v>0.4259611249867763</v>
      </c>
      <c r="D20" s="33">
        <f t="shared" si="13"/>
        <v>-0.37063003463934635</v>
      </c>
      <c r="E20" s="116">
        <f t="shared" si="0"/>
        <v>1.441880750010796E-4</v>
      </c>
      <c r="F20" s="131">
        <v>0.64700000000000002</v>
      </c>
      <c r="G20" s="132">
        <f t="shared" si="14"/>
        <v>0.91499617485539264</v>
      </c>
      <c r="H20" s="33">
        <f t="shared" si="1"/>
        <v>0.91575653217539155</v>
      </c>
      <c r="I20" s="33">
        <f t="shared" si="15"/>
        <v>-7.6035731999890555E-4</v>
      </c>
      <c r="J20" s="208">
        <f t="shared" si="16"/>
        <v>-3.8580721499308947E-2</v>
      </c>
      <c r="K20" s="208">
        <f t="shared" si="2"/>
        <v>6.7124340325077543E-5</v>
      </c>
      <c r="L20" s="33">
        <f t="shared" si="3"/>
        <v>-3.8388999060955997E-2</v>
      </c>
      <c r="M20" s="81">
        <f t="shared" si="4"/>
        <v>-1.917224383529495E-4</v>
      </c>
      <c r="N20" s="74">
        <v>1.86</v>
      </c>
      <c r="O20" s="118">
        <v>0.01</v>
      </c>
      <c r="P20" s="64">
        <f t="shared" si="5"/>
        <v>0.93</v>
      </c>
      <c r="Q20" s="12">
        <f t="shared" si="6"/>
        <v>5.0000000000000001E-3</v>
      </c>
      <c r="R20" s="64">
        <f t="shared" si="7"/>
        <v>0.92346998007427539</v>
      </c>
      <c r="S20" s="64">
        <f t="shared" si="8"/>
        <v>6.5300199257246616E-3</v>
      </c>
      <c r="T20" s="64">
        <f t="shared" si="9"/>
        <v>-3.1517051446064863E-2</v>
      </c>
      <c r="U20" s="64">
        <f t="shared" si="17"/>
        <v>2.3349165693723212E-3</v>
      </c>
      <c r="V20" s="12">
        <f t="shared" si="10"/>
        <v>-3.5195312699615955E-2</v>
      </c>
      <c r="W20" s="13">
        <f t="shared" si="11"/>
        <v>3.678261253551092E-3</v>
      </c>
    </row>
    <row r="21" spans="2:49" x14ac:dyDescent="0.3">
      <c r="B21" s="11">
        <v>0.35549999999999998</v>
      </c>
      <c r="C21" s="33">
        <f t="shared" si="12"/>
        <v>0.50275292142363526</v>
      </c>
      <c r="D21" s="33">
        <f t="shared" si="13"/>
        <v>-0.29864539710222432</v>
      </c>
      <c r="E21" s="116">
        <f t="shared" si="0"/>
        <v>1.2216441122454342E-4</v>
      </c>
      <c r="F21" s="133">
        <v>0.7641</v>
      </c>
      <c r="G21" s="132">
        <f t="shared" si="14"/>
        <v>1.080600583009282</v>
      </c>
      <c r="H21" s="33">
        <f t="shared" si="1"/>
        <v>1.0811416654405268</v>
      </c>
      <c r="I21" s="33">
        <f t="shared" si="15"/>
        <v>-5.4108243124484368E-4</v>
      </c>
      <c r="J21" s="208">
        <f t="shared" si="16"/>
        <v>3.3665197515268162E-2</v>
      </c>
      <c r="K21" s="208">
        <f t="shared" si="2"/>
        <v>5.6837388025553167E-5</v>
      </c>
      <c r="L21" s="33">
        <f t="shared" si="3"/>
        <v>3.3742738698888941E-2</v>
      </c>
      <c r="M21" s="81">
        <f t="shared" si="4"/>
        <v>-7.754118362077872E-5</v>
      </c>
      <c r="N21" s="74">
        <v>2.2000000000000002</v>
      </c>
      <c r="O21" s="118">
        <v>0.01</v>
      </c>
      <c r="P21" s="64">
        <f t="shared" si="5"/>
        <v>1.1000000000000001</v>
      </c>
      <c r="Q21" s="12">
        <f t="shared" si="6"/>
        <v>5.0000000000000001E-3</v>
      </c>
      <c r="R21" s="64">
        <f t="shared" si="7"/>
        <v>1.0909841025494527</v>
      </c>
      <c r="S21" s="64">
        <f t="shared" si="8"/>
        <v>9.0158974505474276E-3</v>
      </c>
      <c r="T21" s="64">
        <f t="shared" si="9"/>
        <v>4.1392685158225077E-2</v>
      </c>
      <c r="U21" s="64">
        <f t="shared" si="17"/>
        <v>1.9740658268329624E-3</v>
      </c>
      <c r="V21" s="12">
        <f t="shared" si="10"/>
        <v>3.7360936836572711E-2</v>
      </c>
      <c r="W21" s="13">
        <f t="shared" si="11"/>
        <v>4.0317483216523661E-3</v>
      </c>
    </row>
    <row r="22" spans="2:49" x14ac:dyDescent="0.3">
      <c r="B22" s="11">
        <v>0.3866</v>
      </c>
      <c r="C22" s="33">
        <f t="shared" si="12"/>
        <v>0.54673496321343862</v>
      </c>
      <c r="D22" s="33">
        <f t="shared" si="13"/>
        <v>-0.26222315247547512</v>
      </c>
      <c r="E22" s="116">
        <f t="shared" si="0"/>
        <v>1.1233690685547121E-4</v>
      </c>
      <c r="F22" s="133">
        <v>0.83130000000000004</v>
      </c>
      <c r="G22" s="132">
        <f t="shared" si="14"/>
        <v>1.175635734400754</v>
      </c>
      <c r="H22" s="33">
        <f t="shared" si="1"/>
        <v>1.1758650106439472</v>
      </c>
      <c r="I22" s="33">
        <f t="shared" si="15"/>
        <v>-2.292762431932438E-4</v>
      </c>
      <c r="J22" s="208">
        <f t="shared" si="16"/>
        <v>7.0272778333884789E-2</v>
      </c>
      <c r="K22" s="208">
        <f t="shared" si="2"/>
        <v>5.2242810285486798E-5</v>
      </c>
      <c r="L22" s="33">
        <f t="shared" si="3"/>
        <v>7.0239411988196832E-2</v>
      </c>
      <c r="M22" s="81">
        <f t="shared" si="4"/>
        <v>3.3366345687957377E-5</v>
      </c>
      <c r="N22" s="74">
        <v>2.36</v>
      </c>
      <c r="O22" s="118">
        <v>0.01</v>
      </c>
      <c r="P22" s="64">
        <f t="shared" si="5"/>
        <v>1.18</v>
      </c>
      <c r="Q22" s="12">
        <f t="shared" si="6"/>
        <v>5.0000000000000001E-3</v>
      </c>
      <c r="R22" s="64">
        <f t="shared" si="7"/>
        <v>1.1869268135803557</v>
      </c>
      <c r="S22" s="64">
        <f t="shared" si="8"/>
        <v>-6.9268135803557396E-3</v>
      </c>
      <c r="T22" s="64">
        <f t="shared" si="9"/>
        <v>7.1882007306125359E-2</v>
      </c>
      <c r="U22" s="64">
        <f t="shared" si="17"/>
        <v>1.8402308555222533E-3</v>
      </c>
      <c r="V22" s="12">
        <f t="shared" si="10"/>
        <v>7.4072401396545251E-2</v>
      </c>
      <c r="W22" s="13">
        <f t="shared" si="11"/>
        <v>-2.1903940904198921E-3</v>
      </c>
    </row>
    <row r="23" spans="2:49" x14ac:dyDescent="0.3">
      <c r="B23" s="11">
        <v>0.40600000000000003</v>
      </c>
      <c r="C23" s="33">
        <f t="shared" si="12"/>
        <v>0.57417070632347667</v>
      </c>
      <c r="D23" s="33">
        <f t="shared" si="13"/>
        <v>-0.24095896859081523</v>
      </c>
      <c r="E23" s="116">
        <f t="shared" si="0"/>
        <v>1.0696908421262359E-4</v>
      </c>
      <c r="F23" s="133">
        <v>0.87339999999999995</v>
      </c>
      <c r="G23" s="132">
        <f t="shared" si="14"/>
        <v>1.2351741253766613</v>
      </c>
      <c r="H23" s="33">
        <f t="shared" si="1"/>
        <v>1.2349528851438298</v>
      </c>
      <c r="I23" s="33">
        <f t="shared" si="15"/>
        <v>2.2124023283143224E-4</v>
      </c>
      <c r="J23" s="208">
        <f t="shared" si="16"/>
        <v>9.1728185417311925E-2</v>
      </c>
      <c r="K23" s="208">
        <f t="shared" si="2"/>
        <v>4.9724580020981426E-5</v>
      </c>
      <c r="L23" s="33">
        <f t="shared" si="3"/>
        <v>9.1547049119166973E-2</v>
      </c>
      <c r="M23" s="81">
        <f t="shared" si="4"/>
        <v>1.8113629814495158E-4</v>
      </c>
      <c r="N23" s="74">
        <v>2.5</v>
      </c>
      <c r="O23" s="118">
        <v>0.01</v>
      </c>
      <c r="P23" s="64">
        <f t="shared" si="5"/>
        <v>1.25</v>
      </c>
      <c r="Q23" s="12">
        <f t="shared" si="6"/>
        <v>5.0000000000000001E-3</v>
      </c>
      <c r="R23" s="64">
        <f t="shared" si="7"/>
        <v>1.2467753214259991</v>
      </c>
      <c r="S23" s="64">
        <f t="shared" si="8"/>
        <v>3.2246785740008832E-3</v>
      </c>
      <c r="T23" s="64">
        <f t="shared" si="9"/>
        <v>9.691001300805642E-2</v>
      </c>
      <c r="U23" s="64">
        <f t="shared" si="17"/>
        <v>1.7371779276130071E-3</v>
      </c>
      <c r="V23" s="12">
        <f t="shared" si="10"/>
        <v>9.5505438846003071E-2</v>
      </c>
      <c r="W23" s="13">
        <f t="shared" si="11"/>
        <v>1.4045741620533486E-3</v>
      </c>
    </row>
    <row r="24" spans="2:49" x14ac:dyDescent="0.3">
      <c r="B24" s="11">
        <v>0.4209</v>
      </c>
      <c r="C24" s="33">
        <f t="shared" si="12"/>
        <v>0.59524248840283578</v>
      </c>
      <c r="D24" s="33">
        <f t="shared" si="13"/>
        <v>-0.22530607641998701</v>
      </c>
      <c r="E24" s="116">
        <f t="shared" si="0"/>
        <v>1.0318234305137842E-4</v>
      </c>
      <c r="F24" s="133">
        <v>0.90549999999999997</v>
      </c>
      <c r="G24" s="132">
        <f t="shared" si="14"/>
        <v>1.2805703807288376</v>
      </c>
      <c r="H24" s="33">
        <f t="shared" si="1"/>
        <v>1.2803348093731211</v>
      </c>
      <c r="I24" s="33">
        <f t="shared" si="15"/>
        <v>2.3557135571650178E-4</v>
      </c>
      <c r="J24" s="208">
        <f t="shared" si="16"/>
        <v>0.10740345248206781</v>
      </c>
      <c r="K24" s="208">
        <f t="shared" si="2"/>
        <v>4.7961842286388935E-5</v>
      </c>
      <c r="L24" s="33">
        <f t="shared" si="3"/>
        <v>0.10723192789162805</v>
      </c>
      <c r="M24" s="81">
        <f t="shared" si="4"/>
        <v>1.7152459043975887E-4</v>
      </c>
      <c r="N24" s="74">
        <v>2.6</v>
      </c>
      <c r="O24" s="118">
        <v>0.01</v>
      </c>
      <c r="P24" s="64">
        <f t="shared" si="5"/>
        <v>1.3</v>
      </c>
      <c r="Q24" s="12">
        <f t="shared" si="6"/>
        <v>5.0000000000000001E-3</v>
      </c>
      <c r="R24" s="64">
        <f t="shared" si="7"/>
        <v>1.2927414434311584</v>
      </c>
      <c r="S24" s="64">
        <f t="shared" si="8"/>
        <v>7.2585565688416676E-3</v>
      </c>
      <c r="T24" s="64">
        <f t="shared" si="9"/>
        <v>0.11394335230683679</v>
      </c>
      <c r="U24" s="64">
        <f t="shared" si="17"/>
        <v>1.6703633919355838E-3</v>
      </c>
      <c r="V24" s="12">
        <f t="shared" si="10"/>
        <v>0.11128262671784567</v>
      </c>
      <c r="W24" s="13">
        <f t="shared" si="11"/>
        <v>2.6607255889911224E-3</v>
      </c>
    </row>
    <row r="25" spans="2:49" x14ac:dyDescent="0.3">
      <c r="B25" s="11">
        <v>0.4511</v>
      </c>
      <c r="C25" s="33">
        <f t="shared" si="12"/>
        <v>0.63795173798650318</v>
      </c>
      <c r="D25" s="33">
        <f t="shared" si="13"/>
        <v>-0.19521217507029892</v>
      </c>
      <c r="E25" s="116">
        <f t="shared" si="0"/>
        <v>9.6274547085624436E-5</v>
      </c>
      <c r="F25" s="133">
        <v>0.97070000000000001</v>
      </c>
      <c r="G25" s="132">
        <f t="shared" si="14"/>
        <v>1.3727771049955635</v>
      </c>
      <c r="H25" s="33">
        <f t="shared" si="1"/>
        <v>1.3723169645224229</v>
      </c>
      <c r="I25" s="33">
        <f t="shared" si="15"/>
        <v>4.6014047314058004E-4</v>
      </c>
      <c r="J25" s="208">
        <f t="shared" si="16"/>
        <v>0.13760002745611261</v>
      </c>
      <c r="K25" s="208">
        <f t="shared" si="2"/>
        <v>4.4740340156923023E-5</v>
      </c>
      <c r="L25" s="33">
        <f t="shared" si="3"/>
        <v>0.13738732596815395</v>
      </c>
      <c r="M25" s="81">
        <f t="shared" si="4"/>
        <v>2.1270148795865529E-4</v>
      </c>
      <c r="N25" s="74">
        <v>2.76</v>
      </c>
      <c r="O25" s="118">
        <v>0.01</v>
      </c>
      <c r="P25" s="64">
        <f t="shared" si="5"/>
        <v>1.38</v>
      </c>
      <c r="Q25" s="12">
        <f t="shared" si="6"/>
        <v>5.0000000000000001E-3</v>
      </c>
      <c r="R25" s="64">
        <f t="shared" si="7"/>
        <v>1.3859076772939645</v>
      </c>
      <c r="S25" s="64">
        <f t="shared" si="8"/>
        <v>-5.907677293964575E-3</v>
      </c>
      <c r="T25" s="64">
        <f t="shared" si="9"/>
        <v>0.13987908640123647</v>
      </c>
      <c r="U25" s="64">
        <f t="shared" si="17"/>
        <v>1.5735307315335211E-3</v>
      </c>
      <c r="V25" s="12">
        <f t="shared" si="10"/>
        <v>0.14161549620988687</v>
      </c>
      <c r="W25" s="13">
        <f t="shared" si="11"/>
        <v>-1.736409808650391E-3</v>
      </c>
    </row>
    <row r="26" spans="2:49" ht="15" thickBot="1" x14ac:dyDescent="0.35">
      <c r="B26" s="14">
        <v>0.47570000000000001</v>
      </c>
      <c r="C26" s="34">
        <f t="shared" si="12"/>
        <v>0.67274139162088142</v>
      </c>
      <c r="D26" s="63">
        <f t="shared" si="13"/>
        <v>-0.1721518507481076</v>
      </c>
      <c r="E26" s="117">
        <f t="shared" si="0"/>
        <v>9.1295875951913325E-5</v>
      </c>
      <c r="F26" s="134">
        <v>1.024</v>
      </c>
      <c r="G26" s="135">
        <f t="shared" si="14"/>
        <v>1.4481546878700495</v>
      </c>
      <c r="H26" s="34">
        <f t="shared" si="1"/>
        <v>1.4472428260016557</v>
      </c>
      <c r="I26" s="34">
        <f t="shared" si="15"/>
        <v>9.1186186839387062E-4</v>
      </c>
      <c r="J26" s="209">
        <f t="shared" si="16"/>
        <v>0.16081495447180261</v>
      </c>
      <c r="K26" s="209">
        <f t="shared" si="2"/>
        <v>4.2411570498364422E-5</v>
      </c>
      <c r="L26" s="34">
        <f t="shared" si="3"/>
        <v>0.16049477394005607</v>
      </c>
      <c r="M26" s="82">
        <f t="shared" si="4"/>
        <v>3.2018053174653893E-4</v>
      </c>
      <c r="N26" s="75">
        <v>2.92</v>
      </c>
      <c r="O26" s="119">
        <v>0.01</v>
      </c>
      <c r="P26" s="65">
        <f t="shared" si="5"/>
        <v>1.46</v>
      </c>
      <c r="Q26" s="15">
        <f t="shared" si="6"/>
        <v>5.0000000000000001E-3</v>
      </c>
      <c r="R26" s="65">
        <f t="shared" si="7"/>
        <v>1.4617980532219454</v>
      </c>
      <c r="S26" s="65">
        <f t="shared" si="8"/>
        <v>-1.7980532219454837E-3</v>
      </c>
      <c r="T26" s="65">
        <f t="shared" si="9"/>
        <v>0.16435285578443709</v>
      </c>
      <c r="U26" s="65">
        <f t="shared" si="17"/>
        <v>1.4873098695316843E-3</v>
      </c>
      <c r="V26" s="15">
        <f t="shared" si="10"/>
        <v>0.16485893679876962</v>
      </c>
      <c r="W26" s="16">
        <f t="shared" si="11"/>
        <v>-5.0608101433252672E-4</v>
      </c>
    </row>
    <row r="27" spans="2:49" ht="15" thickTop="1" x14ac:dyDescent="0.3"/>
    <row r="34" spans="2:49" ht="15" thickBot="1" x14ac:dyDescent="0.35"/>
    <row r="35" spans="2:49" ht="16.2" thickBot="1" x14ac:dyDescent="0.35">
      <c r="B35" s="326" t="s">
        <v>61</v>
      </c>
      <c r="C35" s="327"/>
      <c r="D35" s="327"/>
      <c r="E35" s="328"/>
      <c r="W35" s="350" t="s">
        <v>61</v>
      </c>
      <c r="X35" s="351"/>
      <c r="Y35" s="351"/>
      <c r="Z35" s="352"/>
      <c r="AT35" s="362" t="s">
        <v>61</v>
      </c>
      <c r="AU35" s="363"/>
      <c r="AV35" s="363"/>
      <c r="AW35" s="364"/>
    </row>
    <row r="36" spans="2:49" x14ac:dyDescent="0.3">
      <c r="B36" s="17" t="s">
        <v>22</v>
      </c>
      <c r="C36" s="101">
        <f t="array" ref="C36:D38">LINEST(G13:G26,C13:C26,1,1)</f>
        <v>2.1536823064312736</v>
      </c>
      <c r="D36" s="53">
        <v>-1.6284059361888481E-3</v>
      </c>
      <c r="E36" s="17" t="s">
        <v>25</v>
      </c>
      <c r="W36" s="210" t="s">
        <v>22</v>
      </c>
      <c r="X36" s="101">
        <f t="array" ref="X36:Y38">LINEST(G13:G18,C13:C18,1,1)</f>
        <v>2.1461156459596449</v>
      </c>
      <c r="Y36" s="53">
        <v>-2.8781213148326712E-4</v>
      </c>
      <c r="Z36" s="210" t="s">
        <v>25</v>
      </c>
      <c r="AT36" s="260" t="s">
        <v>22</v>
      </c>
      <c r="AU36" s="101">
        <f t="array" ref="AU36:AV38">LINEST(G20:G26,C20:C26,1,1)</f>
        <v>2.1605435998515103</v>
      </c>
      <c r="AV36" s="53">
        <v>-5.4629956291345483E-3</v>
      </c>
      <c r="AW36" s="260" t="s">
        <v>25</v>
      </c>
    </row>
    <row r="37" spans="2:49" ht="15.6" x14ac:dyDescent="0.3">
      <c r="B37" s="18" t="s">
        <v>23</v>
      </c>
      <c r="C37" s="102">
        <v>8.17647462048516E-4</v>
      </c>
      <c r="D37" s="51">
        <v>3.5353022085617949E-4</v>
      </c>
      <c r="E37" s="18" t="s">
        <v>26</v>
      </c>
      <c r="W37" s="211" t="s">
        <v>23</v>
      </c>
      <c r="X37" s="102">
        <v>8.2150249532216533E-4</v>
      </c>
      <c r="Y37" s="51">
        <v>1.5257126790016391E-4</v>
      </c>
      <c r="Z37" s="211" t="s">
        <v>26</v>
      </c>
      <c r="AT37" s="261" t="s">
        <v>23</v>
      </c>
      <c r="AU37" s="102">
        <v>7.1567735718308201E-4</v>
      </c>
      <c r="AV37" s="51">
        <v>4.0814872529206859E-4</v>
      </c>
      <c r="AW37" s="261" t="s">
        <v>26</v>
      </c>
    </row>
    <row r="38" spans="2:49" ht="16.8" thickBot="1" x14ac:dyDescent="0.35">
      <c r="B38" s="19" t="s">
        <v>24</v>
      </c>
      <c r="C38" s="120">
        <v>0.99999827038516842</v>
      </c>
      <c r="D38" s="59">
        <v>6.2510621107867163E-4</v>
      </c>
      <c r="E38" s="19" t="s">
        <v>27</v>
      </c>
      <c r="W38" s="212" t="s">
        <v>24</v>
      </c>
      <c r="X38" s="121">
        <v>0.99999941390061031</v>
      </c>
      <c r="Y38" s="59">
        <v>1.5529837093883925E-4</v>
      </c>
      <c r="Z38" s="212" t="s">
        <v>27</v>
      </c>
      <c r="AT38" s="262" t="s">
        <v>24</v>
      </c>
      <c r="AU38" s="121">
        <v>0.99999945137164381</v>
      </c>
      <c r="AV38" s="59">
        <v>1.4574000804474502E-4</v>
      </c>
      <c r="AW38" s="262" t="s">
        <v>27</v>
      </c>
    </row>
    <row r="39" spans="2:49" ht="15" thickBot="1" x14ac:dyDescent="0.35"/>
    <row r="40" spans="2:49" x14ac:dyDescent="0.3">
      <c r="C40" s="154" t="s">
        <v>81</v>
      </c>
      <c r="D40" s="155">
        <f>2*D38</f>
        <v>1.2502124221573433E-3</v>
      </c>
      <c r="X40" s="213" t="s">
        <v>81</v>
      </c>
      <c r="Y40" s="221">
        <f>2*Y38</f>
        <v>3.1059674187767849E-4</v>
      </c>
      <c r="AU40" s="263" t="s">
        <v>81</v>
      </c>
      <c r="AV40" s="221">
        <f>2*AV38</f>
        <v>2.9148001608949003E-4</v>
      </c>
    </row>
    <row r="41" spans="2:49" ht="15" thickBot="1" x14ac:dyDescent="0.35">
      <c r="C41" s="156" t="s">
        <v>81</v>
      </c>
      <c r="D41" s="157">
        <f>-2*D38</f>
        <v>-1.2502124221573433E-3</v>
      </c>
      <c r="X41" s="214" t="s">
        <v>81</v>
      </c>
      <c r="Y41" s="222">
        <f>-2*Y38</f>
        <v>-3.1059674187767849E-4</v>
      </c>
      <c r="AU41" s="264" t="s">
        <v>81</v>
      </c>
      <c r="AV41" s="222">
        <f>-2*AV38</f>
        <v>-2.9148001608949003E-4</v>
      </c>
    </row>
    <row r="42" spans="2:49" ht="15" thickBot="1" x14ac:dyDescent="0.35"/>
    <row r="43" spans="2:49" ht="16.8" x14ac:dyDescent="0.35">
      <c r="C43" s="151" t="s">
        <v>98</v>
      </c>
      <c r="D43" s="141">
        <f>C36*C9/(C2*C7*C4*F5*COS(F8))</f>
        <v>1.1986316046387585E-6</v>
      </c>
      <c r="X43" s="215" t="s">
        <v>98</v>
      </c>
      <c r="Y43" s="141">
        <f>X36*C9/(C2*C7*C4*F5*COS(F8))</f>
        <v>1.1944203807475739E-6</v>
      </c>
      <c r="AU43" s="265" t="s">
        <v>98</v>
      </c>
      <c r="AV43" s="141">
        <f>AU36*C9/(C2*C7*C4*F5*COS(F8))</f>
        <v>1.2024502565901798E-6</v>
      </c>
    </row>
    <row r="44" spans="2:49" ht="16.8" x14ac:dyDescent="0.35">
      <c r="C44" s="152" t="s">
        <v>99</v>
      </c>
      <c r="D44" s="180">
        <f>SQRT((C37*C9/(C2*C7*C4*F5))^2+(C36*C9*C8/(C7^2*C2*C4*F5))^2+(C9*F6*C36/(C7*C2*C4*F5^2))^2)</f>
        <v>3.4452975398270219E-9</v>
      </c>
      <c r="X44" s="216" t="s">
        <v>99</v>
      </c>
      <c r="Y44" s="180">
        <f>SQRT((X37*C9/(C2*C7*C4*F5))^2+(X36*C9*C8/(C7^2*C2*C4*F5))^2+(C9*F6*X36/(C7*C2*C4*F5^2))^2)</f>
        <v>3.4336895326062953E-9</v>
      </c>
      <c r="AU44" s="266" t="s">
        <v>99</v>
      </c>
      <c r="AV44" s="180">
        <f>SQRT((AU37*C9/(C2*C7*C4*F5))^2+(AU36*C9*C8/(C7^2*C2*C4*F5))^2+(C9*F6*AU36/(C7*C2*C4*F5^2))^2)</f>
        <v>3.4490689126433523E-9</v>
      </c>
    </row>
    <row r="45" spans="2:49" ht="15.6" x14ac:dyDescent="0.35">
      <c r="C45" s="152" t="s">
        <v>47</v>
      </c>
      <c r="D45" s="283">
        <f>D44/D43*100</f>
        <v>0.28743589994570179</v>
      </c>
      <c r="X45" s="216" t="s">
        <v>47</v>
      </c>
      <c r="Y45" s="283">
        <f>Y44/Y43*100</f>
        <v>0.28747747342164315</v>
      </c>
      <c r="AU45" s="266" t="s">
        <v>47</v>
      </c>
      <c r="AV45" s="283">
        <f>AV44/AV43*100</f>
        <v>0.28683672307775693</v>
      </c>
    </row>
    <row r="46" spans="2:49" ht="16.2" thickBot="1" x14ac:dyDescent="0.4">
      <c r="C46" s="153" t="s">
        <v>48</v>
      </c>
      <c r="D46" s="186">
        <f>ABS(D43-Comparar!C3)/Comparar!C3*100</f>
        <v>4.6159275877856016</v>
      </c>
      <c r="X46" s="217" t="s">
        <v>48</v>
      </c>
      <c r="Y46" s="186">
        <f>ABS(Y43-Comparar!C3)/Comparar!C3*100</f>
        <v>4.9510461371599588</v>
      </c>
      <c r="AU46" s="267" t="s">
        <v>48</v>
      </c>
      <c r="AV46" s="186">
        <f>ABS(AV43-Comparar!C3)/Comparar!C3*100</f>
        <v>4.3120489207774915</v>
      </c>
    </row>
    <row r="51" spans="2:49" ht="15" thickBot="1" x14ac:dyDescent="0.35"/>
    <row r="52" spans="2:49" ht="16.2" thickBot="1" x14ac:dyDescent="0.35">
      <c r="B52" s="326" t="s">
        <v>62</v>
      </c>
      <c r="C52" s="327"/>
      <c r="D52" s="327"/>
      <c r="E52" s="328"/>
      <c r="W52" s="350" t="s">
        <v>62</v>
      </c>
      <c r="X52" s="351"/>
      <c r="Y52" s="351"/>
      <c r="Z52" s="352"/>
      <c r="AT52" s="362" t="s">
        <v>62</v>
      </c>
      <c r="AU52" s="363"/>
      <c r="AV52" s="363"/>
      <c r="AW52" s="364"/>
    </row>
    <row r="53" spans="2:49" x14ac:dyDescent="0.3">
      <c r="B53" s="17" t="s">
        <v>22</v>
      </c>
      <c r="C53" s="101">
        <f t="array" ref="C53:D55">LINEST(J13:J26,D13:D26,1,1)</f>
        <v>1.0020434946643584</v>
      </c>
      <c r="D53" s="53">
        <v>0.33299841607662684</v>
      </c>
      <c r="E53" s="17" t="s">
        <v>25</v>
      </c>
      <c r="W53" s="210" t="s">
        <v>22</v>
      </c>
      <c r="X53" s="101">
        <f t="array" ref="X53:Y55">LINEST(J13:J18,D13:D18,1,1)</f>
        <v>1.0005360364324321</v>
      </c>
      <c r="Y53" s="53">
        <v>0.3316891507268494</v>
      </c>
      <c r="Z53" s="210" t="s">
        <v>25</v>
      </c>
      <c r="AT53" s="260" t="s">
        <v>22</v>
      </c>
      <c r="AU53" s="101">
        <f t="array" ref="AU53:AV55">LINEST(J20:J26,D20:D26,1,1)</f>
        <v>1.0046695625101778</v>
      </c>
      <c r="AV53" s="53">
        <v>0.33375341473529652</v>
      </c>
      <c r="AW53" s="260" t="s">
        <v>25</v>
      </c>
    </row>
    <row r="54" spans="2:49" ht="15.6" x14ac:dyDescent="0.3">
      <c r="B54" s="18" t="s">
        <v>23</v>
      </c>
      <c r="C54" s="102">
        <v>2.5479823051574845E-4</v>
      </c>
      <c r="D54" s="51">
        <v>1.5106634803127713E-4</v>
      </c>
      <c r="E54" s="18" t="s">
        <v>26</v>
      </c>
      <c r="W54" s="211" t="s">
        <v>23</v>
      </c>
      <c r="X54" s="102">
        <v>3.8733022899811476E-4</v>
      </c>
      <c r="Y54" s="51">
        <v>3.263059315857862E-4</v>
      </c>
      <c r="Z54" s="211" t="s">
        <v>26</v>
      </c>
      <c r="AT54" s="261" t="s">
        <v>23</v>
      </c>
      <c r="AU54" s="102">
        <v>2.5693977065969066E-4</v>
      </c>
      <c r="AV54" s="51">
        <v>6.6711437441357706E-5</v>
      </c>
      <c r="AW54" s="261" t="s">
        <v>26</v>
      </c>
    </row>
    <row r="55" spans="2:49" ht="16.8" thickBot="1" x14ac:dyDescent="0.35">
      <c r="B55" s="19" t="s">
        <v>24</v>
      </c>
      <c r="C55" s="121">
        <v>0.99999922410924247</v>
      </c>
      <c r="D55" s="59">
        <v>2.9149807046500466E-4</v>
      </c>
      <c r="E55" s="19" t="s">
        <v>27</v>
      </c>
      <c r="W55" s="212" t="s">
        <v>24</v>
      </c>
      <c r="X55" s="121">
        <v>0.99999940054436698</v>
      </c>
      <c r="Y55" s="59">
        <v>1.9029860587376786E-4</v>
      </c>
      <c r="Z55" s="212" t="s">
        <v>27</v>
      </c>
      <c r="AT55" s="262" t="s">
        <v>24</v>
      </c>
      <c r="AU55" s="121">
        <v>0.9999996729711732</v>
      </c>
      <c r="AV55" s="268">
        <v>4.2053641846176284E-5</v>
      </c>
      <c r="AW55" s="262" t="s">
        <v>27</v>
      </c>
    </row>
    <row r="56" spans="2:49" ht="15" thickBot="1" x14ac:dyDescent="0.35"/>
    <row r="57" spans="2:49" x14ac:dyDescent="0.3">
      <c r="C57" s="154" t="s">
        <v>81</v>
      </c>
      <c r="D57" s="155">
        <f>2*D55</f>
        <v>5.8299614093000932E-4</v>
      </c>
      <c r="X57" s="213" t="s">
        <v>81</v>
      </c>
      <c r="Y57" s="221">
        <f>2*Y55</f>
        <v>3.8059721174753573E-4</v>
      </c>
      <c r="AU57" s="263" t="s">
        <v>81</v>
      </c>
      <c r="AV57" s="269">
        <f>2*AV55</f>
        <v>8.4107283692352568E-5</v>
      </c>
    </row>
    <row r="58" spans="2:49" ht="15" thickBot="1" x14ac:dyDescent="0.35">
      <c r="C58" s="156" t="s">
        <v>81</v>
      </c>
      <c r="D58" s="157">
        <f>-2*D55</f>
        <v>-5.8299614093000932E-4</v>
      </c>
      <c r="X58" s="214" t="s">
        <v>81</v>
      </c>
      <c r="Y58" s="222">
        <f>-2*Y55</f>
        <v>-3.8059721174753573E-4</v>
      </c>
      <c r="AU58" s="264" t="s">
        <v>81</v>
      </c>
      <c r="AV58" s="274">
        <f>-2*AV55</f>
        <v>-8.4107283692352568E-5</v>
      </c>
    </row>
    <row r="59" spans="2:49" ht="15" thickBot="1" x14ac:dyDescent="0.35"/>
    <row r="60" spans="2:49" ht="16.2" thickBot="1" x14ac:dyDescent="0.4">
      <c r="C60" s="291" t="s">
        <v>100</v>
      </c>
      <c r="D60" s="187">
        <f>ABS(C53-1)*100</f>
        <v>0.20434946643583807</v>
      </c>
      <c r="X60" s="319" t="s">
        <v>100</v>
      </c>
      <c r="Y60" s="317">
        <f>ABS(X53-1)*100</f>
        <v>5.3603643243205212E-2</v>
      </c>
      <c r="AU60" s="321" t="s">
        <v>100</v>
      </c>
      <c r="AV60" s="187">
        <f>ABS(AU53-1)*100</f>
        <v>0.46695625101778049</v>
      </c>
    </row>
    <row r="68" spans="2:26" ht="15" thickBot="1" x14ac:dyDescent="0.35"/>
    <row r="69" spans="2:26" ht="16.2" thickBot="1" x14ac:dyDescent="0.35">
      <c r="B69" s="338" t="s">
        <v>63</v>
      </c>
      <c r="C69" s="339"/>
      <c r="D69" s="339"/>
      <c r="E69" s="340"/>
      <c r="W69" s="341" t="s">
        <v>63</v>
      </c>
      <c r="X69" s="342"/>
      <c r="Y69" s="342"/>
      <c r="Z69" s="343"/>
    </row>
    <row r="70" spans="2:26" x14ac:dyDescent="0.3">
      <c r="B70" s="91" t="s">
        <v>22</v>
      </c>
      <c r="C70" s="50">
        <f t="array" ref="C70:D72">LINEST(P13:P26,C13:C26,1,1)</f>
        <v>2.1814064815232395</v>
      </c>
      <c r="D70" s="58">
        <v>-5.724378848809164E-3</v>
      </c>
      <c r="E70" s="91" t="s">
        <v>25</v>
      </c>
      <c r="W70" s="242" t="s">
        <v>22</v>
      </c>
      <c r="X70" s="50">
        <f t="array" ref="X70:Y72">LINEST(P13:P19,C13:C19,1,1)</f>
        <v>2.1454685500999449</v>
      </c>
      <c r="Y70" s="58">
        <v>-2.7196904437354341E-4</v>
      </c>
      <c r="Z70" s="242" t="s">
        <v>25</v>
      </c>
    </row>
    <row r="71" spans="2:26" ht="15.6" x14ac:dyDescent="0.3">
      <c r="B71" s="92" t="s">
        <v>23</v>
      </c>
      <c r="C71" s="49">
        <v>7.4218163931385438E-3</v>
      </c>
      <c r="D71" s="52">
        <v>3.2090069503139906E-3</v>
      </c>
      <c r="E71" s="92" t="s">
        <v>26</v>
      </c>
      <c r="W71" s="243" t="s">
        <v>23</v>
      </c>
      <c r="X71" s="49">
        <v>4.0684435947368298E-3</v>
      </c>
      <c r="Y71" s="52">
        <v>8.9743336772334353E-4</v>
      </c>
      <c r="Z71" s="243" t="s">
        <v>26</v>
      </c>
    </row>
    <row r="72" spans="2:26" ht="16.8" thickBot="1" x14ac:dyDescent="0.35">
      <c r="B72" s="93" t="s">
        <v>24</v>
      </c>
      <c r="C72" s="47">
        <v>0.99986111090849716</v>
      </c>
      <c r="D72" s="60">
        <v>5.6741123041131897E-3</v>
      </c>
      <c r="E72" s="93" t="s">
        <v>27</v>
      </c>
      <c r="W72" s="244" t="s">
        <v>24</v>
      </c>
      <c r="X72" s="47">
        <v>0.9999820206292066</v>
      </c>
      <c r="Y72" s="60">
        <v>1.0677814268821113E-3</v>
      </c>
      <c r="Z72" s="244" t="s">
        <v>27</v>
      </c>
    </row>
    <row r="73" spans="2:26" ht="15" thickBot="1" x14ac:dyDescent="0.35"/>
    <row r="74" spans="2:26" x14ac:dyDescent="0.3">
      <c r="C74" s="158" t="s">
        <v>81</v>
      </c>
      <c r="D74" s="178">
        <f>2*D72</f>
        <v>1.1348224608226379E-2</v>
      </c>
      <c r="X74" s="245" t="s">
        <v>81</v>
      </c>
      <c r="Y74" s="155">
        <f>2*Y72</f>
        <v>2.1355628537642227E-3</v>
      </c>
    </row>
    <row r="75" spans="2:26" ht="15" thickBot="1" x14ac:dyDescent="0.35">
      <c r="C75" s="159" t="s">
        <v>81</v>
      </c>
      <c r="D75" s="179">
        <f>-2*D72</f>
        <v>-1.1348224608226379E-2</v>
      </c>
      <c r="X75" s="246" t="s">
        <v>81</v>
      </c>
      <c r="Y75" s="157">
        <f>-2*Y72</f>
        <v>-2.1355628537642227E-3</v>
      </c>
    </row>
    <row r="76" spans="2:26" ht="15" thickBot="1" x14ac:dyDescent="0.35"/>
    <row r="77" spans="2:26" ht="16.8" x14ac:dyDescent="0.35">
      <c r="C77" s="160" t="s">
        <v>98</v>
      </c>
      <c r="D77" s="141">
        <f>C70*C9/(C2*C7*C4*F5*COS(F8))</f>
        <v>1.2140614906430846E-6</v>
      </c>
      <c r="X77" s="247" t="s">
        <v>98</v>
      </c>
      <c r="Y77" s="141">
        <f>X70*C9/(C2*C7*C4*F5*COS(F8))</f>
        <v>1.1940602396318895E-6</v>
      </c>
    </row>
    <row r="78" spans="2:26" ht="16.8" x14ac:dyDescent="0.35">
      <c r="C78" s="161" t="s">
        <v>99</v>
      </c>
      <c r="D78" s="180">
        <f>SQRT((C71*C9/(C2*C7*C4*F5))^2+(C70*C9*C8/(C7^2*C2*C4*F5))^2+(C9*F6*C70/(C7*C2*C4*F5^2))^2)</f>
        <v>5.3876847567157648E-9</v>
      </c>
      <c r="X78" s="248" t="s">
        <v>99</v>
      </c>
      <c r="Y78" s="180">
        <f>SQRT((X71*C9/(C2*C7*C4*F5))^2+(X70*C9*C8/(C7^2*C2*C4*F5))^2+(C9*F6*X70/(C7*C2*C4*F5^2))^2)</f>
        <v>4.0867125827221564E-9</v>
      </c>
    </row>
    <row r="79" spans="2:26" ht="15.6" x14ac:dyDescent="0.35">
      <c r="C79" s="161" t="s">
        <v>47</v>
      </c>
      <c r="D79" s="283">
        <f>D78/D77*100</f>
        <v>0.44377363076246862</v>
      </c>
      <c r="X79" s="248" t="s">
        <v>47</v>
      </c>
      <c r="Y79" s="283">
        <f>Y78/Y77*100</f>
        <v>0.34225346821547525</v>
      </c>
    </row>
    <row r="80" spans="2:26" ht="16.2" thickBot="1" x14ac:dyDescent="0.4">
      <c r="C80" s="162" t="s">
        <v>48</v>
      </c>
      <c r="D80" s="186">
        <f>ABS(D77-Comparar!C3)/Comparar!C3*100</f>
        <v>3.3880562733191253</v>
      </c>
      <c r="X80" s="249" t="s">
        <v>48</v>
      </c>
      <c r="Y80" s="186">
        <f>ABS(Y77-Comparar!C3)/Comparar!C3*100</f>
        <v>4.9797052565458548</v>
      </c>
    </row>
    <row r="84" spans="2:26" ht="15" thickBot="1" x14ac:dyDescent="0.35"/>
    <row r="85" spans="2:26" ht="16.2" thickBot="1" x14ac:dyDescent="0.35">
      <c r="B85" s="338" t="s">
        <v>64</v>
      </c>
      <c r="C85" s="339"/>
      <c r="D85" s="339"/>
      <c r="E85" s="340"/>
      <c r="W85" s="341" t="s">
        <v>64</v>
      </c>
      <c r="X85" s="342"/>
      <c r="Y85" s="342"/>
      <c r="Z85" s="343"/>
    </row>
    <row r="86" spans="2:26" x14ac:dyDescent="0.3">
      <c r="B86" s="91" t="s">
        <v>22</v>
      </c>
      <c r="C86" s="50">
        <f t="array" ref="C86:D88">LINEST(T13:T26,D13:D26,1,1)</f>
        <v>1.0079407498408512</v>
      </c>
      <c r="D86" s="58">
        <v>0.3383778023283075</v>
      </c>
      <c r="E86" s="91" t="s">
        <v>25</v>
      </c>
      <c r="W86" s="242" t="s">
        <v>22</v>
      </c>
      <c r="X86" s="50">
        <f t="array" ref="X86:Y88">LINEST(T13:T19,D13:D19,1,1)</f>
        <v>0.99946088821384826</v>
      </c>
      <c r="Y86" s="58">
        <v>0.33085225118123679</v>
      </c>
      <c r="Z86" s="242" t="s">
        <v>25</v>
      </c>
    </row>
    <row r="87" spans="2:26" ht="15.6" x14ac:dyDescent="0.3">
      <c r="B87" s="92" t="s">
        <v>23</v>
      </c>
      <c r="C87" s="49">
        <v>2.3643760424285967E-3</v>
      </c>
      <c r="D87" s="52">
        <v>1.401805865681849E-3</v>
      </c>
      <c r="E87" s="92" t="s">
        <v>26</v>
      </c>
      <c r="W87" s="243" t="s">
        <v>23</v>
      </c>
      <c r="X87" s="49">
        <v>1.9388787021178326E-3</v>
      </c>
      <c r="Y87" s="52">
        <v>1.5457812062641208E-3</v>
      </c>
      <c r="Z87" s="243" t="s">
        <v>26</v>
      </c>
    </row>
    <row r="88" spans="2:26" ht="16.8" thickBot="1" x14ac:dyDescent="0.35">
      <c r="B88" s="93" t="s">
        <v>24</v>
      </c>
      <c r="C88" s="47">
        <v>0.99993397389724736</v>
      </c>
      <c r="D88" s="60">
        <v>2.7049287305746087E-3</v>
      </c>
      <c r="E88" s="93" t="s">
        <v>27</v>
      </c>
      <c r="W88" s="244" t="s">
        <v>24</v>
      </c>
      <c r="X88" s="47">
        <v>0.99998118381798395</v>
      </c>
      <c r="Y88" s="60">
        <v>1.1728816418199001E-3</v>
      </c>
      <c r="Z88" s="244" t="s">
        <v>27</v>
      </c>
    </row>
    <row r="89" spans="2:26" ht="15" thickBot="1" x14ac:dyDescent="0.35"/>
    <row r="90" spans="2:26" x14ac:dyDescent="0.3">
      <c r="C90" s="158" t="s">
        <v>81</v>
      </c>
      <c r="D90" s="155">
        <f>2*D88</f>
        <v>5.4098574611492175E-3</v>
      </c>
      <c r="X90" s="245" t="s">
        <v>81</v>
      </c>
      <c r="Y90" s="155">
        <f>2*Y88</f>
        <v>2.3457632836398003E-3</v>
      </c>
    </row>
    <row r="91" spans="2:26" ht="15" thickBot="1" x14ac:dyDescent="0.35">
      <c r="C91" s="159" t="s">
        <v>81</v>
      </c>
      <c r="D91" s="157">
        <f>-2*D88</f>
        <v>-5.4098574611492175E-3</v>
      </c>
      <c r="X91" s="246" t="s">
        <v>81</v>
      </c>
      <c r="Y91" s="157">
        <f>-2*Y88</f>
        <v>-2.3457632836398003E-3</v>
      </c>
    </row>
    <row r="92" spans="2:26" ht="15" thickBot="1" x14ac:dyDescent="0.35"/>
    <row r="93" spans="2:26" ht="16.2" thickBot="1" x14ac:dyDescent="0.4">
      <c r="C93" s="292" t="s">
        <v>100</v>
      </c>
      <c r="D93" s="187">
        <f>ABS(C86-1)*100</f>
        <v>0.79407498408512467</v>
      </c>
      <c r="X93" s="320" t="s">
        <v>100</v>
      </c>
      <c r="Y93" s="317">
        <f>ABS(X86-1)*100</f>
        <v>5.3911178615173583E-2</v>
      </c>
    </row>
  </sheetData>
  <mergeCells count="15">
    <mergeCell ref="AD11:AG11"/>
    <mergeCell ref="N11:W11"/>
    <mergeCell ref="AT11:AW11"/>
    <mergeCell ref="AT35:AW35"/>
    <mergeCell ref="AT52:AW52"/>
    <mergeCell ref="W69:Z69"/>
    <mergeCell ref="W85:Z85"/>
    <mergeCell ref="B69:E69"/>
    <mergeCell ref="B85:E85"/>
    <mergeCell ref="F11:M11"/>
    <mergeCell ref="B35:E35"/>
    <mergeCell ref="B52:E52"/>
    <mergeCell ref="Y11:AB11"/>
    <mergeCell ref="W35:Z35"/>
    <mergeCell ref="W52:Z5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5D37C-B4CC-411A-B0E3-756C1C08195D}">
  <sheetPr>
    <tabColor rgb="FFFFFF00"/>
  </sheetPr>
  <dimension ref="B2:T79"/>
  <sheetViews>
    <sheetView topLeftCell="A17" zoomScale="49" zoomScaleNormal="51" workbookViewId="0">
      <selection activeCell="C4" sqref="C4"/>
    </sheetView>
  </sheetViews>
  <sheetFormatPr defaultRowHeight="14.4" x14ac:dyDescent="0.3"/>
  <cols>
    <col min="1" max="1" width="8.88671875" style="139"/>
    <col min="2" max="2" width="8.77734375" style="139" customWidth="1"/>
    <col min="3" max="4" width="11.109375" style="139" customWidth="1"/>
    <col min="5" max="5" width="8.77734375" style="139" customWidth="1"/>
    <col min="6" max="6" width="9.21875" style="139" bestFit="1" customWidth="1"/>
    <col min="7" max="7" width="10.44140625" style="139" bestFit="1" customWidth="1"/>
    <col min="8" max="8" width="12" style="139" bestFit="1" customWidth="1"/>
    <col min="9" max="9" width="12.109375" style="139" customWidth="1"/>
    <col min="10" max="10" width="12.21875" style="139" bestFit="1" customWidth="1"/>
    <col min="11" max="11" width="11.21875" style="139" bestFit="1" customWidth="1"/>
    <col min="12" max="12" width="11" style="139" customWidth="1"/>
    <col min="13" max="13" width="11.33203125" style="139" bestFit="1" customWidth="1"/>
    <col min="14" max="15" width="10.33203125" style="139" bestFit="1" customWidth="1"/>
    <col min="16" max="16" width="9.21875" style="139" bestFit="1" customWidth="1"/>
    <col min="17" max="17" width="10.6640625" style="139" bestFit="1" customWidth="1"/>
    <col min="18" max="18" width="12.21875" style="139" bestFit="1" customWidth="1"/>
    <col min="19" max="19" width="13" style="139" bestFit="1" customWidth="1"/>
    <col min="20" max="20" width="11" style="139" customWidth="1"/>
    <col min="21" max="21" width="11.109375" style="139" bestFit="1" customWidth="1"/>
    <col min="22" max="22" width="9" style="139" bestFit="1" customWidth="1"/>
    <col min="23" max="16384" width="8.88671875" style="139"/>
  </cols>
  <sheetData>
    <row r="2" spans="2:20" ht="15" thickBot="1" x14ac:dyDescent="0.35">
      <c r="B2" s="138" t="s">
        <v>49</v>
      </c>
    </row>
    <row r="3" spans="2:20" ht="15.6" x14ac:dyDescent="0.35">
      <c r="B3" s="140" t="s">
        <v>101</v>
      </c>
      <c r="C3" s="141">
        <v>4.1000000000000002E-2</v>
      </c>
      <c r="E3" s="140" t="s">
        <v>0</v>
      </c>
      <c r="F3" s="142">
        <v>1500</v>
      </c>
      <c r="H3" s="140" t="s">
        <v>39</v>
      </c>
      <c r="I3" s="142">
        <v>1E-4</v>
      </c>
      <c r="K3" s="140" t="s">
        <v>33</v>
      </c>
      <c r="L3" s="142">
        <v>1E-4</v>
      </c>
    </row>
    <row r="4" spans="2:20" ht="17.399999999999999" thickBot="1" x14ac:dyDescent="0.4">
      <c r="B4" s="143" t="s">
        <v>42</v>
      </c>
      <c r="C4" s="165">
        <f>PI()*C3^2/4</f>
        <v>1.3202543126711107E-3</v>
      </c>
      <c r="E4" s="143" t="s">
        <v>3</v>
      </c>
      <c r="F4" s="144">
        <v>1</v>
      </c>
      <c r="H4" s="143" t="s">
        <v>41</v>
      </c>
      <c r="I4" s="145">
        <f>SQRT(2)*I3</f>
        <v>1.4142135623730951E-4</v>
      </c>
      <c r="K4" s="143" t="s">
        <v>34</v>
      </c>
      <c r="L4" s="145">
        <f>SQRT(2)*L3</f>
        <v>1.4142135623730951E-4</v>
      </c>
    </row>
    <row r="5" spans="2:20" ht="15" thickBot="1" x14ac:dyDescent="0.35"/>
    <row r="6" spans="2:20" ht="16.2" thickBot="1" x14ac:dyDescent="0.4">
      <c r="B6" s="138" t="s">
        <v>10</v>
      </c>
      <c r="E6" s="140" t="s">
        <v>1</v>
      </c>
      <c r="F6" s="184">
        <f>2*PI()*F3</f>
        <v>9424.7779607693792</v>
      </c>
      <c r="H6" s="140" t="s">
        <v>40</v>
      </c>
      <c r="I6" s="142">
        <v>0.01</v>
      </c>
      <c r="K6" s="189" t="s">
        <v>21</v>
      </c>
      <c r="L6" s="146">
        <v>0.47089999999999999</v>
      </c>
    </row>
    <row r="7" spans="2:20" ht="16.2" thickBot="1" x14ac:dyDescent="0.4">
      <c r="B7" s="140" t="s">
        <v>11</v>
      </c>
      <c r="C7" s="171">
        <v>361</v>
      </c>
      <c r="E7" s="143" t="s">
        <v>2</v>
      </c>
      <c r="F7" s="185">
        <f>2*PI()*F4</f>
        <v>6.2831853071795862</v>
      </c>
      <c r="H7" s="143" t="s">
        <v>37</v>
      </c>
      <c r="I7" s="144">
        <f>I6/2</f>
        <v>5.0000000000000001E-3</v>
      </c>
      <c r="K7" s="147" t="s">
        <v>4</v>
      </c>
      <c r="L7" s="148">
        <f>SQRT(2)*L6</f>
        <v>0.6659531665214905</v>
      </c>
    </row>
    <row r="8" spans="2:20" ht="15" thickBot="1" x14ac:dyDescent="0.35">
      <c r="B8" s="172" t="s">
        <v>82</v>
      </c>
      <c r="C8" s="173">
        <v>1</v>
      </c>
    </row>
    <row r="9" spans="2:20" ht="15" thickBot="1" x14ac:dyDescent="0.35">
      <c r="B9" s="143" t="s">
        <v>97</v>
      </c>
      <c r="C9" s="186">
        <v>0.75</v>
      </c>
      <c r="E9" s="149" t="s">
        <v>56</v>
      </c>
      <c r="F9" s="150">
        <v>0</v>
      </c>
    </row>
    <row r="10" spans="2:20" ht="15" thickBot="1" x14ac:dyDescent="0.35"/>
    <row r="11" spans="2:20" ht="15.6" thickTop="1" thickBot="1" x14ac:dyDescent="0.35">
      <c r="D11" s="1"/>
      <c r="E11" s="344" t="s">
        <v>13</v>
      </c>
      <c r="F11" s="345"/>
      <c r="G11" s="345"/>
      <c r="H11" s="345"/>
      <c r="I11" s="345"/>
      <c r="J11" s="345"/>
      <c r="K11" s="345"/>
      <c r="L11" s="346"/>
      <c r="M11" s="332" t="s">
        <v>12</v>
      </c>
      <c r="N11" s="333"/>
      <c r="O11" s="333"/>
      <c r="P11" s="333"/>
      <c r="Q11" s="333"/>
      <c r="R11" s="333"/>
      <c r="S11" s="333"/>
      <c r="T11" s="334"/>
    </row>
    <row r="12" spans="2:20" ht="16.8" thickTop="1" thickBot="1" x14ac:dyDescent="0.35">
      <c r="B12" s="26" t="s">
        <v>50</v>
      </c>
      <c r="C12" s="27" t="s">
        <v>6</v>
      </c>
      <c r="D12" s="27" t="s">
        <v>52</v>
      </c>
      <c r="E12" s="5" t="s">
        <v>16</v>
      </c>
      <c r="F12" s="6" t="s">
        <v>15</v>
      </c>
      <c r="G12" s="6" t="s">
        <v>19</v>
      </c>
      <c r="H12" s="6" t="s">
        <v>17</v>
      </c>
      <c r="I12" s="6" t="s">
        <v>18</v>
      </c>
      <c r="J12" s="6" t="s">
        <v>36</v>
      </c>
      <c r="K12" s="6" t="s">
        <v>20</v>
      </c>
      <c r="L12" s="7" t="s">
        <v>17</v>
      </c>
      <c r="M12" s="88" t="s">
        <v>77</v>
      </c>
      <c r="N12" s="89" t="s">
        <v>15</v>
      </c>
      <c r="O12" s="89" t="s">
        <v>19</v>
      </c>
      <c r="P12" s="89" t="s">
        <v>17</v>
      </c>
      <c r="Q12" s="89" t="s">
        <v>18</v>
      </c>
      <c r="R12" s="89" t="s">
        <v>36</v>
      </c>
      <c r="S12" s="89" t="s">
        <v>20</v>
      </c>
      <c r="T12" s="90" t="s">
        <v>17</v>
      </c>
    </row>
    <row r="13" spans="2:20" x14ac:dyDescent="0.3">
      <c r="B13" s="24">
        <v>1</v>
      </c>
      <c r="C13" s="25">
        <v>300</v>
      </c>
      <c r="D13" s="137">
        <f>LOG(C13)</f>
        <v>2.4771212547196626</v>
      </c>
      <c r="E13" s="8">
        <v>1.0172000000000001</v>
      </c>
      <c r="F13" s="70">
        <f>E13*SQRT(2)</f>
        <v>1.4385380356459125</v>
      </c>
      <c r="G13" s="70">
        <f>C$22*C13+D$22</f>
        <v>1.4335317196351116</v>
      </c>
      <c r="H13" s="70">
        <f>F13-G13</f>
        <v>5.0063160108009264E-3</v>
      </c>
      <c r="I13" s="191">
        <f>LOG10(F13)</f>
        <v>0.15792134933566196</v>
      </c>
      <c r="J13" s="66">
        <f>I$4/(LN(10)*F13)</f>
        <v>4.2695092597645667E-5</v>
      </c>
      <c r="K13" s="70">
        <f>C$39*D13+D$39</f>
        <v>0.15689422882242043</v>
      </c>
      <c r="L13" s="85">
        <f t="shared" ref="L13:L17" si="0">I13-K13</f>
        <v>1.0271205132415251E-3</v>
      </c>
      <c r="M13" s="100">
        <v>2.92</v>
      </c>
      <c r="N13" s="70">
        <f>M13/2</f>
        <v>1.46</v>
      </c>
      <c r="O13" s="70">
        <f>C$56*C13+D$56</f>
        <v>1.456</v>
      </c>
      <c r="P13" s="70">
        <f>N13-O13</f>
        <v>4.0000000000000036E-3</v>
      </c>
      <c r="Q13" s="70">
        <f>LOG(N13)</f>
        <v>0.16435285578443709</v>
      </c>
      <c r="R13" s="70">
        <f>I$7/(LN(10)*N13)</f>
        <v>1.4873098695316843E-3</v>
      </c>
      <c r="S13" s="70">
        <f>C$72*D13+D$72</f>
        <v>0.16420761831420716</v>
      </c>
      <c r="T13" s="85">
        <f t="shared" ref="T13:T17" si="1">Q13-S13</f>
        <v>1.4523747022993083E-4</v>
      </c>
    </row>
    <row r="14" spans="2:20" x14ac:dyDescent="0.3">
      <c r="B14" s="11">
        <v>4</v>
      </c>
      <c r="C14" s="12">
        <v>200</v>
      </c>
      <c r="D14" s="36">
        <f t="shared" ref="D14:D17" si="2">LOG(C14)</f>
        <v>2.3010299956639813</v>
      </c>
      <c r="E14" s="11">
        <v>0.68079999999999996</v>
      </c>
      <c r="F14" s="64">
        <f t="shared" ref="F14:F17" si="3">E14*SQRT(2)</f>
        <v>0.96279659326360312</v>
      </c>
      <c r="G14" s="64">
        <f>C$22*C14+D$22</f>
        <v>0.95934591217141296</v>
      </c>
      <c r="H14" s="64">
        <f t="shared" ref="H14:H17" si="4">F14-G14</f>
        <v>3.4506810921901554E-3</v>
      </c>
      <c r="I14" s="99">
        <f t="shared" ref="I14:I17" si="5">LOG10(F14)</f>
        <v>-1.6465455091477937E-2</v>
      </c>
      <c r="J14" s="83">
        <f>I$4/(LN(10)*F14)</f>
        <v>6.3791786413521122E-5</v>
      </c>
      <c r="K14" s="64">
        <f>C$39*D14+D$39</f>
        <v>-1.7684780127086963E-2</v>
      </c>
      <c r="L14" s="86">
        <f t="shared" si="0"/>
        <v>1.2193250356090264E-3</v>
      </c>
      <c r="M14" s="74">
        <v>1.96</v>
      </c>
      <c r="N14" s="64">
        <f t="shared" ref="N14:N17" si="6">M14/2</f>
        <v>0.98</v>
      </c>
      <c r="O14" s="64">
        <f>C$56*C14+D$56</f>
        <v>0.9780000000000002</v>
      </c>
      <c r="P14" s="64">
        <f t="shared" ref="P14:P17" si="7">N14-O14</f>
        <v>1.9999999999997797E-3</v>
      </c>
      <c r="Q14" s="64">
        <f t="shared" ref="Q14:Q17" si="8">LOG(N14)</f>
        <v>-8.7739243075051505E-3</v>
      </c>
      <c r="R14" s="64">
        <f>I$7/(LN(10)*N14)</f>
        <v>2.2157881729757745E-3</v>
      </c>
      <c r="S14" s="64">
        <f>C$72*D14+D$72</f>
        <v>-7.8308461272866836E-3</v>
      </c>
      <c r="T14" s="86">
        <f t="shared" si="1"/>
        <v>-9.4307818021846686E-4</v>
      </c>
    </row>
    <row r="15" spans="2:20" x14ac:dyDescent="0.3">
      <c r="B15" s="11">
        <v>5</v>
      </c>
      <c r="C15" s="12">
        <v>100</v>
      </c>
      <c r="D15" s="36">
        <f t="shared" si="2"/>
        <v>2</v>
      </c>
      <c r="E15" s="11">
        <v>0.34089999999999998</v>
      </c>
      <c r="F15" s="64">
        <f t="shared" si="3"/>
        <v>0.48210540341298813</v>
      </c>
      <c r="G15" s="64">
        <f>C$22*C15+D$22</f>
        <v>0.4851601047077142</v>
      </c>
      <c r="H15" s="64">
        <f t="shared" si="4"/>
        <v>-3.0547012947260699E-3</v>
      </c>
      <c r="I15" s="98">
        <f t="shared" si="5"/>
        <v>-0.3168580009391182</v>
      </c>
      <c r="J15" s="83">
        <f>I$4/(LN(10)*F15)</f>
        <v>1.273964452634942E-4</v>
      </c>
      <c r="K15" s="64">
        <f>C$39*D15+D$39</f>
        <v>-0.31612956715921592</v>
      </c>
      <c r="L15" s="86">
        <f t="shared" si="0"/>
        <v>-7.284337799022822E-4</v>
      </c>
      <c r="M15" s="74">
        <v>1</v>
      </c>
      <c r="N15" s="64">
        <f t="shared" si="6"/>
        <v>0.5</v>
      </c>
      <c r="O15" s="64">
        <f>C$56*C15+D$56</f>
        <v>0.50000000000000033</v>
      </c>
      <c r="P15" s="64">
        <f t="shared" si="7"/>
        <v>0</v>
      </c>
      <c r="Q15" s="64">
        <f t="shared" si="8"/>
        <v>-0.3010299956639812</v>
      </c>
      <c r="R15" s="64">
        <f>I$7/(LN(10)*N15)</f>
        <v>4.3429448190325176E-3</v>
      </c>
      <c r="S15" s="64">
        <f>C$72*D15+D$72</f>
        <v>-0.30193254363678612</v>
      </c>
      <c r="T15" s="86">
        <f t="shared" si="1"/>
        <v>9.0254797280492349E-4</v>
      </c>
    </row>
    <row r="16" spans="2:20" x14ac:dyDescent="0.3">
      <c r="B16" s="11">
        <v>7</v>
      </c>
      <c r="C16" s="12">
        <v>400</v>
      </c>
      <c r="D16" s="36">
        <f t="shared" si="2"/>
        <v>2.6020599913279625</v>
      </c>
      <c r="E16" s="11">
        <v>1.3431999999999999</v>
      </c>
      <c r="F16" s="64">
        <f t="shared" si="3"/>
        <v>1.8995716569795413</v>
      </c>
      <c r="G16" s="64">
        <f>C$22*C16+D$22</f>
        <v>1.9077175270988105</v>
      </c>
      <c r="H16" s="64">
        <f t="shared" si="4"/>
        <v>-8.1458701192691496E-3</v>
      </c>
      <c r="I16" s="99">
        <f t="shared" si="5"/>
        <v>0.27865568096198295</v>
      </c>
      <c r="J16" s="83">
        <f>I$4/(LN(10)*F16)</f>
        <v>3.2332823250688785E-5</v>
      </c>
      <c r="K16" s="64">
        <f>C$39*D16+D$39</f>
        <v>0.28076000690504221</v>
      </c>
      <c r="L16" s="86">
        <f t="shared" si="0"/>
        <v>-2.1043259430592598E-3</v>
      </c>
      <c r="M16" s="74">
        <v>3.84</v>
      </c>
      <c r="N16" s="64">
        <f t="shared" si="6"/>
        <v>1.92</v>
      </c>
      <c r="O16" s="64">
        <f>C$56*C16+D$56</f>
        <v>1.9339999999999999</v>
      </c>
      <c r="P16" s="64">
        <f t="shared" si="7"/>
        <v>-1.4000000000000012E-2</v>
      </c>
      <c r="Q16" s="64">
        <f t="shared" si="8"/>
        <v>0.28330122870354957</v>
      </c>
      <c r="R16" s="64">
        <f>I$7/(LN(10)*N16)</f>
        <v>1.1309752132897183E-3</v>
      </c>
      <c r="S16" s="64">
        <f>C$72*D16+D$72</f>
        <v>0.28627085138221231</v>
      </c>
      <c r="T16" s="86">
        <f t="shared" si="1"/>
        <v>-2.9696226786627422E-3</v>
      </c>
    </row>
    <row r="17" spans="2:20" ht="15" thickBot="1" x14ac:dyDescent="0.35">
      <c r="B17" s="14">
        <v>8</v>
      </c>
      <c r="C17" s="15">
        <v>500</v>
      </c>
      <c r="D17" s="37">
        <f t="shared" si="2"/>
        <v>2.6989700043360187</v>
      </c>
      <c r="E17" s="14">
        <v>1.6861999999999999</v>
      </c>
      <c r="F17" s="65">
        <f t="shared" si="3"/>
        <v>2.3846469088735129</v>
      </c>
      <c r="G17" s="65">
        <f>C$22*C17+D$22</f>
        <v>2.3819033345625096</v>
      </c>
      <c r="H17" s="65">
        <f t="shared" si="4"/>
        <v>2.7435743110033606E-3</v>
      </c>
      <c r="I17" s="192">
        <f t="shared" si="5"/>
        <v>0.37742408279747264</v>
      </c>
      <c r="J17" s="84">
        <f>I$4/(LN(10)*F17)</f>
        <v>2.5755810811484508E-5</v>
      </c>
      <c r="K17" s="65">
        <f>C$39*D17+D$39</f>
        <v>0.37683776862336016</v>
      </c>
      <c r="L17" s="87">
        <f t="shared" si="0"/>
        <v>5.8631417411247888E-4</v>
      </c>
      <c r="M17" s="75">
        <v>4.84</v>
      </c>
      <c r="N17" s="65">
        <f t="shared" si="6"/>
        <v>2.42</v>
      </c>
      <c r="O17" s="65">
        <f>C$56*C17+D$56</f>
        <v>2.4119999999999999</v>
      </c>
      <c r="P17" s="65">
        <f t="shared" si="7"/>
        <v>8.0000000000000071E-3</v>
      </c>
      <c r="Q17" s="65">
        <f t="shared" si="8"/>
        <v>0.38381536598043126</v>
      </c>
      <c r="R17" s="65">
        <f>I$7/(LN(10)*N17)</f>
        <v>8.9730264856043766E-4</v>
      </c>
      <c r="S17" s="65">
        <f>C$72*D17+D$72</f>
        <v>0.38095045056458465</v>
      </c>
      <c r="T17" s="87">
        <f t="shared" si="1"/>
        <v>2.8649154158466028E-3</v>
      </c>
    </row>
    <row r="18" spans="2:20" ht="15" thickTop="1" x14ac:dyDescent="0.3">
      <c r="I18" s="188"/>
    </row>
    <row r="20" spans="2:20" ht="15" thickBot="1" x14ac:dyDescent="0.35"/>
    <row r="21" spans="2:20" ht="16.2" thickBot="1" x14ac:dyDescent="0.35">
      <c r="B21" s="326" t="s">
        <v>65</v>
      </c>
      <c r="C21" s="327"/>
      <c r="D21" s="327"/>
      <c r="E21" s="328"/>
    </row>
    <row r="22" spans="2:20" x14ac:dyDescent="0.3">
      <c r="B22" s="17" t="s">
        <v>22</v>
      </c>
      <c r="C22" s="76">
        <f t="array" ref="C22:D24">LINEST(F13:F17,C13:C17,1,1)</f>
        <v>4.7418580746369874E-3</v>
      </c>
      <c r="D22" s="58">
        <v>1.0974297244015441E-2</v>
      </c>
      <c r="E22" s="17" t="s">
        <v>25</v>
      </c>
    </row>
    <row r="23" spans="2:20" ht="15.6" x14ac:dyDescent="0.3">
      <c r="B23" s="18" t="s">
        <v>23</v>
      </c>
      <c r="C23" s="77">
        <v>2.0015327460057687E-5</v>
      </c>
      <c r="D23" s="52">
        <v>6.6383331241108507E-3</v>
      </c>
      <c r="E23" s="18" t="s">
        <v>26</v>
      </c>
    </row>
    <row r="24" spans="2:20" ht="16.8" thickBot="1" x14ac:dyDescent="0.35">
      <c r="B24" s="19" t="s">
        <v>24</v>
      </c>
      <c r="C24" s="47">
        <v>0.99994655263005172</v>
      </c>
      <c r="D24" s="60">
        <v>6.3294022887895136E-3</v>
      </c>
      <c r="E24" s="19" t="s">
        <v>27</v>
      </c>
    </row>
    <row r="25" spans="2:20" ht="15" thickBot="1" x14ac:dyDescent="0.35"/>
    <row r="26" spans="2:20" x14ac:dyDescent="0.3">
      <c r="C26" s="154" t="s">
        <v>81</v>
      </c>
      <c r="D26" s="178">
        <f>2*D24</f>
        <v>1.2658804577579027E-2</v>
      </c>
    </row>
    <row r="27" spans="2:20" ht="15" thickBot="1" x14ac:dyDescent="0.35">
      <c r="C27" s="156" t="s">
        <v>81</v>
      </c>
      <c r="D27" s="179">
        <f>-2*D24</f>
        <v>-1.2658804577579027E-2</v>
      </c>
    </row>
    <row r="28" spans="2:20" ht="15" thickBot="1" x14ac:dyDescent="0.35"/>
    <row r="29" spans="2:20" ht="16.8" x14ac:dyDescent="0.35">
      <c r="C29" s="151" t="s">
        <v>98</v>
      </c>
      <c r="D29" s="141">
        <f>C22*C9/(C7*C4*COS(F9)*L7*F6)</f>
        <v>1.1888585959211505E-6</v>
      </c>
    </row>
    <row r="30" spans="2:20" ht="16.8" x14ac:dyDescent="0.35">
      <c r="C30" s="152" t="s">
        <v>99</v>
      </c>
      <c r="D30" s="180">
        <f>SQRT((C23*C9/(C7*C4*F6*L7))^2+(C9*C8*C22/(C7^2*C4*F6*L7))^2+(F7*C9*C22/(C7*C4*F6^2*L7))^2+(C22*C9*L4/(C7*C4*F6*L7))^2)</f>
        <v>6.056712088576037E-9</v>
      </c>
    </row>
    <row r="31" spans="2:20" ht="15.6" x14ac:dyDescent="0.35">
      <c r="C31" s="152" t="s">
        <v>47</v>
      </c>
      <c r="D31" s="283">
        <f>D30/D29*100</f>
        <v>0.50945605384492176</v>
      </c>
    </row>
    <row r="32" spans="2:20" ht="16.2" thickBot="1" x14ac:dyDescent="0.4">
      <c r="C32" s="153" t="s">
        <v>48</v>
      </c>
      <c r="D32" s="186">
        <f>ABS(D29-Comparar!C3)/Comparar!C3*100</f>
        <v>5.3936389109293534</v>
      </c>
    </row>
    <row r="37" spans="2:5" ht="15" thickBot="1" x14ac:dyDescent="0.35"/>
    <row r="38" spans="2:5" ht="16.2" thickBot="1" x14ac:dyDescent="0.35">
      <c r="B38" s="326" t="s">
        <v>66</v>
      </c>
      <c r="C38" s="327"/>
      <c r="D38" s="327"/>
      <c r="E38" s="328"/>
    </row>
    <row r="39" spans="2:5" x14ac:dyDescent="0.3">
      <c r="B39" s="17" t="s">
        <v>22</v>
      </c>
      <c r="C39" s="50">
        <f t="array" ref="C39:D41">LINEST(I13:I17,D13:D17,1,1)</f>
        <v>0.99141212281470514</v>
      </c>
      <c r="D39" s="58">
        <v>-2.2989538127886262</v>
      </c>
      <c r="E39" s="17" t="s">
        <v>25</v>
      </c>
    </row>
    <row r="40" spans="2:5" ht="15.6" x14ac:dyDescent="0.3">
      <c r="B40" s="18" t="s">
        <v>23</v>
      </c>
      <c r="C40" s="49">
        <v>2.9294095849790422E-3</v>
      </c>
      <c r="D40" s="52">
        <v>7.1138254310947483E-3</v>
      </c>
      <c r="E40" s="18" t="s">
        <v>26</v>
      </c>
    </row>
    <row r="41" spans="2:5" ht="16.8" thickBot="1" x14ac:dyDescent="0.35">
      <c r="B41" s="19" t="s">
        <v>24</v>
      </c>
      <c r="C41" s="47">
        <v>0.99997380842433603</v>
      </c>
      <c r="D41" s="60">
        <v>1.6170237937112265E-3</v>
      </c>
      <c r="E41" s="19" t="s">
        <v>27</v>
      </c>
    </row>
    <row r="42" spans="2:5" ht="15" thickBot="1" x14ac:dyDescent="0.35"/>
    <row r="43" spans="2:5" x14ac:dyDescent="0.3">
      <c r="C43" s="154" t="s">
        <v>81</v>
      </c>
      <c r="D43" s="155">
        <f>2*D41</f>
        <v>3.234047587422453E-3</v>
      </c>
    </row>
    <row r="44" spans="2:5" ht="15" thickBot="1" x14ac:dyDescent="0.35">
      <c r="C44" s="156" t="s">
        <v>81</v>
      </c>
      <c r="D44" s="157">
        <f>-2*D41</f>
        <v>-3.234047587422453E-3</v>
      </c>
    </row>
    <row r="45" spans="2:5" ht="15" thickBot="1" x14ac:dyDescent="0.35"/>
    <row r="46" spans="2:5" ht="16.2" thickBot="1" x14ac:dyDescent="0.4">
      <c r="C46" s="322" t="s">
        <v>100</v>
      </c>
      <c r="D46" s="187">
        <f>ABS(C39-1)*100</f>
        <v>0.85878771852948566</v>
      </c>
    </row>
    <row r="54" spans="2:5" ht="15" thickBot="1" x14ac:dyDescent="0.35"/>
    <row r="55" spans="2:5" ht="16.2" thickBot="1" x14ac:dyDescent="0.35">
      <c r="B55" s="338" t="s">
        <v>67</v>
      </c>
      <c r="C55" s="339"/>
      <c r="D55" s="339"/>
      <c r="E55" s="340"/>
    </row>
    <row r="56" spans="2:5" x14ac:dyDescent="0.3">
      <c r="B56" s="91" t="s">
        <v>22</v>
      </c>
      <c r="C56" s="76">
        <f t="array" ref="C56:D58">LINEST(N13:N17,C13:C17,1,1)</f>
        <v>4.7799999999999987E-3</v>
      </c>
      <c r="D56" s="79">
        <v>2.2000000000000464E-2</v>
      </c>
      <c r="E56" s="91" t="s">
        <v>25</v>
      </c>
    </row>
    <row r="57" spans="2:5" ht="15.6" x14ac:dyDescent="0.3">
      <c r="B57" s="92" t="s">
        <v>23</v>
      </c>
      <c r="C57" s="77">
        <v>3.0550504633039034E-5</v>
      </c>
      <c r="D57" s="57">
        <v>1.0132456102380475E-2</v>
      </c>
      <c r="E57" s="92" t="s">
        <v>26</v>
      </c>
    </row>
    <row r="58" spans="2:5" ht="16.8" thickBot="1" x14ac:dyDescent="0.35">
      <c r="B58" s="93" t="s">
        <v>24</v>
      </c>
      <c r="C58" s="47">
        <v>0.99987746814171685</v>
      </c>
      <c r="D58" s="60">
        <v>9.6609178307929932E-3</v>
      </c>
      <c r="E58" s="93" t="s">
        <v>27</v>
      </c>
    </row>
    <row r="59" spans="2:5" ht="15" thickBot="1" x14ac:dyDescent="0.35"/>
    <row r="60" spans="2:5" x14ac:dyDescent="0.3">
      <c r="C60" s="158" t="s">
        <v>81</v>
      </c>
      <c r="D60" s="178">
        <f>2*D58</f>
        <v>1.9321835661585986E-2</v>
      </c>
    </row>
    <row r="61" spans="2:5" ht="15" thickBot="1" x14ac:dyDescent="0.35">
      <c r="C61" s="159" t="s">
        <v>81</v>
      </c>
      <c r="D61" s="179">
        <f>-2*D58</f>
        <v>-1.9321835661585986E-2</v>
      </c>
    </row>
    <row r="62" spans="2:5" ht="15" thickBot="1" x14ac:dyDescent="0.35"/>
    <row r="63" spans="2:5" ht="15.6" x14ac:dyDescent="0.35">
      <c r="C63" s="160" t="s">
        <v>45</v>
      </c>
      <c r="D63" s="141">
        <f>C56*C9/(C7*C4*COS(F9)*L7*F6)</f>
        <v>1.1984213780877741E-6</v>
      </c>
    </row>
    <row r="64" spans="2:5" ht="15.6" x14ac:dyDescent="0.35">
      <c r="C64" s="161" t="s">
        <v>46</v>
      </c>
      <c r="D64" s="180">
        <f>SQRT((C57*C9/(C7*C4*F6*L7))^2+(C9*C8*C56/(C7^2*C4*F6*L7))^2+(F7*C9*C56/(C7*C4*F6^2*L7))^2+(C56*C9*L4/(C7*C4*F6*L7))^2)</f>
        <v>8.3878164540149864E-9</v>
      </c>
    </row>
    <row r="65" spans="2:5" ht="15.6" x14ac:dyDescent="0.35">
      <c r="C65" s="161" t="s">
        <v>47</v>
      </c>
      <c r="D65" s="283">
        <f>D64/D63*100</f>
        <v>0.69990544289177814</v>
      </c>
    </row>
    <row r="66" spans="2:5" ht="16.2" thickBot="1" x14ac:dyDescent="0.4">
      <c r="C66" s="162" t="s">
        <v>48</v>
      </c>
      <c r="D66" s="186">
        <f>ABS(D63-Comparar!C3)/Comparar!C3*100</f>
        <v>4.6326568851647654</v>
      </c>
    </row>
    <row r="70" spans="2:5" ht="15" thickBot="1" x14ac:dyDescent="0.35"/>
    <row r="71" spans="2:5" ht="16.2" thickBot="1" x14ac:dyDescent="0.35">
      <c r="B71" s="338" t="s">
        <v>68</v>
      </c>
      <c r="C71" s="339"/>
      <c r="D71" s="339"/>
      <c r="E71" s="340"/>
    </row>
    <row r="72" spans="2:5" x14ac:dyDescent="0.3">
      <c r="B72" s="91" t="s">
        <v>22</v>
      </c>
      <c r="C72" s="50">
        <f t="array" ref="C72:D74">LINEST(Q13:Q17,D13:D17,1,1)</f>
        <v>0.97698469171087021</v>
      </c>
      <c r="D72" s="79">
        <v>-2.2559019270585265</v>
      </c>
      <c r="E72" s="91" t="s">
        <v>25</v>
      </c>
    </row>
    <row r="73" spans="2:5" ht="15.6" x14ac:dyDescent="0.3">
      <c r="B73" s="92" t="s">
        <v>23</v>
      </c>
      <c r="C73" s="49">
        <v>4.5291933808529724E-3</v>
      </c>
      <c r="D73" s="57">
        <v>1.0998766174682392E-2</v>
      </c>
      <c r="E73" s="92" t="s">
        <v>26</v>
      </c>
    </row>
    <row r="74" spans="2:5" ht="16.8" thickBot="1" x14ac:dyDescent="0.35">
      <c r="B74" s="93" t="s">
        <v>24</v>
      </c>
      <c r="C74" s="47">
        <v>0.99993552973357736</v>
      </c>
      <c r="D74" s="60">
        <v>2.5000988256174647E-3</v>
      </c>
      <c r="E74" s="93" t="s">
        <v>27</v>
      </c>
    </row>
    <row r="75" spans="2:5" ht="15" thickBot="1" x14ac:dyDescent="0.35"/>
    <row r="76" spans="2:5" x14ac:dyDescent="0.3">
      <c r="C76" s="158" t="s">
        <v>81</v>
      </c>
      <c r="D76" s="155">
        <f>2*D74</f>
        <v>5.0001976512349293E-3</v>
      </c>
    </row>
    <row r="77" spans="2:5" ht="15" thickBot="1" x14ac:dyDescent="0.35">
      <c r="C77" s="159" t="s">
        <v>81</v>
      </c>
      <c r="D77" s="157">
        <f>-2*D74</f>
        <v>-5.0001976512349293E-3</v>
      </c>
    </row>
    <row r="78" spans="2:5" ht="15" thickBot="1" x14ac:dyDescent="0.35"/>
    <row r="79" spans="2:5" ht="16.2" thickBot="1" x14ac:dyDescent="0.4">
      <c r="C79" s="292" t="s">
        <v>100</v>
      </c>
      <c r="D79" s="318">
        <f>ABS(C72-1)*100</f>
        <v>2.3015308289129788</v>
      </c>
    </row>
  </sheetData>
  <mergeCells count="6">
    <mergeCell ref="B71:E71"/>
    <mergeCell ref="E11:L11"/>
    <mergeCell ref="M11:T11"/>
    <mergeCell ref="B21:E21"/>
    <mergeCell ref="B38:E38"/>
    <mergeCell ref="B55:E5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59C2A-4E86-461C-BF63-B28376A15C74}">
  <sheetPr>
    <tabColor rgb="FF92D050"/>
  </sheetPr>
  <dimension ref="B2:Y77"/>
  <sheetViews>
    <sheetView topLeftCell="A7" zoomScale="72" zoomScaleNormal="55" workbookViewId="0">
      <selection activeCell="D13" sqref="D13"/>
    </sheetView>
  </sheetViews>
  <sheetFormatPr defaultRowHeight="14.4" x14ac:dyDescent="0.3"/>
  <cols>
    <col min="1" max="1" width="8.88671875" style="139"/>
    <col min="2" max="2" width="8.77734375" style="139" customWidth="1"/>
    <col min="3" max="4" width="11.109375" style="139" customWidth="1"/>
    <col min="5" max="7" width="8.88671875" style="139"/>
    <col min="8" max="8" width="12" style="139" bestFit="1" customWidth="1"/>
    <col min="9" max="9" width="8.88671875" style="139"/>
    <col min="10" max="10" width="10.5546875" style="139" bestFit="1" customWidth="1"/>
    <col min="11" max="11" width="10.109375" style="139" bestFit="1" customWidth="1"/>
    <col min="12" max="12" width="11.44140625" style="139" bestFit="1" customWidth="1"/>
    <col min="13" max="13" width="11.77734375" style="139" bestFit="1" customWidth="1"/>
    <col min="14" max="14" width="12.77734375" style="139" bestFit="1" customWidth="1"/>
    <col min="15" max="15" width="10.88671875" style="139" bestFit="1" customWidth="1"/>
    <col min="16" max="16" width="8.88671875" style="139"/>
    <col min="17" max="17" width="10.21875" style="139" bestFit="1" customWidth="1"/>
    <col min="18" max="18" width="10.33203125" style="139" bestFit="1" customWidth="1"/>
    <col min="19" max="19" width="10.21875" style="139" bestFit="1" customWidth="1"/>
    <col min="20" max="20" width="11" style="139" bestFit="1" customWidth="1"/>
    <col min="21" max="21" width="9.77734375" style="139" bestFit="1" customWidth="1"/>
    <col min="22" max="22" width="10.21875" style="139" customWidth="1"/>
    <col min="23" max="23" width="11.77734375" style="139" bestFit="1" customWidth="1"/>
    <col min="24" max="24" width="12.77734375" style="139" bestFit="1" customWidth="1"/>
    <col min="25" max="25" width="10.88671875" style="139" bestFit="1" customWidth="1"/>
    <col min="26" max="16384" width="8.88671875" style="139"/>
  </cols>
  <sheetData>
    <row r="2" spans="2:25" ht="15" thickBot="1" x14ac:dyDescent="0.35">
      <c r="B2" s="138" t="s">
        <v>49</v>
      </c>
    </row>
    <row r="3" spans="2:25" ht="16.2" thickBot="1" x14ac:dyDescent="0.4">
      <c r="B3" s="149" t="s">
        <v>6</v>
      </c>
      <c r="C3" s="150">
        <v>300</v>
      </c>
      <c r="E3" s="140" t="s">
        <v>0</v>
      </c>
      <c r="F3" s="142">
        <v>1001</v>
      </c>
      <c r="H3" s="140" t="s">
        <v>39</v>
      </c>
      <c r="I3" s="142">
        <v>1E-4</v>
      </c>
      <c r="K3" s="140" t="s">
        <v>33</v>
      </c>
      <c r="L3" s="142">
        <v>1E-3</v>
      </c>
    </row>
    <row r="4" spans="2:25" ht="16.2" thickBot="1" x14ac:dyDescent="0.4">
      <c r="E4" s="143" t="s">
        <v>3</v>
      </c>
      <c r="F4" s="144">
        <v>1</v>
      </c>
      <c r="H4" s="143" t="s">
        <v>41</v>
      </c>
      <c r="I4" s="145">
        <f>SQRT(2)*I3</f>
        <v>1.4142135623730951E-4</v>
      </c>
      <c r="K4" s="143" t="s">
        <v>34</v>
      </c>
      <c r="L4" s="174">
        <f>SQRT(2)*L3</f>
        <v>1.4142135623730952E-3</v>
      </c>
    </row>
    <row r="5" spans="2:25" ht="15" thickBot="1" x14ac:dyDescent="0.35"/>
    <row r="6" spans="2:25" ht="16.2" thickBot="1" x14ac:dyDescent="0.4">
      <c r="B6" s="138" t="s">
        <v>10</v>
      </c>
      <c r="E6" s="140" t="s">
        <v>1</v>
      </c>
      <c r="F6" s="184">
        <f>2*PI()*F3</f>
        <v>6289.4684924867661</v>
      </c>
      <c r="H6" s="140" t="s">
        <v>40</v>
      </c>
      <c r="I6" s="142">
        <v>1E-4</v>
      </c>
      <c r="K6" s="140" t="s">
        <v>43</v>
      </c>
      <c r="L6" s="167">
        <f>AVERAGE(G13:G15)</f>
        <v>0.31291832090108684</v>
      </c>
    </row>
    <row r="7" spans="2:25" ht="16.2" thickBot="1" x14ac:dyDescent="0.4">
      <c r="B7" s="140" t="s">
        <v>11</v>
      </c>
      <c r="C7" s="171">
        <v>361</v>
      </c>
      <c r="E7" s="143" t="s">
        <v>2</v>
      </c>
      <c r="F7" s="185">
        <f>2*PI()*F4</f>
        <v>6.2831853071795862</v>
      </c>
      <c r="H7" s="143" t="s">
        <v>37</v>
      </c>
      <c r="I7" s="144">
        <f>I6/2</f>
        <v>5.0000000000000002E-5</v>
      </c>
      <c r="K7" s="143" t="s">
        <v>44</v>
      </c>
      <c r="L7" s="145">
        <f>ABS(L6-MAX(G13:G15))</f>
        <v>3.2998316455373766E-4</v>
      </c>
    </row>
    <row r="8" spans="2:25" ht="15" thickBot="1" x14ac:dyDescent="0.35">
      <c r="B8" s="172" t="s">
        <v>82</v>
      </c>
      <c r="C8" s="173">
        <v>1</v>
      </c>
    </row>
    <row r="9" spans="2:25" ht="15" thickBot="1" x14ac:dyDescent="0.35">
      <c r="B9" s="143" t="s">
        <v>97</v>
      </c>
      <c r="C9" s="186">
        <v>0.75</v>
      </c>
      <c r="E9" s="149" t="s">
        <v>56</v>
      </c>
      <c r="F9" s="150">
        <v>0</v>
      </c>
    </row>
    <row r="10" spans="2:25" ht="15" thickBot="1" x14ac:dyDescent="0.35"/>
    <row r="11" spans="2:25" ht="15.6" thickTop="1" thickBot="1" x14ac:dyDescent="0.35">
      <c r="D11" s="1"/>
      <c r="F11" s="1"/>
      <c r="G11" s="1"/>
      <c r="H11" s="344" t="s">
        <v>13</v>
      </c>
      <c r="I11" s="345"/>
      <c r="J11" s="345"/>
      <c r="K11" s="345"/>
      <c r="L11" s="345"/>
      <c r="M11" s="345"/>
      <c r="N11" s="345"/>
      <c r="O11" s="346"/>
      <c r="P11" s="332" t="s">
        <v>12</v>
      </c>
      <c r="Q11" s="333"/>
      <c r="R11" s="333"/>
      <c r="S11" s="333"/>
      <c r="T11" s="333"/>
      <c r="U11" s="333"/>
      <c r="V11" s="333"/>
      <c r="W11" s="333"/>
      <c r="X11" s="333"/>
      <c r="Y11" s="334"/>
    </row>
    <row r="12" spans="2:25" ht="17.399999999999999" thickTop="1" thickBot="1" x14ac:dyDescent="0.35">
      <c r="B12" s="26" t="s">
        <v>50</v>
      </c>
      <c r="C12" s="27" t="s">
        <v>38</v>
      </c>
      <c r="D12" s="27" t="s">
        <v>53</v>
      </c>
      <c r="E12" s="27" t="s">
        <v>54</v>
      </c>
      <c r="F12" s="27" t="s">
        <v>21</v>
      </c>
      <c r="G12" s="27" t="s">
        <v>4</v>
      </c>
      <c r="H12" s="5" t="s">
        <v>16</v>
      </c>
      <c r="I12" s="6" t="s">
        <v>15</v>
      </c>
      <c r="J12" s="6" t="s">
        <v>19</v>
      </c>
      <c r="K12" s="6" t="s">
        <v>17</v>
      </c>
      <c r="L12" s="6" t="s">
        <v>18</v>
      </c>
      <c r="M12" s="6" t="s">
        <v>36</v>
      </c>
      <c r="N12" s="6" t="s">
        <v>20</v>
      </c>
      <c r="O12" s="7" t="s">
        <v>17</v>
      </c>
      <c r="P12" s="88" t="s">
        <v>77</v>
      </c>
      <c r="Q12" s="89" t="s">
        <v>40</v>
      </c>
      <c r="R12" s="89" t="s">
        <v>15</v>
      </c>
      <c r="S12" s="89" t="s">
        <v>80</v>
      </c>
      <c r="T12" s="89" t="s">
        <v>19</v>
      </c>
      <c r="U12" s="89" t="s">
        <v>17</v>
      </c>
      <c r="V12" s="89" t="s">
        <v>18</v>
      </c>
      <c r="W12" s="89" t="s">
        <v>36</v>
      </c>
      <c r="X12" s="89" t="s">
        <v>20</v>
      </c>
      <c r="Y12" s="90" t="s">
        <v>17</v>
      </c>
    </row>
    <row r="13" spans="2:25" x14ac:dyDescent="0.3">
      <c r="B13" s="24">
        <v>1</v>
      </c>
      <c r="C13" s="25">
        <v>4.1000000000000002E-2</v>
      </c>
      <c r="D13" s="41">
        <f>PI()*C13^2/4</f>
        <v>1.3202543126711107E-3</v>
      </c>
      <c r="E13" s="25">
        <f>LOG10(D13)</f>
        <v>-2.8793424051943575</v>
      </c>
      <c r="F13" s="25">
        <v>0.22109999999999999</v>
      </c>
      <c r="G13" s="41">
        <f>F13*SQRT(2)</f>
        <v>0.3126826186406913</v>
      </c>
      <c r="H13" s="72">
        <v>0.318</v>
      </c>
      <c r="I13" s="69">
        <f>H13*SQRT(2)</f>
        <v>0.44971991283464424</v>
      </c>
      <c r="J13" s="69">
        <f>C$20*D13+D$20</f>
        <v>0.46373485405041354</v>
      </c>
      <c r="K13" s="35">
        <f>I13-J13</f>
        <v>-1.4014941215769294E-2</v>
      </c>
      <c r="L13" s="97">
        <f>LOG10(I13)</f>
        <v>-0.34705788218357669</v>
      </c>
      <c r="M13" s="66">
        <f>I$4/(LN(10)*I13)</f>
        <v>1.3657059179347539E-4</v>
      </c>
      <c r="N13" s="35">
        <f>C$37*E13+D$37</f>
        <v>-0.30230699753931756</v>
      </c>
      <c r="O13" s="203">
        <f>L13-N13</f>
        <v>-4.4750884644259137E-2</v>
      </c>
      <c r="P13" s="127">
        <v>0.90400000000000003</v>
      </c>
      <c r="Q13" s="70">
        <v>1E-3</v>
      </c>
      <c r="R13" s="136">
        <f>P13/2</f>
        <v>0.45200000000000001</v>
      </c>
      <c r="S13" s="69">
        <f>Q13/2</f>
        <v>5.0000000000000001E-4</v>
      </c>
      <c r="T13" s="35">
        <f>C$54*D13+D$54</f>
        <v>0.47601103446113718</v>
      </c>
      <c r="U13" s="35">
        <f>R13-T13</f>
        <v>-2.4011034461137171E-2</v>
      </c>
      <c r="V13" s="136">
        <f>LOG(R13)</f>
        <v>-0.34486156518861788</v>
      </c>
      <c r="W13" s="69">
        <f>S13/(LN(10)*R13)</f>
        <v>4.8041424989297759E-4</v>
      </c>
      <c r="X13" s="38">
        <f>C$70*E13+D$70</f>
        <v>-0.23815624353751641</v>
      </c>
      <c r="Y13" s="42">
        <f>V13-X13</f>
        <v>-0.10670532165110147</v>
      </c>
    </row>
    <row r="14" spans="2:25" x14ac:dyDescent="0.3">
      <c r="B14" s="11">
        <v>2</v>
      </c>
      <c r="C14" s="12">
        <v>3.3000000000000002E-2</v>
      </c>
      <c r="D14" s="33">
        <f t="shared" ref="D14:D15" si="0">PI()*C14^2/4</f>
        <v>8.5529859993982123E-4</v>
      </c>
      <c r="E14" s="12">
        <f t="shared" ref="E14:E15" si="1">LOG10(D14)</f>
        <v>-3.0678822388780538</v>
      </c>
      <c r="F14" s="12">
        <v>0.2215</v>
      </c>
      <c r="G14" s="33">
        <f>F14*SQRT(2)</f>
        <v>0.31324830406564058</v>
      </c>
      <c r="H14" s="32">
        <v>0.20899999999999999</v>
      </c>
      <c r="I14" s="33">
        <f>H14*SQRT(2)</f>
        <v>0.29557063453597687</v>
      </c>
      <c r="J14" s="33">
        <f t="shared" ref="J14:J15" si="2">C$20*D14+D$20</f>
        <v>0.26146647976152604</v>
      </c>
      <c r="K14" s="36">
        <f>I14-J14</f>
        <v>3.4104154774450834E-2</v>
      </c>
      <c r="L14" s="98">
        <f>LOG10(I14)</f>
        <v>-0.52933871605695537</v>
      </c>
      <c r="M14" s="83">
        <f>I$4/(LN(10)*I14)</f>
        <v>2.0779640282452236E-4</v>
      </c>
      <c r="N14" s="36">
        <f t="shared" ref="N14:N15" si="3">C$37*E14+D$37</f>
        <v>-0.61483364220524273</v>
      </c>
      <c r="O14" s="204">
        <f>L14-N14</f>
        <v>8.5494926148287353E-2</v>
      </c>
      <c r="P14" s="31">
        <v>0.6</v>
      </c>
      <c r="Q14" s="64">
        <v>1E-3</v>
      </c>
      <c r="R14" s="62">
        <f>P14/2</f>
        <v>0.3</v>
      </c>
      <c r="S14" s="33">
        <f t="shared" ref="S14:S15" si="4">Q14/2</f>
        <v>5.0000000000000001E-4</v>
      </c>
      <c r="T14" s="36">
        <f>C$54*D14+D$54</f>
        <v>0.24157121154130018</v>
      </c>
      <c r="U14" s="36">
        <f>R14-T14</f>
        <v>5.842878845869981E-2</v>
      </c>
      <c r="V14" s="62">
        <f>LOG(R14)</f>
        <v>-0.52287874528033762</v>
      </c>
      <c r="W14" s="33">
        <f t="shared" ref="W14:W15" si="5">S14/(LN(10)*R14)</f>
        <v>7.2382413650541968E-4</v>
      </c>
      <c r="X14" s="39">
        <f>C$70*E14+D$70</f>
        <v>-0.7267353542995858</v>
      </c>
      <c r="Y14" s="43">
        <f>V14-X14</f>
        <v>0.20385660901924818</v>
      </c>
    </row>
    <row r="15" spans="2:25" ht="15" thickBot="1" x14ac:dyDescent="0.35">
      <c r="B15" s="14">
        <v>3</v>
      </c>
      <c r="C15" s="15">
        <v>2.5999999999999999E-2</v>
      </c>
      <c r="D15" s="34">
        <f t="shared" si="0"/>
        <v>5.3092915845667494E-4</v>
      </c>
      <c r="E15" s="15">
        <f t="shared" si="1"/>
        <v>-3.2749634226921929</v>
      </c>
      <c r="F15" s="15">
        <v>0.22120000000000001</v>
      </c>
      <c r="G15" s="34">
        <f>F15*SQRT(2)</f>
        <v>0.31282403999692865</v>
      </c>
      <c r="H15" s="14">
        <v>7.0900000000000005E-2</v>
      </c>
      <c r="I15" s="34">
        <f>H15*SQRT(2)</f>
        <v>0.10026774157225245</v>
      </c>
      <c r="J15" s="34">
        <f t="shared" si="2"/>
        <v>0.12035695513093383</v>
      </c>
      <c r="K15" s="37">
        <f>I15-J15</f>
        <v>-2.0089213558681387E-2</v>
      </c>
      <c r="L15" s="190">
        <f>LOG10(I15)</f>
        <v>-0.99883876698494278</v>
      </c>
      <c r="M15" s="84">
        <f>I$4/(LN(10)*I15)</f>
        <v>6.1254510846720975E-4</v>
      </c>
      <c r="N15" s="37">
        <f t="shared" si="3"/>
        <v>-0.95809472548091357</v>
      </c>
      <c r="O15" s="205">
        <f>L15-N15</f>
        <v>-4.0744041504029216E-2</v>
      </c>
      <c r="P15" s="73">
        <v>8.72E-2</v>
      </c>
      <c r="Q15" s="34">
        <v>1E-4</v>
      </c>
      <c r="R15" s="63">
        <f>P15/2</f>
        <v>4.36E-2</v>
      </c>
      <c r="S15" s="63">
        <f t="shared" si="4"/>
        <v>5.0000000000000002E-5</v>
      </c>
      <c r="T15" s="37">
        <f>C$54*D15+D$54</f>
        <v>7.8017753997562445E-2</v>
      </c>
      <c r="U15" s="37">
        <f>R15-T15</f>
        <v>-3.4417753997562445E-2</v>
      </c>
      <c r="V15" s="34">
        <f>LOG(R15)</f>
        <v>-1.3605135107314139</v>
      </c>
      <c r="W15" s="34">
        <f t="shared" si="5"/>
        <v>4.9804413062299517E-4</v>
      </c>
      <c r="X15" s="40">
        <f>C$70*E15+D$70</f>
        <v>-1.2633622233632638</v>
      </c>
      <c r="Y15" s="44">
        <f>V15-X15</f>
        <v>-9.7151287368150152E-2</v>
      </c>
    </row>
    <row r="16" spans="2:25" ht="15" thickTop="1" x14ac:dyDescent="0.3"/>
    <row r="18" spans="2:9" ht="15" thickBot="1" x14ac:dyDescent="0.35"/>
    <row r="19" spans="2:9" ht="16.2" thickBot="1" x14ac:dyDescent="0.35">
      <c r="B19" s="326" t="s">
        <v>69</v>
      </c>
      <c r="C19" s="327"/>
      <c r="D19" s="327"/>
      <c r="E19" s="328"/>
    </row>
    <row r="20" spans="2:9" x14ac:dyDescent="0.3">
      <c r="B20" s="17" t="s">
        <v>22</v>
      </c>
      <c r="C20" s="196">
        <f t="array" ref="C20:D22">LINEST(I13:I15,D13:D15,1,1)</f>
        <v>435.02718377348754</v>
      </c>
      <c r="D20" s="79">
        <v>-0.11061166145570117</v>
      </c>
      <c r="E20" s="17" t="s">
        <v>25</v>
      </c>
    </row>
    <row r="21" spans="2:9" ht="15.6" x14ac:dyDescent="0.3">
      <c r="B21" s="18" t="s">
        <v>23</v>
      </c>
      <c r="C21" s="197">
        <v>74.836242710813153</v>
      </c>
      <c r="D21" s="57">
        <v>7.1734782831002097E-2</v>
      </c>
      <c r="E21" s="18" t="s">
        <v>26</v>
      </c>
    </row>
    <row r="22" spans="2:9" ht="16.8" thickBot="1" x14ac:dyDescent="0.35">
      <c r="B22" s="19" t="s">
        <v>24</v>
      </c>
      <c r="C22" s="130">
        <v>0.97125743549684351</v>
      </c>
      <c r="D22" s="61">
        <v>4.1989146830668983E-2</v>
      </c>
      <c r="E22" s="19" t="s">
        <v>27</v>
      </c>
    </row>
    <row r="23" spans="2:9" ht="15" thickBot="1" x14ac:dyDescent="0.35"/>
    <row r="24" spans="2:9" x14ac:dyDescent="0.3">
      <c r="C24" s="154" t="s">
        <v>81</v>
      </c>
      <c r="D24" s="178">
        <f>2*D22</f>
        <v>8.3978293661337966E-2</v>
      </c>
    </row>
    <row r="25" spans="2:9" ht="15" thickBot="1" x14ac:dyDescent="0.35">
      <c r="C25" s="156" t="s">
        <v>81</v>
      </c>
      <c r="D25" s="179">
        <f>-2*D22</f>
        <v>-8.3978293661337966E-2</v>
      </c>
      <c r="I25" s="139">
        <f>D13*10000</f>
        <v>13.202543126711106</v>
      </c>
    </row>
    <row r="26" spans="2:9" ht="15" thickBot="1" x14ac:dyDescent="0.35">
      <c r="I26" s="139">
        <f>D14*10000</f>
        <v>8.5529859993982118</v>
      </c>
    </row>
    <row r="27" spans="2:9" ht="16.8" x14ac:dyDescent="0.35">
      <c r="C27" s="151" t="s">
        <v>98</v>
      </c>
      <c r="D27" s="202">
        <f>C20*C9/(C7*C3*F6*L6*COS(F9))</f>
        <v>1.5307499909330594E-6</v>
      </c>
      <c r="I27" s="139">
        <f>D15*10000</f>
        <v>5.3092915845667497</v>
      </c>
    </row>
    <row r="28" spans="2:9" ht="16.8" x14ac:dyDescent="0.35">
      <c r="C28" s="152" t="s">
        <v>99</v>
      </c>
      <c r="D28" s="180">
        <f>SQRT((C21*C9/(C7*C3*F6*L6))^2+(C9*C20*C8/(C7^2*C3*F6*L6))^2+(C9*C20*F7/(C7*C3*F6^2*L6))^2+(C9*C20*L7/(C7*C3*F6*L6^2))^2)</f>
        <v>2.6337322453929212E-7</v>
      </c>
    </row>
    <row r="29" spans="2:9" ht="15.6" x14ac:dyDescent="0.35">
      <c r="C29" s="152" t="s">
        <v>47</v>
      </c>
      <c r="D29" s="206">
        <f>D28/D27*100</f>
        <v>17.20550227661635</v>
      </c>
    </row>
    <row r="30" spans="2:9" ht="16.2" thickBot="1" x14ac:dyDescent="0.4">
      <c r="C30" s="153" t="s">
        <v>48</v>
      </c>
      <c r="D30" s="186">
        <f>ABS(D27-Comparar!C3)/Comparar!C3*100</f>
        <v>21.813213847435186</v>
      </c>
    </row>
    <row r="35" spans="2:5" ht="15" thickBot="1" x14ac:dyDescent="0.35"/>
    <row r="36" spans="2:5" ht="16.2" thickBot="1" x14ac:dyDescent="0.35">
      <c r="B36" s="326" t="s">
        <v>70</v>
      </c>
      <c r="C36" s="327"/>
      <c r="D36" s="327"/>
      <c r="E36" s="328"/>
    </row>
    <row r="37" spans="2:5" x14ac:dyDescent="0.3">
      <c r="B37" s="17" t="s">
        <v>22</v>
      </c>
      <c r="C37" s="194">
        <f t="array" ref="C37:D39">LINEST(L13:L15,E13:E15,1,1)</f>
        <v>1.6576159984856811</v>
      </c>
      <c r="D37" s="198">
        <v>4.4705370384290894</v>
      </c>
      <c r="E37" s="17" t="s">
        <v>25</v>
      </c>
    </row>
    <row r="38" spans="2:5" ht="15.6" x14ac:dyDescent="0.3">
      <c r="B38" s="18" t="s">
        <v>23</v>
      </c>
      <c r="C38" s="195">
        <v>0.37430153942464128</v>
      </c>
      <c r="D38" s="199">
        <v>1.152214594551648</v>
      </c>
      <c r="E38" s="18" t="s">
        <v>26</v>
      </c>
    </row>
    <row r="39" spans="2:5" ht="16.8" thickBot="1" x14ac:dyDescent="0.35">
      <c r="B39" s="19" t="s">
        <v>24</v>
      </c>
      <c r="C39" s="130">
        <v>0.95148486420500722</v>
      </c>
      <c r="D39" s="105">
        <v>0.10474779707290688</v>
      </c>
      <c r="E39" s="19" t="s">
        <v>27</v>
      </c>
    </row>
    <row r="40" spans="2:5" ht="15" thickBot="1" x14ac:dyDescent="0.35"/>
    <row r="41" spans="2:5" x14ac:dyDescent="0.3">
      <c r="C41" s="154" t="s">
        <v>81</v>
      </c>
      <c r="D41" s="200">
        <f>2*D39</f>
        <v>0.20949559414581376</v>
      </c>
    </row>
    <row r="42" spans="2:5" ht="15" thickBot="1" x14ac:dyDescent="0.35">
      <c r="C42" s="156" t="s">
        <v>81</v>
      </c>
      <c r="D42" s="201">
        <f>-2*D39</f>
        <v>-0.20949559414581376</v>
      </c>
    </row>
    <row r="43" spans="2:5" ht="15" thickBot="1" x14ac:dyDescent="0.35"/>
    <row r="44" spans="2:5" ht="16.2" thickBot="1" x14ac:dyDescent="0.4">
      <c r="C44" s="322" t="s">
        <v>100</v>
      </c>
      <c r="D44" s="187">
        <f>ABS(C37-1)*100</f>
        <v>65.76159984856811</v>
      </c>
    </row>
    <row r="52" spans="2:5" ht="15" thickBot="1" x14ac:dyDescent="0.35"/>
    <row r="53" spans="2:5" ht="16.2" thickBot="1" x14ac:dyDescent="0.35">
      <c r="B53" s="338" t="s">
        <v>71</v>
      </c>
      <c r="C53" s="339"/>
      <c r="D53" s="339"/>
      <c r="E53" s="340"/>
    </row>
    <row r="54" spans="2:5" x14ac:dyDescent="0.3">
      <c r="B54" s="91" t="s">
        <v>22</v>
      </c>
      <c r="C54" s="196">
        <f t="array" ref="C54:D56">LINEST(R13:R15,D13:D15,1,1)</f>
        <v>504.2196848010903</v>
      </c>
      <c r="D54" s="103">
        <v>-0.18968717893117032</v>
      </c>
      <c r="E54" s="91" t="s">
        <v>25</v>
      </c>
    </row>
    <row r="55" spans="2:5" ht="15.6" x14ac:dyDescent="0.3">
      <c r="B55" s="92" t="s">
        <v>23</v>
      </c>
      <c r="C55" s="197">
        <v>128.21285334037219</v>
      </c>
      <c r="D55" s="104">
        <v>0.12289929127061576</v>
      </c>
      <c r="E55" s="92" t="s">
        <v>26</v>
      </c>
    </row>
    <row r="56" spans="2:5" ht="16.8" thickBot="1" x14ac:dyDescent="0.35">
      <c r="B56" s="93" t="s">
        <v>24</v>
      </c>
      <c r="C56" s="130">
        <v>0.93926859357945858</v>
      </c>
      <c r="D56" s="61">
        <v>7.1937715329875085E-2</v>
      </c>
      <c r="E56" s="93" t="s">
        <v>27</v>
      </c>
    </row>
    <row r="57" spans="2:5" ht="15" thickBot="1" x14ac:dyDescent="0.35"/>
    <row r="58" spans="2:5" x14ac:dyDescent="0.3">
      <c r="C58" s="158" t="s">
        <v>81</v>
      </c>
      <c r="D58" s="200">
        <f>2*D56</f>
        <v>0.14387543065975017</v>
      </c>
    </row>
    <row r="59" spans="2:5" ht="15" thickBot="1" x14ac:dyDescent="0.35">
      <c r="C59" s="159" t="s">
        <v>81</v>
      </c>
      <c r="D59" s="201">
        <f>-2*D56</f>
        <v>-0.14387543065975017</v>
      </c>
    </row>
    <row r="60" spans="2:5" ht="15" thickBot="1" x14ac:dyDescent="0.35"/>
    <row r="61" spans="2:5" ht="15.6" x14ac:dyDescent="0.35">
      <c r="C61" s="160" t="s">
        <v>45</v>
      </c>
      <c r="D61" s="202">
        <f>C54*C9/(C7*C3*F6*L6*COS(0))</f>
        <v>1.7742207998188503E-6</v>
      </c>
    </row>
    <row r="62" spans="2:5" ht="15.6" x14ac:dyDescent="0.35">
      <c r="C62" s="161" t="s">
        <v>46</v>
      </c>
      <c r="D62" s="180">
        <f>SQRT((C55*C9/(C7*C3*F6*L6))^2+(C9*C54*C8/(C7^2*C3*F6*L6))^2+(C9*C54*F7/(C7*C3*F6^2*L6))^2+(C9*C54*L7/(C7*C3*F6*L6^2))^2)</f>
        <v>4.511825444462644E-7</v>
      </c>
    </row>
    <row r="63" spans="2:5" ht="15.6" x14ac:dyDescent="0.35">
      <c r="C63" s="161" t="s">
        <v>47</v>
      </c>
      <c r="D63" s="206">
        <f>D62/D61*100</f>
        <v>25.429898268148506</v>
      </c>
    </row>
    <row r="64" spans="2:5" ht="16.2" thickBot="1" x14ac:dyDescent="0.4">
      <c r="C64" s="162" t="s">
        <v>48</v>
      </c>
      <c r="D64" s="186">
        <f>ABS(D61-Comparar!C3)/Comparar!C3*100</f>
        <v>41.188005213813071</v>
      </c>
    </row>
    <row r="68" spans="2:5" ht="15" thickBot="1" x14ac:dyDescent="0.35"/>
    <row r="69" spans="2:5" ht="16.2" thickBot="1" x14ac:dyDescent="0.35">
      <c r="B69" s="338" t="s">
        <v>72</v>
      </c>
      <c r="C69" s="339"/>
      <c r="D69" s="339"/>
      <c r="E69" s="340"/>
    </row>
    <row r="70" spans="2:5" x14ac:dyDescent="0.3">
      <c r="B70" s="91" t="s">
        <v>22</v>
      </c>
      <c r="C70" s="194">
        <f t="array" ref="C70:D72">LINEST(V13:V15,E13:E15,1,1)</f>
        <v>2.5913840126842036</v>
      </c>
      <c r="D70" s="198">
        <v>7.2233256323268238</v>
      </c>
      <c r="E70" s="91" t="s">
        <v>25</v>
      </c>
    </row>
    <row r="71" spans="2:5" ht="15.6" x14ac:dyDescent="0.3">
      <c r="B71" s="92" t="s">
        <v>23</v>
      </c>
      <c r="C71" s="195">
        <v>0.89249556687663834</v>
      </c>
      <c r="D71" s="199">
        <v>2.7473742675721691</v>
      </c>
      <c r="E71" s="92" t="s">
        <v>26</v>
      </c>
    </row>
    <row r="72" spans="2:5" ht="16.8" thickBot="1" x14ac:dyDescent="0.35">
      <c r="B72" s="93" t="s">
        <v>24</v>
      </c>
      <c r="C72" s="130">
        <v>0.89396066512788619</v>
      </c>
      <c r="D72" s="105">
        <v>0.24976371903617289</v>
      </c>
      <c r="E72" s="93" t="s">
        <v>27</v>
      </c>
    </row>
    <row r="73" spans="2:5" ht="15" thickBot="1" x14ac:dyDescent="0.35"/>
    <row r="74" spans="2:5" x14ac:dyDescent="0.3">
      <c r="C74" s="158" t="s">
        <v>81</v>
      </c>
      <c r="D74" s="200">
        <f>2*D72</f>
        <v>0.49952743807234579</v>
      </c>
    </row>
    <row r="75" spans="2:5" ht="15" thickBot="1" x14ac:dyDescent="0.35">
      <c r="C75" s="159" t="s">
        <v>81</v>
      </c>
      <c r="D75" s="201">
        <f>-2*D72</f>
        <v>-0.49952743807234579</v>
      </c>
    </row>
    <row r="76" spans="2:5" ht="15" thickBot="1" x14ac:dyDescent="0.35"/>
    <row r="77" spans="2:5" ht="16.2" thickBot="1" x14ac:dyDescent="0.4">
      <c r="C77" s="292" t="s">
        <v>100</v>
      </c>
      <c r="D77" s="318">
        <f>ABS(C70-1)*100</f>
        <v>159.13840126842035</v>
      </c>
    </row>
  </sheetData>
  <mergeCells count="6">
    <mergeCell ref="P11:Y11"/>
    <mergeCell ref="B69:E69"/>
    <mergeCell ref="H11:O11"/>
    <mergeCell ref="B19:E19"/>
    <mergeCell ref="B36:E36"/>
    <mergeCell ref="B53:E53"/>
  </mergeCells>
  <phoneticPr fontId="7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ABE7F-932C-4A7F-9091-88D6BBEDFFEA}">
  <sheetPr>
    <tabColor rgb="FF0070C0"/>
  </sheetPr>
  <dimension ref="B2:AA81"/>
  <sheetViews>
    <sheetView topLeftCell="A21" zoomScale="37" zoomScaleNormal="80" workbookViewId="0">
      <selection activeCell="D33" sqref="D33"/>
    </sheetView>
  </sheetViews>
  <sheetFormatPr defaultRowHeight="14.4" x14ac:dyDescent="0.3"/>
  <cols>
    <col min="1" max="1" width="8.88671875" style="139"/>
    <col min="2" max="2" width="8.77734375" style="139" customWidth="1"/>
    <col min="3" max="4" width="11.109375" style="139" customWidth="1"/>
    <col min="5" max="5" width="8.77734375" style="139" customWidth="1"/>
    <col min="6" max="6" width="10.21875" style="139" bestFit="1" customWidth="1"/>
    <col min="7" max="7" width="12.6640625" style="139" bestFit="1" customWidth="1"/>
    <col min="8" max="8" width="11.77734375" style="139" bestFit="1" customWidth="1"/>
    <col min="9" max="9" width="10.44140625" style="139" customWidth="1"/>
    <col min="10" max="10" width="9" style="139" bestFit="1" customWidth="1"/>
    <col min="11" max="11" width="10.33203125" style="139" bestFit="1" customWidth="1"/>
    <col min="12" max="12" width="10.5546875" style="139" bestFit="1" customWidth="1"/>
    <col min="13" max="13" width="12.6640625" style="139" bestFit="1" customWidth="1"/>
    <col min="14" max="14" width="9" style="139" bestFit="1" customWidth="1"/>
    <col min="15" max="15" width="10.88671875" style="139" bestFit="1" customWidth="1"/>
    <col min="16" max="16" width="11.44140625" style="139" bestFit="1" customWidth="1"/>
    <col min="17" max="17" width="10.21875" style="139" bestFit="1" customWidth="1"/>
    <col min="18" max="19" width="9" style="139" bestFit="1" customWidth="1"/>
    <col min="20" max="20" width="10.6640625" style="139" bestFit="1" customWidth="1"/>
    <col min="21" max="22" width="10.21875" style="139" bestFit="1" customWidth="1"/>
    <col min="23" max="23" width="10" style="139" bestFit="1" customWidth="1"/>
    <col min="24" max="25" width="10.88671875" style="139" bestFit="1" customWidth="1"/>
    <col min="26" max="26" width="11.77734375" style="139" bestFit="1" customWidth="1"/>
    <col min="27" max="27" width="10" style="139" bestFit="1" customWidth="1"/>
    <col min="28" max="16384" width="8.88671875" style="139"/>
  </cols>
  <sheetData>
    <row r="2" spans="2:27" ht="15" thickBot="1" x14ac:dyDescent="0.35">
      <c r="B2" s="138" t="s">
        <v>55</v>
      </c>
    </row>
    <row r="3" spans="2:27" ht="15.6" x14ac:dyDescent="0.35">
      <c r="B3" s="140" t="s">
        <v>6</v>
      </c>
      <c r="C3" s="142">
        <v>100</v>
      </c>
      <c r="E3" s="140" t="s">
        <v>0</v>
      </c>
      <c r="F3" s="142">
        <v>1000</v>
      </c>
      <c r="H3" s="140" t="s">
        <v>39</v>
      </c>
      <c r="I3" s="142">
        <v>1E-4</v>
      </c>
      <c r="K3" s="140" t="s">
        <v>33</v>
      </c>
      <c r="L3" s="142">
        <v>1E-4</v>
      </c>
    </row>
    <row r="4" spans="2:27" ht="16.2" thickBot="1" x14ac:dyDescent="0.4">
      <c r="B4" s="163" t="s">
        <v>38</v>
      </c>
      <c r="C4" s="164">
        <v>2.5999999999999999E-2</v>
      </c>
      <c r="E4" s="143" t="s">
        <v>3</v>
      </c>
      <c r="F4" s="144">
        <v>1</v>
      </c>
      <c r="H4" s="143" t="s">
        <v>41</v>
      </c>
      <c r="I4" s="145">
        <f>SQRT(2)*I3</f>
        <v>1.4142135623730951E-4</v>
      </c>
      <c r="K4" s="143" t="s">
        <v>85</v>
      </c>
      <c r="L4" s="145">
        <f>SQRT(2)*L3</f>
        <v>1.4142135623730951E-4</v>
      </c>
    </row>
    <row r="5" spans="2:27" ht="16.8" thickBot="1" x14ac:dyDescent="0.35">
      <c r="B5" s="143" t="s">
        <v>42</v>
      </c>
      <c r="C5" s="165">
        <f>PI()*C4^2/4</f>
        <v>5.3092915845667494E-4</v>
      </c>
    </row>
    <row r="6" spans="2:27" ht="15.6" x14ac:dyDescent="0.35">
      <c r="E6" s="140" t="s">
        <v>1</v>
      </c>
      <c r="F6" s="184">
        <f>2*PI()*F3</f>
        <v>6283.1853071795858</v>
      </c>
      <c r="H6"/>
      <c r="I6"/>
      <c r="K6" s="140" t="s">
        <v>43</v>
      </c>
      <c r="L6" s="313">
        <f>AVERAGE(I13:I19)</f>
        <v>0.50711678041610087</v>
      </c>
    </row>
    <row r="7" spans="2:27" ht="16.2" thickBot="1" x14ac:dyDescent="0.4">
      <c r="B7" s="138" t="s">
        <v>10</v>
      </c>
      <c r="E7" s="143" t="s">
        <v>2</v>
      </c>
      <c r="F7" s="185">
        <f>2*PI()*F4</f>
        <v>6.2831853071795862</v>
      </c>
      <c r="H7"/>
      <c r="I7"/>
      <c r="K7" s="143" t="s">
        <v>44</v>
      </c>
      <c r="L7" s="174">
        <f>ABS(L6-MAX(I13:I19))</f>
        <v>1.2929952570268632E-3</v>
      </c>
    </row>
    <row r="8" spans="2:27" ht="15" thickBot="1" x14ac:dyDescent="0.35">
      <c r="B8" s="140" t="s">
        <v>11</v>
      </c>
      <c r="C8" s="171">
        <v>361</v>
      </c>
    </row>
    <row r="9" spans="2:27" ht="15" thickBot="1" x14ac:dyDescent="0.35">
      <c r="B9" s="172" t="s">
        <v>82</v>
      </c>
      <c r="C9" s="173">
        <v>1</v>
      </c>
      <c r="E9" s="30" t="s">
        <v>78</v>
      </c>
      <c r="F9" s="187">
        <f>7.5*PI()/180</f>
        <v>0.1308996938995747</v>
      </c>
    </row>
    <row r="10" spans="2:27" ht="15" thickBot="1" x14ac:dyDescent="0.35">
      <c r="B10" s="143" t="s">
        <v>97</v>
      </c>
      <c r="C10" s="186">
        <v>0.75</v>
      </c>
    </row>
    <row r="11" spans="2:27" ht="15.6" thickTop="1" thickBot="1" x14ac:dyDescent="0.35">
      <c r="B11" s="1"/>
      <c r="C11" s="1"/>
      <c r="D11" s="1"/>
      <c r="E11" s="1"/>
      <c r="F11" s="1"/>
      <c r="J11" s="323" t="s">
        <v>13</v>
      </c>
      <c r="K11" s="324"/>
      <c r="L11" s="324"/>
      <c r="M11" s="324"/>
      <c r="N11" s="324"/>
      <c r="O11" s="324"/>
      <c r="P11" s="324"/>
      <c r="Q11" s="325"/>
      <c r="R11" s="332" t="s">
        <v>12</v>
      </c>
      <c r="S11" s="333"/>
      <c r="T11" s="333"/>
      <c r="U11" s="333"/>
      <c r="V11" s="333"/>
      <c r="W11" s="333"/>
      <c r="X11" s="333"/>
      <c r="Y11" s="333"/>
      <c r="Z11" s="333"/>
      <c r="AA11" s="334"/>
    </row>
    <row r="12" spans="2:27" ht="16.8" thickTop="1" thickBot="1" x14ac:dyDescent="0.35">
      <c r="B12" s="2" t="s">
        <v>9</v>
      </c>
      <c r="C12" s="3" t="s">
        <v>56</v>
      </c>
      <c r="D12" s="3" t="s">
        <v>57</v>
      </c>
      <c r="E12" s="3" t="s">
        <v>58</v>
      </c>
      <c r="F12" s="3" t="s">
        <v>59</v>
      </c>
      <c r="G12" s="3" t="s">
        <v>60</v>
      </c>
      <c r="H12" s="3" t="s">
        <v>21</v>
      </c>
      <c r="I12" s="4" t="s">
        <v>4</v>
      </c>
      <c r="J12" s="21" t="s">
        <v>16</v>
      </c>
      <c r="K12" s="22" t="s">
        <v>15</v>
      </c>
      <c r="L12" s="22" t="s">
        <v>19</v>
      </c>
      <c r="M12" s="22" t="s">
        <v>17</v>
      </c>
      <c r="N12" s="22" t="s">
        <v>18</v>
      </c>
      <c r="O12" s="22" t="s">
        <v>36</v>
      </c>
      <c r="P12" s="22" t="s">
        <v>20</v>
      </c>
      <c r="Q12" s="23" t="s">
        <v>17</v>
      </c>
      <c r="R12" s="278" t="s">
        <v>77</v>
      </c>
      <c r="S12" s="95" t="s">
        <v>40</v>
      </c>
      <c r="T12" s="89" t="s">
        <v>15</v>
      </c>
      <c r="U12" s="89" t="s">
        <v>80</v>
      </c>
      <c r="V12" s="89" t="s">
        <v>19</v>
      </c>
      <c r="W12" s="89" t="s">
        <v>17</v>
      </c>
      <c r="X12" s="89" t="s">
        <v>18</v>
      </c>
      <c r="Y12" s="89" t="s">
        <v>36</v>
      </c>
      <c r="Z12" s="89" t="s">
        <v>20</v>
      </c>
      <c r="AA12" s="90" t="s">
        <v>17</v>
      </c>
    </row>
    <row r="13" spans="2:27" x14ac:dyDescent="0.3">
      <c r="B13" s="8">
        <v>0</v>
      </c>
      <c r="C13" s="38">
        <f>2*PI()*B13</f>
        <v>0</v>
      </c>
      <c r="D13" s="38">
        <f>COS(C13)</f>
        <v>1</v>
      </c>
      <c r="E13" s="38">
        <f>F9</f>
        <v>0.1308996938995747</v>
      </c>
      <c r="F13" s="35">
        <f>LOG(D13)</f>
        <v>0</v>
      </c>
      <c r="G13" s="35">
        <f>E13/(LN(10)*D13)</f>
        <v>5.6849014743410045E-2</v>
      </c>
      <c r="H13" s="9">
        <v>0.35859999999999997</v>
      </c>
      <c r="I13" s="80">
        <f>H13*SQRT(2)</f>
        <v>0.50713698346699188</v>
      </c>
      <c r="J13" s="8">
        <v>6.13E-2</v>
      </c>
      <c r="K13" s="69">
        <f>J13*SQRT(2)</f>
        <v>8.669129137347073E-2</v>
      </c>
      <c r="L13" s="69">
        <f>C$24*D13+D$24</f>
        <v>8.5938522458921474E-2</v>
      </c>
      <c r="M13" s="69">
        <f>K13-L13</f>
        <v>7.5276891454925665E-4</v>
      </c>
      <c r="N13" s="69">
        <f>LOG10(K13)</f>
        <v>-1.0620245276495943</v>
      </c>
      <c r="O13" s="66">
        <f>I$4/(LN(10)*K13)</f>
        <v>7.08473869336463E-4</v>
      </c>
      <c r="P13" s="70">
        <f>C$41*F13+D$41</f>
        <v>-1.067896154842191</v>
      </c>
      <c r="Q13" s="85">
        <f t="shared" ref="Q13:Q18" si="0">N13-P13</f>
        <v>5.8716271925967067E-3</v>
      </c>
      <c r="R13" s="127">
        <v>0.17499999999999999</v>
      </c>
      <c r="S13" s="279">
        <v>1E-3</v>
      </c>
      <c r="T13" s="69">
        <f>R13/2</f>
        <v>8.7499999999999994E-2</v>
      </c>
      <c r="U13" s="69">
        <f>S13/2</f>
        <v>5.0000000000000001E-4</v>
      </c>
      <c r="V13" s="69">
        <f t="shared" ref="V13:V19" si="1">C$58*D13+D$58</f>
        <v>8.6572969579554904E-2</v>
      </c>
      <c r="W13" s="69">
        <f t="shared" ref="W13:W19" si="2">T13-V13</f>
        <v>9.2703042044509076E-4</v>
      </c>
      <c r="X13" s="69">
        <f t="shared" ref="X13:X18" si="3">LOG(T13)</f>
        <v>-1.0579919469776868</v>
      </c>
      <c r="Y13" s="66">
        <f>U13/(LN(10)*T13)</f>
        <v>2.4816827537328676E-3</v>
      </c>
      <c r="Z13" s="70">
        <f t="shared" ref="Z13:Z18" si="4">C$74*F13+D$74</f>
        <v>-1.0615605410840663</v>
      </c>
      <c r="AA13" s="85">
        <f t="shared" ref="AA13:AA18" si="5">X13-Z13</f>
        <v>3.5685941063794413E-3</v>
      </c>
    </row>
    <row r="14" spans="2:27" x14ac:dyDescent="0.3">
      <c r="B14" s="11">
        <v>15</v>
      </c>
      <c r="C14" s="39">
        <f>2*PI()*B14/360</f>
        <v>0.26179938779914941</v>
      </c>
      <c r="D14" s="39">
        <f t="shared" ref="D14:D19" si="6">COS(C14)</f>
        <v>0.96592582628906831</v>
      </c>
      <c r="E14" s="39">
        <f>F9</f>
        <v>0.1308996938995747</v>
      </c>
      <c r="F14" s="36">
        <f t="shared" ref="F14:F18" si="7">LOG(D14)</f>
        <v>-1.5056221897301486E-2</v>
      </c>
      <c r="G14" s="36">
        <f t="shared" ref="G14:G18" si="8">E14/(LN(10)*D14)</f>
        <v>5.8854430843634051E-2</v>
      </c>
      <c r="H14" s="12">
        <v>0.35880000000000001</v>
      </c>
      <c r="I14" s="81">
        <f t="shared" ref="I14:I19" si="9">H14*SQRT(2)</f>
        <v>0.50741982617946657</v>
      </c>
      <c r="J14" s="11">
        <v>5.8700000000000002E-2</v>
      </c>
      <c r="K14" s="33">
        <f t="shared" ref="K14:K19" si="10">J14*SQRT(2)</f>
        <v>8.3014336111300685E-2</v>
      </c>
      <c r="L14" s="33">
        <f t="shared" ref="L14:L19" si="11">C$24*D14+D$24</f>
        <v>8.3000034819202817E-2</v>
      </c>
      <c r="M14" s="33">
        <f t="shared" ref="M14:M19" si="12">K14-L14</f>
        <v>1.4301292097868012E-5</v>
      </c>
      <c r="N14" s="33">
        <f t="shared" ref="N14:N18" si="13">LOG10(K14)</f>
        <v>-1.0808469009203949</v>
      </c>
      <c r="O14" s="83">
        <f t="shared" ref="O14:O18" si="14">I$4/(LN(10)*K14)</f>
        <v>7.3985431329344432E-4</v>
      </c>
      <c r="P14" s="64">
        <f t="shared" ref="P14:P18" si="15">C$41*F14+D$41</f>
        <v>-1.0828717678392188</v>
      </c>
      <c r="Q14" s="86">
        <f t="shared" si="0"/>
        <v>2.0248669188238644E-3</v>
      </c>
      <c r="R14" s="31">
        <v>0.16800000000000001</v>
      </c>
      <c r="S14" s="280">
        <v>1E-3</v>
      </c>
      <c r="T14" s="33">
        <f t="shared" ref="T14:T19" si="16">R14/2</f>
        <v>8.4000000000000005E-2</v>
      </c>
      <c r="U14" s="33">
        <f t="shared" ref="U14:U19" si="17">S14/2</f>
        <v>5.0000000000000001E-4</v>
      </c>
      <c r="V14" s="33">
        <f t="shared" si="1"/>
        <v>8.3701502560521168E-2</v>
      </c>
      <c r="W14" s="33">
        <f t="shared" si="2"/>
        <v>2.98497439478837E-4</v>
      </c>
      <c r="X14" s="33">
        <f t="shared" si="3"/>
        <v>-1.0757207139381184</v>
      </c>
      <c r="Y14" s="83">
        <f t="shared" ref="Y14:Y18" si="18">U14/(LN(10)*T14)</f>
        <v>2.5850862018050699E-3</v>
      </c>
      <c r="Z14" s="64">
        <f t="shared" si="4"/>
        <v>-1.0764963637233402</v>
      </c>
      <c r="AA14" s="86">
        <f t="shared" si="5"/>
        <v>7.7564978522182138E-4</v>
      </c>
    </row>
    <row r="15" spans="2:27" x14ac:dyDescent="0.3">
      <c r="B15" s="11">
        <v>30</v>
      </c>
      <c r="C15" s="39">
        <f t="shared" ref="C15:C19" si="19">2*PI()*B15/360</f>
        <v>0.52359877559829882</v>
      </c>
      <c r="D15" s="39">
        <f t="shared" si="6"/>
        <v>0.86602540378443871</v>
      </c>
      <c r="E15" s="39">
        <f>F9</f>
        <v>0.1308996938995747</v>
      </c>
      <c r="F15" s="36">
        <f t="shared" si="7"/>
        <v>-6.2469368304149946E-2</v>
      </c>
      <c r="G15" s="36">
        <f t="shared" si="8"/>
        <v>6.5643587930545588E-2</v>
      </c>
      <c r="H15" s="12">
        <v>0.35880000000000001</v>
      </c>
      <c r="I15" s="81">
        <f t="shared" si="9"/>
        <v>0.50741982617946657</v>
      </c>
      <c r="J15" s="11">
        <v>5.2499999999999998E-2</v>
      </c>
      <c r="K15" s="33">
        <f t="shared" si="10"/>
        <v>7.4246212024587491E-2</v>
      </c>
      <c r="L15" s="33">
        <f t="shared" si="11"/>
        <v>7.4384824976613168E-2</v>
      </c>
      <c r="M15" s="33">
        <f t="shared" si="12"/>
        <v>-1.3861295202567681E-4</v>
      </c>
      <c r="N15" s="33">
        <f t="shared" si="13"/>
        <v>-1.1293256987620526</v>
      </c>
      <c r="O15" s="83">
        <f t="shared" si="14"/>
        <v>8.2722758457762246E-4</v>
      </c>
      <c r="P15" s="64">
        <f t="shared" si="15"/>
        <v>-1.1300310709103056</v>
      </c>
      <c r="Q15" s="86">
        <f t="shared" si="0"/>
        <v>7.0537214825305838E-4</v>
      </c>
      <c r="R15" s="31">
        <v>0.151</v>
      </c>
      <c r="S15" s="280">
        <v>1E-3</v>
      </c>
      <c r="T15" s="33">
        <f t="shared" si="16"/>
        <v>7.5499999999999998E-2</v>
      </c>
      <c r="U15" s="33">
        <f t="shared" si="17"/>
        <v>5.0000000000000001E-4</v>
      </c>
      <c r="V15" s="33">
        <f t="shared" si="1"/>
        <v>7.528278723544346E-2</v>
      </c>
      <c r="W15" s="33">
        <f t="shared" si="2"/>
        <v>2.1721276455653749E-4</v>
      </c>
      <c r="X15" s="33">
        <f t="shared" si="3"/>
        <v>-1.1220530483708118</v>
      </c>
      <c r="Y15" s="83">
        <f t="shared" si="18"/>
        <v>2.8761223967102767E-3</v>
      </c>
      <c r="Z15" s="64">
        <f t="shared" si="4"/>
        <v>-1.1235303640411451</v>
      </c>
      <c r="AA15" s="86">
        <f t="shared" si="5"/>
        <v>1.477315670333379E-3</v>
      </c>
    </row>
    <row r="16" spans="2:27" x14ac:dyDescent="0.3">
      <c r="B16" s="11">
        <v>45</v>
      </c>
      <c r="C16" s="39">
        <f t="shared" si="19"/>
        <v>0.78539816339744828</v>
      </c>
      <c r="D16" s="39">
        <f t="shared" si="6"/>
        <v>0.70710678118654757</v>
      </c>
      <c r="E16" s="39">
        <f t="shared" ref="E16:E19" si="20">SIN(C16*F$9)</f>
        <v>0.10262736826096429</v>
      </c>
      <c r="F16" s="36">
        <f t="shared" si="7"/>
        <v>-0.15051499783199057</v>
      </c>
      <c r="G16" s="36">
        <f t="shared" si="8"/>
        <v>6.3032205197069396E-2</v>
      </c>
      <c r="H16" s="12">
        <v>0.35859999999999997</v>
      </c>
      <c r="I16" s="81">
        <f t="shared" si="9"/>
        <v>0.50713698346699188</v>
      </c>
      <c r="J16" s="11">
        <v>4.2900000000000001E-2</v>
      </c>
      <c r="K16" s="33">
        <f t="shared" si="10"/>
        <v>6.0669761825805781E-2</v>
      </c>
      <c r="L16" s="33">
        <f t="shared" si="11"/>
        <v>6.0680005244617648E-2</v>
      </c>
      <c r="M16" s="33">
        <f t="shared" si="12"/>
        <v>-1.0243418811867189E-5</v>
      </c>
      <c r="N16" s="64">
        <f t="shared" si="13"/>
        <v>-1.2170277099832851</v>
      </c>
      <c r="O16" s="83">
        <f t="shared" si="14"/>
        <v>1.0123414496579295E-3</v>
      </c>
      <c r="P16" s="64">
        <f t="shared" si="15"/>
        <v>-1.2176053164868095</v>
      </c>
      <c r="Q16" s="86">
        <f t="shared" si="0"/>
        <v>5.7760650352434162E-4</v>
      </c>
      <c r="R16" s="31">
        <v>0.124</v>
      </c>
      <c r="S16" s="280">
        <v>1E-3</v>
      </c>
      <c r="T16" s="33">
        <f t="shared" si="16"/>
        <v>6.2E-2</v>
      </c>
      <c r="U16" s="33">
        <f t="shared" si="17"/>
        <v>5.0000000000000001E-4</v>
      </c>
      <c r="V16" s="33">
        <f t="shared" si="1"/>
        <v>6.1890545141140924E-2</v>
      </c>
      <c r="W16" s="33">
        <f t="shared" si="2"/>
        <v>1.0945485885907602E-4</v>
      </c>
      <c r="X16" s="33">
        <f t="shared" si="3"/>
        <v>-1.2076083105017461</v>
      </c>
      <c r="Y16" s="83">
        <f t="shared" si="18"/>
        <v>3.5023748540584819E-3</v>
      </c>
      <c r="Z16" s="64">
        <f t="shared" si="4"/>
        <v>-1.210871923946472</v>
      </c>
      <c r="AA16" s="86">
        <f t="shared" si="5"/>
        <v>3.2636134447259213E-3</v>
      </c>
    </row>
    <row r="17" spans="2:27" x14ac:dyDescent="0.3">
      <c r="B17" s="11">
        <v>60</v>
      </c>
      <c r="C17" s="39">
        <f t="shared" si="19"/>
        <v>1.0471975511965976</v>
      </c>
      <c r="D17" s="39">
        <f t="shared" si="6"/>
        <v>0.50000000000000011</v>
      </c>
      <c r="E17" s="39">
        <f t="shared" si="20"/>
        <v>0.13664895232084837</v>
      </c>
      <c r="F17" s="39">
        <f t="shared" si="7"/>
        <v>-0.30102999566398109</v>
      </c>
      <c r="G17" s="39">
        <f t="shared" si="8"/>
        <v>0.11869177190160997</v>
      </c>
      <c r="H17" s="12">
        <v>0.3579</v>
      </c>
      <c r="I17" s="81">
        <f t="shared" si="9"/>
        <v>0.50614703397333072</v>
      </c>
      <c r="J17" s="11">
        <v>2.9100000000000001E-2</v>
      </c>
      <c r="K17" s="33">
        <f t="shared" si="10"/>
        <v>4.115361466505707E-2</v>
      </c>
      <c r="L17" s="33">
        <f t="shared" si="11"/>
        <v>4.281953643966626E-2</v>
      </c>
      <c r="M17" s="33">
        <f t="shared" si="12"/>
        <v>-1.6659217746091901E-3</v>
      </c>
      <c r="N17" s="64">
        <f t="shared" si="13"/>
        <v>-1.385592013182102</v>
      </c>
      <c r="O17" s="83">
        <f t="shared" si="14"/>
        <v>1.4924209000111745E-3</v>
      </c>
      <c r="P17" s="64">
        <f t="shared" si="15"/>
        <v>-1.3673144781314277</v>
      </c>
      <c r="Q17" s="86">
        <f t="shared" si="0"/>
        <v>-1.827753505067431E-2</v>
      </c>
      <c r="R17" s="32">
        <v>8.4000000000000005E-2</v>
      </c>
      <c r="S17" s="281">
        <v>1E-4</v>
      </c>
      <c r="T17" s="62">
        <f t="shared" si="16"/>
        <v>4.2000000000000003E-2</v>
      </c>
      <c r="U17" s="62">
        <f t="shared" si="17"/>
        <v>5.0000000000000002E-5</v>
      </c>
      <c r="V17" s="33">
        <f t="shared" si="1"/>
        <v>4.4437435444613829E-2</v>
      </c>
      <c r="W17" s="33">
        <f t="shared" si="2"/>
        <v>-2.4374354446138266E-3</v>
      </c>
      <c r="X17" s="62">
        <f t="shared" si="3"/>
        <v>-1.3767507096020994</v>
      </c>
      <c r="Y17" s="83">
        <f t="shared" si="18"/>
        <v>5.1701724036101401E-4</v>
      </c>
      <c r="Z17" s="64">
        <f t="shared" si="4"/>
        <v>-1.3601833068088778</v>
      </c>
      <c r="AA17" s="86">
        <f t="shared" si="5"/>
        <v>-1.6567402793221664E-2</v>
      </c>
    </row>
    <row r="18" spans="2:27" x14ac:dyDescent="0.3">
      <c r="B18" s="11">
        <v>75</v>
      </c>
      <c r="C18" s="39">
        <f t="shared" si="19"/>
        <v>1.3089969389957472</v>
      </c>
      <c r="D18" s="39">
        <f t="shared" si="6"/>
        <v>0.25881904510252074</v>
      </c>
      <c r="E18" s="39">
        <f t="shared" si="20"/>
        <v>0.17051007212046823</v>
      </c>
      <c r="F18" s="39">
        <f t="shared" si="7"/>
        <v>-0.5870037694306609</v>
      </c>
      <c r="G18" s="39">
        <f t="shared" si="8"/>
        <v>0.28611334765381075</v>
      </c>
      <c r="H18" s="12">
        <v>0.3579</v>
      </c>
      <c r="I18" s="81">
        <f t="shared" si="9"/>
        <v>0.50614703397333072</v>
      </c>
      <c r="J18" s="11">
        <v>1.61E-2</v>
      </c>
      <c r="K18" s="33">
        <f t="shared" si="10"/>
        <v>2.276883835420683E-2</v>
      </c>
      <c r="L18" s="33">
        <f t="shared" si="11"/>
        <v>2.2020579994996185E-2</v>
      </c>
      <c r="M18" s="33">
        <f t="shared" si="12"/>
        <v>7.4825835921064551E-4</v>
      </c>
      <c r="N18" s="64">
        <f t="shared" si="13"/>
        <v>-1.6426591261361596</v>
      </c>
      <c r="O18" s="83">
        <f t="shared" si="14"/>
        <v>2.6974812540574646E-3</v>
      </c>
      <c r="P18" s="64">
        <f t="shared" si="15"/>
        <v>-1.6517571884236371</v>
      </c>
      <c r="Q18" s="86">
        <f t="shared" si="0"/>
        <v>9.0980622874774486E-3</v>
      </c>
      <c r="R18" s="32">
        <v>4.6199999999999998E-2</v>
      </c>
      <c r="S18" s="281">
        <v>1E-4</v>
      </c>
      <c r="T18" s="62">
        <f t="shared" si="16"/>
        <v>2.3099999999999999E-2</v>
      </c>
      <c r="U18" s="62">
        <f t="shared" si="17"/>
        <v>5.0000000000000002E-5</v>
      </c>
      <c r="V18" s="33">
        <f t="shared" si="1"/>
        <v>2.4112858729052972E-2</v>
      </c>
      <c r="W18" s="33">
        <f t="shared" si="2"/>
        <v>-1.0128587290529727E-3</v>
      </c>
      <c r="X18" s="62">
        <f t="shared" si="3"/>
        <v>-1.6363880201078558</v>
      </c>
      <c r="Y18" s="83">
        <f t="shared" si="18"/>
        <v>9.4003134611093464E-4</v>
      </c>
      <c r="Z18" s="64">
        <f t="shared" si="4"/>
        <v>-1.6438702498944155</v>
      </c>
      <c r="AA18" s="86">
        <f t="shared" si="5"/>
        <v>7.4822297865597687E-3</v>
      </c>
    </row>
    <row r="19" spans="2:27" ht="15" thickBot="1" x14ac:dyDescent="0.35">
      <c r="B19" s="14">
        <v>90</v>
      </c>
      <c r="C19" s="40">
        <f t="shared" si="19"/>
        <v>1.5707963267948966</v>
      </c>
      <c r="D19" s="68">
        <f t="shared" si="6"/>
        <v>6.1257422745431001E-17</v>
      </c>
      <c r="E19" s="40">
        <f t="shared" si="20"/>
        <v>0.20417096519221559</v>
      </c>
      <c r="F19" s="45"/>
      <c r="G19" s="45"/>
      <c r="H19" s="15">
        <v>0.35949999999999999</v>
      </c>
      <c r="I19" s="82">
        <f t="shared" si="9"/>
        <v>0.50840977567312773</v>
      </c>
      <c r="J19" s="73">
        <v>0</v>
      </c>
      <c r="K19" s="34">
        <f t="shared" si="10"/>
        <v>0</v>
      </c>
      <c r="L19" s="34">
        <f t="shared" si="11"/>
        <v>-2.9944957958896902E-4</v>
      </c>
      <c r="M19" s="34">
        <f t="shared" si="12"/>
        <v>2.9944957958896902E-4</v>
      </c>
      <c r="N19" s="45"/>
      <c r="O19" s="45"/>
      <c r="P19" s="45"/>
      <c r="Q19" s="46"/>
      <c r="R19" s="73">
        <v>8.3999999999999995E-3</v>
      </c>
      <c r="S19" s="282">
        <v>1E-4</v>
      </c>
      <c r="T19" s="63">
        <f t="shared" si="16"/>
        <v>4.1999999999999997E-3</v>
      </c>
      <c r="U19" s="63">
        <f t="shared" si="17"/>
        <v>5.0000000000000002E-5</v>
      </c>
      <c r="V19" s="34">
        <f t="shared" si="1"/>
        <v>2.3019013096727391E-3</v>
      </c>
      <c r="W19" s="34">
        <f t="shared" si="2"/>
        <v>1.8980986903272606E-3</v>
      </c>
      <c r="X19" s="45"/>
      <c r="Y19" s="45"/>
      <c r="Z19" s="45"/>
      <c r="AA19" s="46"/>
    </row>
    <row r="20" spans="2:27" ht="15" thickTop="1" x14ac:dyDescent="0.3"/>
    <row r="22" spans="2:27" ht="15" thickBot="1" x14ac:dyDescent="0.35"/>
    <row r="23" spans="2:27" ht="16.2" thickBot="1" x14ac:dyDescent="0.35">
      <c r="B23" s="326" t="s">
        <v>73</v>
      </c>
      <c r="C23" s="327"/>
      <c r="D23" s="327"/>
      <c r="E23" s="328"/>
    </row>
    <row r="24" spans="2:27" x14ac:dyDescent="0.3">
      <c r="B24" s="17" t="s">
        <v>22</v>
      </c>
      <c r="C24" s="50">
        <f t="array" ref="C24:D26">LINEST(K13:K19,D13:D19,1,1)</f>
        <v>8.6237972038510455E-2</v>
      </c>
      <c r="D24" s="53">
        <v>-2.9944957958897428E-4</v>
      </c>
      <c r="E24" s="17" t="s">
        <v>25</v>
      </c>
    </row>
    <row r="25" spans="2:27" ht="15.6" x14ac:dyDescent="0.3">
      <c r="B25" s="18" t="s">
        <v>23</v>
      </c>
      <c r="C25" s="49">
        <v>9.651543827869732E-4</v>
      </c>
      <c r="D25" s="51">
        <v>6.8246720896058567E-4</v>
      </c>
      <c r="E25" s="18" t="s">
        <v>26</v>
      </c>
    </row>
    <row r="26" spans="2:27" ht="16.8" thickBot="1" x14ac:dyDescent="0.35">
      <c r="B26" s="19" t="s">
        <v>24</v>
      </c>
      <c r="C26" s="48">
        <v>0.99937411491141592</v>
      </c>
      <c r="D26" s="59">
        <v>8.9566065289563767E-4</v>
      </c>
      <c r="E26" s="19" t="s">
        <v>27</v>
      </c>
    </row>
    <row r="27" spans="2:27" ht="15" thickBot="1" x14ac:dyDescent="0.35"/>
    <row r="28" spans="2:27" x14ac:dyDescent="0.3">
      <c r="C28" s="154" t="s">
        <v>81</v>
      </c>
      <c r="D28" s="155">
        <f>2*D26</f>
        <v>1.7913213057912753E-3</v>
      </c>
    </row>
    <row r="29" spans="2:27" ht="15" thickBot="1" x14ac:dyDescent="0.35">
      <c r="C29" s="156" t="s">
        <v>81</v>
      </c>
      <c r="D29" s="157">
        <f>-2*D26</f>
        <v>-1.7913213057912753E-3</v>
      </c>
    </row>
    <row r="30" spans="2:27" ht="15" thickBot="1" x14ac:dyDescent="0.35"/>
    <row r="31" spans="2:27" ht="16.8" x14ac:dyDescent="0.35">
      <c r="C31" s="151" t="s">
        <v>98</v>
      </c>
      <c r="D31" s="183">
        <f>C24*C10/(C8*C3*C5*F6*L6)</f>
        <v>1.0590785433711926E-6</v>
      </c>
    </row>
    <row r="32" spans="2:27" ht="16.8" x14ac:dyDescent="0.35">
      <c r="C32" s="152" t="s">
        <v>99</v>
      </c>
      <c r="D32" s="180">
        <f>SQRT((C10*C25/(C8*C3*C5*F6*L6))^2+(C24*C10*C9/(C8^2*C3*C5*F6*L6))^2+(C10*C24*F7/(C8*C3*C5*F6^2*L6))^2+(C24*C10*L4/(C8*C3*C5*F6*L6^2))^2)</f>
        <v>1.2260019836270197E-8</v>
      </c>
    </row>
    <row r="33" spans="2:5" ht="15.6" x14ac:dyDescent="0.35">
      <c r="C33" s="152" t="s">
        <v>47</v>
      </c>
      <c r="D33" s="206">
        <f>D32/D31*100</f>
        <v>1.1576119555066111</v>
      </c>
    </row>
    <row r="34" spans="2:5" ht="16.2" thickBot="1" x14ac:dyDescent="0.4">
      <c r="C34" s="153" t="s">
        <v>48</v>
      </c>
      <c r="D34" s="186">
        <f>ABS(D31-Comparar!C3)/Comparar!C3*100</f>
        <v>15.721207349955213</v>
      </c>
    </row>
    <row r="39" spans="2:5" ht="15" thickBot="1" x14ac:dyDescent="0.35"/>
    <row r="40" spans="2:5" ht="16.2" thickBot="1" x14ac:dyDescent="0.35">
      <c r="B40" s="326" t="s">
        <v>74</v>
      </c>
      <c r="C40" s="327"/>
      <c r="D40" s="327"/>
      <c r="E40" s="328"/>
    </row>
    <row r="41" spans="2:5" x14ac:dyDescent="0.3">
      <c r="B41" s="17" t="s">
        <v>22</v>
      </c>
      <c r="C41" s="56">
        <f t="array" ref="C41:D43">LINEST(N13:N18,F13:F18,1,1)</f>
        <v>0.994646140258583</v>
      </c>
      <c r="D41" s="58">
        <v>-1.067896154842191</v>
      </c>
      <c r="E41" s="17" t="s">
        <v>25</v>
      </c>
    </row>
    <row r="42" spans="2:5" ht="15.6" x14ac:dyDescent="0.3">
      <c r="B42" s="18" t="s">
        <v>23</v>
      </c>
      <c r="C42" s="55">
        <v>2.1175629724421496E-2</v>
      </c>
      <c r="D42" s="52">
        <v>5.8758484433556355E-3</v>
      </c>
      <c r="E42" s="18" t="s">
        <v>26</v>
      </c>
    </row>
    <row r="43" spans="2:5" ht="16.8" thickBot="1" x14ac:dyDescent="0.35">
      <c r="B43" s="19" t="s">
        <v>24</v>
      </c>
      <c r="C43" s="54">
        <v>0.99819029078489441</v>
      </c>
      <c r="D43" s="61">
        <v>1.0680008145873256E-2</v>
      </c>
      <c r="E43" s="19" t="s">
        <v>27</v>
      </c>
    </row>
    <row r="44" spans="2:5" ht="15" thickBot="1" x14ac:dyDescent="0.35"/>
    <row r="45" spans="2:5" x14ac:dyDescent="0.3">
      <c r="C45" s="154" t="s">
        <v>81</v>
      </c>
      <c r="D45" s="178">
        <f>2*D43</f>
        <v>2.1360016291746511E-2</v>
      </c>
    </row>
    <row r="46" spans="2:5" ht="15" thickBot="1" x14ac:dyDescent="0.35">
      <c r="C46" s="156" t="s">
        <v>81</v>
      </c>
      <c r="D46" s="179">
        <f>-2*D43</f>
        <v>-2.1360016291746511E-2</v>
      </c>
    </row>
    <row r="47" spans="2:5" ht="15" thickBot="1" x14ac:dyDescent="0.35">
      <c r="D47" s="207"/>
    </row>
    <row r="48" spans="2:5" ht="16.2" thickBot="1" x14ac:dyDescent="0.4">
      <c r="C48" s="322" t="s">
        <v>100</v>
      </c>
      <c r="D48" s="187">
        <f>ABS(C41-1)*100</f>
        <v>0.53538597414169997</v>
      </c>
    </row>
    <row r="56" spans="2:5" ht="15" thickBot="1" x14ac:dyDescent="0.35"/>
    <row r="57" spans="2:5" ht="16.2" thickBot="1" x14ac:dyDescent="0.35">
      <c r="B57" s="338" t="s">
        <v>75</v>
      </c>
      <c r="C57" s="339"/>
      <c r="D57" s="339"/>
      <c r="E57" s="340"/>
    </row>
    <row r="58" spans="2:5" x14ac:dyDescent="0.3">
      <c r="B58" s="91" t="s">
        <v>22</v>
      </c>
      <c r="C58" s="50">
        <f t="array" ref="C58:D60">LINEST(T13:T19,D13:D19,1,1)</f>
        <v>8.4271068269882177E-2</v>
      </c>
      <c r="D58" s="58">
        <v>2.3019013096727339E-3</v>
      </c>
      <c r="E58" s="91" t="s">
        <v>25</v>
      </c>
    </row>
    <row r="59" spans="2:5" ht="15.6" x14ac:dyDescent="0.3">
      <c r="B59" s="92" t="s">
        <v>23</v>
      </c>
      <c r="C59" s="49">
        <v>1.6397355963053111E-3</v>
      </c>
      <c r="D59" s="52">
        <v>1.1594681595004526E-3</v>
      </c>
      <c r="E59" s="92" t="s">
        <v>26</v>
      </c>
    </row>
    <row r="60" spans="2:5" ht="16.8" thickBot="1" x14ac:dyDescent="0.35">
      <c r="B60" s="93" t="s">
        <v>24</v>
      </c>
      <c r="C60" s="54">
        <v>0.99811053307611497</v>
      </c>
      <c r="D60" s="60">
        <v>1.5216701917906425E-3</v>
      </c>
      <c r="E60" s="93" t="s">
        <v>27</v>
      </c>
    </row>
    <row r="61" spans="2:5" ht="15" thickBot="1" x14ac:dyDescent="0.35"/>
    <row r="62" spans="2:5" x14ac:dyDescent="0.3">
      <c r="C62" s="158" t="s">
        <v>81</v>
      </c>
      <c r="D62" s="155">
        <f>2*D60</f>
        <v>3.0433403835812851E-3</v>
      </c>
    </row>
    <row r="63" spans="2:5" ht="15" thickBot="1" x14ac:dyDescent="0.35">
      <c r="C63" s="159" t="s">
        <v>81</v>
      </c>
      <c r="D63" s="157">
        <f>-2*D60</f>
        <v>-3.0433403835812851E-3</v>
      </c>
    </row>
    <row r="64" spans="2:5" ht="15" thickBot="1" x14ac:dyDescent="0.35"/>
    <row r="65" spans="2:5" ht="15.6" x14ac:dyDescent="0.35">
      <c r="C65" s="160" t="s">
        <v>45</v>
      </c>
      <c r="D65" s="183">
        <f>C58*C10/(C8*C3*C5*F6*L6)</f>
        <v>1.0349232260673499E-6</v>
      </c>
    </row>
    <row r="66" spans="2:5" ht="15.6" x14ac:dyDescent="0.35">
      <c r="C66" s="161" t="s">
        <v>46</v>
      </c>
      <c r="D66" s="180">
        <f>SQRT((C10*C59/(C8*C3*C5*F6*L6))^2+(C58*C10*C9/(C8^2*C3*C5*F6*L6))^2+(C10*C58*F7/(C8*C3*C5*F6^2*L6))^2+(C58*C10*L4/(C8*C3*C5*F6*L6^2))^2)</f>
        <v>2.0368800510815145E-8</v>
      </c>
    </row>
    <row r="67" spans="2:5" ht="15.6" x14ac:dyDescent="0.35">
      <c r="C67" s="161" t="s">
        <v>47</v>
      </c>
      <c r="D67" s="206">
        <f>D66/D65*100</f>
        <v>1.9681460419257804</v>
      </c>
    </row>
    <row r="68" spans="2:5" ht="16.2" thickBot="1" x14ac:dyDescent="0.4">
      <c r="C68" s="162" t="s">
        <v>48</v>
      </c>
      <c r="D68" s="186">
        <f>ABS(D65-Comparar!C3)/Comparar!C3*100</f>
        <v>17.643426425385094</v>
      </c>
    </row>
    <row r="72" spans="2:5" ht="15" thickBot="1" x14ac:dyDescent="0.35"/>
    <row r="73" spans="2:5" ht="16.2" thickBot="1" x14ac:dyDescent="0.35">
      <c r="B73" s="338" t="s">
        <v>76</v>
      </c>
      <c r="C73" s="339"/>
      <c r="D73" s="339"/>
      <c r="E73" s="340"/>
    </row>
    <row r="74" spans="2:5" x14ac:dyDescent="0.3">
      <c r="B74" s="91" t="s">
        <v>22</v>
      </c>
      <c r="C74" s="56">
        <f t="array" ref="C74:D76">LINEST(X13:X18,F13:F18,1,1)</f>
        <v>0.99200335523421879</v>
      </c>
      <c r="D74" s="79">
        <v>-1.0615605410840663</v>
      </c>
      <c r="E74" s="91" t="s">
        <v>25</v>
      </c>
    </row>
    <row r="75" spans="2:5" ht="15.6" x14ac:dyDescent="0.3">
      <c r="B75" s="92" t="s">
        <v>23</v>
      </c>
      <c r="C75" s="55">
        <v>1.8721703069611441E-2</v>
      </c>
      <c r="D75" s="57">
        <v>5.1949288531275587E-3</v>
      </c>
      <c r="E75" s="92" t="s">
        <v>26</v>
      </c>
    </row>
    <row r="76" spans="2:5" ht="16.8" thickBot="1" x14ac:dyDescent="0.35">
      <c r="B76" s="93" t="s">
        <v>24</v>
      </c>
      <c r="C76" s="48">
        <v>0.99857732364128704</v>
      </c>
      <c r="D76" s="61">
        <v>9.4423610485346709E-3</v>
      </c>
      <c r="E76" s="93" t="s">
        <v>27</v>
      </c>
    </row>
    <row r="77" spans="2:5" ht="15" thickBot="1" x14ac:dyDescent="0.35"/>
    <row r="78" spans="2:5" x14ac:dyDescent="0.3">
      <c r="C78" s="158" t="s">
        <v>81</v>
      </c>
      <c r="D78" s="178">
        <f>2*D76</f>
        <v>1.8884722097069342E-2</v>
      </c>
    </row>
    <row r="79" spans="2:5" ht="15" thickBot="1" x14ac:dyDescent="0.35">
      <c r="C79" s="159" t="s">
        <v>81</v>
      </c>
      <c r="D79" s="179">
        <f>-2*D76</f>
        <v>-1.8884722097069342E-2</v>
      </c>
    </row>
    <row r="80" spans="2:5" ht="15" thickBot="1" x14ac:dyDescent="0.35"/>
    <row r="81" spans="3:4" ht="16.2" thickBot="1" x14ac:dyDescent="0.4">
      <c r="C81" s="292" t="s">
        <v>100</v>
      </c>
      <c r="D81" s="187">
        <f>ABS(C74-1)*100</f>
        <v>0.79966447657812134</v>
      </c>
    </row>
  </sheetData>
  <mergeCells count="6">
    <mergeCell ref="R11:AA11"/>
    <mergeCell ref="B73:E73"/>
    <mergeCell ref="J11:Q11"/>
    <mergeCell ref="B23:E23"/>
    <mergeCell ref="B40:E40"/>
    <mergeCell ref="B57:E5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4BF5F-2563-41F0-8822-A72D99F783D7}">
  <sheetPr>
    <tabColor rgb="FF7030A0"/>
  </sheetPr>
  <dimension ref="B1:M40"/>
  <sheetViews>
    <sheetView zoomScale="64" zoomScaleNormal="53" workbookViewId="0">
      <selection activeCell="M5" sqref="M5"/>
    </sheetView>
  </sheetViews>
  <sheetFormatPr defaultRowHeight="14.4" x14ac:dyDescent="0.3"/>
  <cols>
    <col min="1" max="1" width="8.88671875" style="139"/>
    <col min="2" max="2" width="13.77734375" style="139" bestFit="1" customWidth="1"/>
    <col min="3" max="3" width="9.77734375" style="139" customWidth="1"/>
    <col min="4" max="4" width="13.21875" style="139" bestFit="1" customWidth="1"/>
    <col min="5" max="5" width="15.77734375" style="139" bestFit="1" customWidth="1"/>
    <col min="6" max="6" width="8.109375" style="139" customWidth="1"/>
    <col min="7" max="7" width="9.5546875" style="139" customWidth="1"/>
    <col min="8" max="8" width="13.21875" style="139" bestFit="1" customWidth="1"/>
    <col min="9" max="9" width="15.77734375" style="139" bestFit="1" customWidth="1"/>
    <col min="10" max="10" width="8.109375" style="139" customWidth="1"/>
    <col min="11" max="11" width="9.33203125" style="139" customWidth="1"/>
    <col min="12" max="16384" width="8.88671875" style="139"/>
  </cols>
  <sheetData>
    <row r="1" spans="2:13" ht="15" thickBot="1" x14ac:dyDescent="0.35"/>
    <row r="2" spans="2:13" ht="17.399999999999999" thickBot="1" x14ac:dyDescent="0.4">
      <c r="B2" s="285" t="s">
        <v>102</v>
      </c>
      <c r="C2" s="317">
        <f>4*PI()*0.0000001*1000000</f>
        <v>1.2566370614359172</v>
      </c>
    </row>
    <row r="3" spans="2:13" ht="17.399999999999999" thickBot="1" x14ac:dyDescent="0.4">
      <c r="B3" s="285" t="s">
        <v>98</v>
      </c>
      <c r="C3" s="284">
        <f>4*PI()*0.0000001</f>
        <v>1.2566370614359173E-6</v>
      </c>
    </row>
    <row r="4" spans="2:13" ht="15" thickBot="1" x14ac:dyDescent="0.35"/>
    <row r="5" spans="2:13" ht="15.6" thickTop="1" thickBot="1" x14ac:dyDescent="0.35">
      <c r="D5" s="329" t="s">
        <v>13</v>
      </c>
      <c r="E5" s="330"/>
      <c r="F5" s="330"/>
      <c r="G5" s="331"/>
      <c r="H5" s="365" t="s">
        <v>12</v>
      </c>
      <c r="I5" s="366"/>
      <c r="J5" s="366"/>
      <c r="K5" s="367"/>
      <c r="M5" s="193"/>
    </row>
    <row r="6" spans="2:13" ht="18" thickTop="1" thickBot="1" x14ac:dyDescent="0.4">
      <c r="B6" s="308" t="s">
        <v>89</v>
      </c>
      <c r="C6" s="309" t="s">
        <v>90</v>
      </c>
      <c r="D6" s="299" t="s">
        <v>103</v>
      </c>
      <c r="E6" s="291" t="s">
        <v>104</v>
      </c>
      <c r="F6" s="291" t="s">
        <v>91</v>
      </c>
      <c r="G6" s="300" t="s">
        <v>92</v>
      </c>
      <c r="H6" s="306" t="s">
        <v>103</v>
      </c>
      <c r="I6" s="292" t="s">
        <v>104</v>
      </c>
      <c r="J6" s="292" t="s">
        <v>91</v>
      </c>
      <c r="K6" s="307" t="s">
        <v>92</v>
      </c>
    </row>
    <row r="7" spans="2:13" x14ac:dyDescent="0.3">
      <c r="B7" s="293">
        <v>1</v>
      </c>
      <c r="C7" s="294" t="s">
        <v>93</v>
      </c>
      <c r="D7" s="181">
        <f>ω!X33*1000000</f>
        <v>1.1973284483487114</v>
      </c>
      <c r="E7" s="289">
        <f>ω!X34*1000000</f>
        <v>8.8930505422897196E-3</v>
      </c>
      <c r="F7" s="290">
        <f>E7/D7*100</f>
        <v>0.74274110454441455</v>
      </c>
      <c r="G7" s="301">
        <f>ABS(C$2-D7)/C$2*100</f>
        <v>4.7196294703767396</v>
      </c>
      <c r="H7" s="310">
        <f>ω!X65*1000000</f>
        <v>1.2180088699931544</v>
      </c>
      <c r="I7" s="289">
        <f>ω!X66*1000000</f>
        <v>1.0334329642968269E-2</v>
      </c>
      <c r="J7" s="290">
        <f>I7/H7*100</f>
        <v>0.84846095111165754</v>
      </c>
      <c r="K7" s="301">
        <f>ABS(C$2-H7)/C$2*100</f>
        <v>3.0739338054078811</v>
      </c>
    </row>
    <row r="8" spans="2:13" ht="15.6" x14ac:dyDescent="0.35">
      <c r="B8" s="295">
        <v>2</v>
      </c>
      <c r="C8" s="296" t="s">
        <v>94</v>
      </c>
      <c r="D8" s="182">
        <f>i0!AV43*1000000</f>
        <v>1.2024502565901798</v>
      </c>
      <c r="E8" s="286">
        <f>i0!AV44*1000000</f>
        <v>3.4490689126433524E-3</v>
      </c>
      <c r="F8" s="287">
        <f>E8/D8*100</f>
        <v>0.28683672307775698</v>
      </c>
      <c r="G8" s="302">
        <f t="shared" ref="G8:G11" si="0">ABS(C$2-D8)/C$2*100</f>
        <v>4.3120489207774924</v>
      </c>
      <c r="H8" s="182">
        <f>i0!Y77*1000000</f>
        <v>1.1940602396318896</v>
      </c>
      <c r="I8" s="286">
        <f>i0!Y78*1000000</f>
        <v>4.0867125827221563E-3</v>
      </c>
      <c r="J8" s="287">
        <f>I8/H8*100</f>
        <v>0.3422534682154752</v>
      </c>
      <c r="K8" s="302">
        <f t="shared" ref="K8:K11" si="1">ABS(C$2-H8)/C$2*100</f>
        <v>4.9797052565458504</v>
      </c>
    </row>
    <row r="9" spans="2:13" x14ac:dyDescent="0.3">
      <c r="B9" s="295">
        <v>3</v>
      </c>
      <c r="C9" s="296" t="s">
        <v>6</v>
      </c>
      <c r="D9" s="182">
        <f>n!D29*1000000</f>
        <v>1.1888585959211504</v>
      </c>
      <c r="E9" s="286">
        <f>n!D30*1000000</f>
        <v>6.0567120885760368E-3</v>
      </c>
      <c r="F9" s="287">
        <f>E9/D9*100</f>
        <v>0.50945605384492176</v>
      </c>
      <c r="G9" s="302">
        <f t="shared" si="0"/>
        <v>5.3936389109293543</v>
      </c>
      <c r="H9" s="182">
        <f>n!D63*1000000</f>
        <v>1.1984213780877742</v>
      </c>
      <c r="I9" s="286">
        <f>n!D64*1000000</f>
        <v>8.3878164540149864E-3</v>
      </c>
      <c r="J9" s="287">
        <f>I9/H9*100</f>
        <v>0.69990544289177814</v>
      </c>
      <c r="K9" s="302">
        <f t="shared" si="1"/>
        <v>4.6326568851647565</v>
      </c>
    </row>
    <row r="10" spans="2:13" x14ac:dyDescent="0.3">
      <c r="B10" s="295">
        <v>4</v>
      </c>
      <c r="C10" s="296" t="s">
        <v>7</v>
      </c>
      <c r="D10" s="312">
        <f>S!D27*1000000</f>
        <v>1.5307499909330593</v>
      </c>
      <c r="E10" s="286">
        <f>S!D28*1000000</f>
        <v>0.26337322453929213</v>
      </c>
      <c r="F10" s="288">
        <f>E10/D10*100</f>
        <v>17.205502276616354</v>
      </c>
      <c r="G10" s="302">
        <f t="shared" si="0"/>
        <v>21.813213847435183</v>
      </c>
      <c r="H10" s="312">
        <f>S!D61*1000000</f>
        <v>1.7742207998188504</v>
      </c>
      <c r="I10" s="286">
        <f>S!D62*1000000</f>
        <v>0.45118254444626438</v>
      </c>
      <c r="J10" s="288">
        <f>I10/H10*100</f>
        <v>25.429898268148506</v>
      </c>
      <c r="K10" s="302">
        <f t="shared" si="1"/>
        <v>41.188005213813085</v>
      </c>
    </row>
    <row r="11" spans="2:13" ht="15" thickBot="1" x14ac:dyDescent="0.35">
      <c r="B11" s="297">
        <v>5</v>
      </c>
      <c r="C11" s="298" t="s">
        <v>95</v>
      </c>
      <c r="D11" s="311">
        <f>θ!D31*1000000</f>
        <v>1.0590785433711927</v>
      </c>
      <c r="E11" s="303">
        <f>θ!D32*1000000</f>
        <v>1.2260019836270198E-2</v>
      </c>
      <c r="F11" s="304">
        <f>E11/D11*100</f>
        <v>1.1576119555066111</v>
      </c>
      <c r="G11" s="305">
        <f t="shared" si="0"/>
        <v>15.721207349955209</v>
      </c>
      <c r="H11" s="311">
        <f>θ!D65*1000000</f>
        <v>1.03492322606735</v>
      </c>
      <c r="I11" s="303">
        <f>θ!D66*1000000</f>
        <v>2.0368800510815143E-2</v>
      </c>
      <c r="J11" s="304">
        <f>I11/H11*100</f>
        <v>1.9681460419257804</v>
      </c>
      <c r="K11" s="305">
        <f t="shared" si="1"/>
        <v>17.643426425385087</v>
      </c>
    </row>
    <row r="12" spans="2:13" ht="15" thickTop="1" x14ac:dyDescent="0.3"/>
    <row r="15" spans="2:13" x14ac:dyDescent="0.3">
      <c r="I15"/>
      <c r="J15"/>
      <c r="K15"/>
      <c r="L15"/>
    </row>
    <row r="16" spans="2:13" x14ac:dyDescent="0.3">
      <c r="I16"/>
      <c r="J16"/>
      <c r="K16"/>
      <c r="L16"/>
    </row>
    <row r="17" spans="9:12" x14ac:dyDescent="0.3">
      <c r="I17"/>
      <c r="J17"/>
      <c r="K17"/>
      <c r="L17"/>
    </row>
    <row r="18" spans="9:12" x14ac:dyDescent="0.3">
      <c r="I18"/>
      <c r="J18"/>
      <c r="K18"/>
      <c r="L18"/>
    </row>
    <row r="19" spans="9:12" x14ac:dyDescent="0.3">
      <c r="I19"/>
      <c r="J19"/>
      <c r="K19"/>
      <c r="L19"/>
    </row>
    <row r="20" spans="9:12" x14ac:dyDescent="0.3">
      <c r="I20"/>
      <c r="J20"/>
      <c r="K20"/>
      <c r="L20"/>
    </row>
    <row r="21" spans="9:12" x14ac:dyDescent="0.3">
      <c r="I21"/>
      <c r="J21"/>
      <c r="K21"/>
      <c r="L21"/>
    </row>
    <row r="22" spans="9:12" x14ac:dyDescent="0.3">
      <c r="I22"/>
      <c r="J22"/>
      <c r="K22"/>
      <c r="L22"/>
    </row>
    <row r="23" spans="9:12" x14ac:dyDescent="0.3">
      <c r="I23"/>
      <c r="J23"/>
      <c r="K23"/>
      <c r="L23"/>
    </row>
    <row r="24" spans="9:12" x14ac:dyDescent="0.3">
      <c r="I24"/>
      <c r="J24"/>
      <c r="K24"/>
      <c r="L24"/>
    </row>
    <row r="31" spans="9:12" x14ac:dyDescent="0.3">
      <c r="J31"/>
      <c r="K31"/>
    </row>
    <row r="32" spans="9:12" x14ac:dyDescent="0.3">
      <c r="J32"/>
      <c r="K32"/>
    </row>
    <row r="33" spans="10:11" x14ac:dyDescent="0.3">
      <c r="J33"/>
      <c r="K33"/>
    </row>
    <row r="34" spans="10:11" x14ac:dyDescent="0.3">
      <c r="J34"/>
      <c r="K34"/>
    </row>
    <row r="35" spans="10:11" x14ac:dyDescent="0.3">
      <c r="J35"/>
      <c r="K35"/>
    </row>
    <row r="36" spans="10:11" x14ac:dyDescent="0.3">
      <c r="J36"/>
      <c r="K36"/>
    </row>
    <row r="37" spans="10:11" x14ac:dyDescent="0.3">
      <c r="J37"/>
      <c r="K37"/>
    </row>
    <row r="38" spans="10:11" x14ac:dyDescent="0.3">
      <c r="J38"/>
      <c r="K38"/>
    </row>
    <row r="39" spans="10:11" x14ac:dyDescent="0.3">
      <c r="J39"/>
      <c r="K39"/>
    </row>
    <row r="40" spans="10:11" x14ac:dyDescent="0.3">
      <c r="J40"/>
      <c r="K40"/>
    </row>
  </sheetData>
  <mergeCells count="2">
    <mergeCell ref="D5:G5"/>
    <mergeCell ref="H5:K5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2B54E-FB3E-4F63-9AFC-4CE6B9D115A3}">
  <dimension ref="B1:D10"/>
  <sheetViews>
    <sheetView workbookViewId="0">
      <selection activeCell="B2" sqref="B2:D10"/>
    </sheetView>
  </sheetViews>
  <sheetFormatPr defaultRowHeight="14.4" x14ac:dyDescent="0.3"/>
  <sheetData>
    <row r="1" spans="2:4" ht="15" thickBot="1" x14ac:dyDescent="0.35"/>
    <row r="2" spans="2:4" ht="15" thickBot="1" x14ac:dyDescent="0.35">
      <c r="B2" s="316" t="s">
        <v>50</v>
      </c>
      <c r="C2" s="316" t="s">
        <v>38</v>
      </c>
      <c r="D2" s="316" t="s">
        <v>96</v>
      </c>
    </row>
    <row r="3" spans="2:4" x14ac:dyDescent="0.3">
      <c r="B3" s="314">
        <v>1</v>
      </c>
      <c r="C3" s="314">
        <v>4.1000000000000002E-2</v>
      </c>
      <c r="D3" s="314">
        <v>300</v>
      </c>
    </row>
    <row r="4" spans="2:4" x14ac:dyDescent="0.3">
      <c r="B4" s="314">
        <v>2</v>
      </c>
      <c r="C4" s="314">
        <v>3.3000000000000002E-2</v>
      </c>
      <c r="D4" s="314">
        <v>300</v>
      </c>
    </row>
    <row r="5" spans="2:4" x14ac:dyDescent="0.3">
      <c r="B5" s="314">
        <v>3</v>
      </c>
      <c r="C5" s="314">
        <v>2.5999999999999999E-2</v>
      </c>
      <c r="D5" s="314">
        <v>300</v>
      </c>
    </row>
    <row r="6" spans="2:4" x14ac:dyDescent="0.3">
      <c r="B6" s="314">
        <v>4</v>
      </c>
      <c r="C6" s="314">
        <v>4.1000000000000002E-2</v>
      </c>
      <c r="D6" s="314">
        <v>200</v>
      </c>
    </row>
    <row r="7" spans="2:4" x14ac:dyDescent="0.3">
      <c r="B7" s="314">
        <v>5</v>
      </c>
      <c r="C7" s="314">
        <v>4.1000000000000002E-2</v>
      </c>
      <c r="D7" s="314">
        <v>100</v>
      </c>
    </row>
    <row r="8" spans="2:4" x14ac:dyDescent="0.3">
      <c r="B8" s="314">
        <v>6</v>
      </c>
      <c r="C8" s="314">
        <v>2.5999999999999999E-2</v>
      </c>
      <c r="D8" s="314">
        <v>100</v>
      </c>
    </row>
    <row r="9" spans="2:4" x14ac:dyDescent="0.3">
      <c r="B9" s="314">
        <v>7</v>
      </c>
      <c r="C9" s="314">
        <v>4.1000000000000002E-2</v>
      </c>
      <c r="D9" s="314">
        <v>400</v>
      </c>
    </row>
    <row r="10" spans="2:4" ht="15" thickBot="1" x14ac:dyDescent="0.35">
      <c r="B10" s="315">
        <v>8</v>
      </c>
      <c r="C10" s="315">
        <v>4.1000000000000002E-2</v>
      </c>
      <c r="D10" s="31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ω</vt:lpstr>
      <vt:lpstr>i0</vt:lpstr>
      <vt:lpstr>n</vt:lpstr>
      <vt:lpstr>S</vt:lpstr>
      <vt:lpstr>θ</vt:lpstr>
      <vt:lpstr>Comparar</vt:lpstr>
      <vt:lpstr>Bobinas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Salomé Gomes</dc:creator>
  <cp:lastModifiedBy>Salomé Gomes</cp:lastModifiedBy>
  <dcterms:created xsi:type="dcterms:W3CDTF">2023-05-03T21:02:38Z</dcterms:created>
  <dcterms:modified xsi:type="dcterms:W3CDTF">2023-05-25T22:50:46Z</dcterms:modified>
</cp:coreProperties>
</file>