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2B\"/>
    </mc:Choice>
  </mc:AlternateContent>
  <xr:revisionPtr revIDLastSave="0" documentId="13_ncr:1_{94A4443C-FD4F-4182-9BB8-C817062EB4A6}" xr6:coauthVersionLast="47" xr6:coauthVersionMax="47" xr10:uidLastSave="{00000000-0000-0000-0000-000000000000}"/>
  <bookViews>
    <workbookView xWindow="-108" yWindow="-108" windowWidth="23256" windowHeight="12456" xr2:uid="{ADD7F163-C1A2-B04B-9D45-D2B9CEFFEB9A}"/>
  </bookViews>
  <sheets>
    <sheet name="Parte 1" sheetId="1" r:id="rId1"/>
    <sheet name="Part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6" i="2" l="1" a="1"/>
  <c r="Q46" i="2" s="1"/>
  <c r="R7" i="2" s="1"/>
  <c r="Q38" i="2" a="1"/>
  <c r="Q38" i="2" s="1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7" i="2"/>
  <c r="C4" i="2"/>
  <c r="C3" i="2"/>
  <c r="C2" i="2"/>
  <c r="H21" i="2" s="1"/>
  <c r="J21" i="2" s="1"/>
  <c r="Y6" i="2" a="1"/>
  <c r="Y7" i="2" s="1"/>
  <c r="V8" i="2"/>
  <c r="V9" i="2"/>
  <c r="V10" i="2"/>
  <c r="V11" i="2"/>
  <c r="V7" i="2"/>
  <c r="E4" i="2"/>
  <c r="G4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7" i="2"/>
  <c r="F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7" i="2"/>
  <c r="E7" i="2"/>
  <c r="P7" i="2" s="1"/>
  <c r="C4" i="1"/>
  <c r="K7" i="2"/>
  <c r="C5" i="1"/>
  <c r="H20" i="1"/>
  <c r="H21" i="1"/>
  <c r="H22" i="1"/>
  <c r="H23" i="1"/>
  <c r="H24" i="1"/>
  <c r="H29" i="1"/>
  <c r="H30" i="1"/>
  <c r="H31" i="1"/>
  <c r="H32" i="1"/>
  <c r="H33" i="1"/>
  <c r="H38" i="1"/>
  <c r="H39" i="1"/>
  <c r="H40" i="1"/>
  <c r="H41" i="1"/>
  <c r="H42" i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F8" i="2"/>
  <c r="H8" i="2" s="1"/>
  <c r="J8" i="2" s="1"/>
  <c r="F9" i="2"/>
  <c r="F10" i="2"/>
  <c r="F11" i="2"/>
  <c r="F12" i="2"/>
  <c r="F13" i="2"/>
  <c r="F14" i="2"/>
  <c r="F15" i="2"/>
  <c r="F16" i="2"/>
  <c r="H16" i="2" s="1"/>
  <c r="J16" i="2" s="1"/>
  <c r="F17" i="2"/>
  <c r="H17" i="2" s="1"/>
  <c r="J17" i="2" s="1"/>
  <c r="F18" i="2"/>
  <c r="F19" i="2"/>
  <c r="F20" i="2"/>
  <c r="F21" i="2"/>
  <c r="F22" i="2"/>
  <c r="F23" i="2"/>
  <c r="F24" i="2"/>
  <c r="F25" i="2"/>
  <c r="H25" i="2" s="1"/>
  <c r="J25" i="2" s="1"/>
  <c r="F26" i="2"/>
  <c r="F27" i="2"/>
  <c r="F28" i="2"/>
  <c r="F29" i="2"/>
  <c r="F30" i="2"/>
  <c r="F31" i="2"/>
  <c r="F32" i="2"/>
  <c r="D33" i="1"/>
  <c r="D39" i="1"/>
  <c r="D40" i="1"/>
  <c r="D41" i="1"/>
  <c r="D42" i="1"/>
  <c r="D30" i="1"/>
  <c r="D31" i="1"/>
  <c r="D32" i="1"/>
  <c r="D38" i="1"/>
  <c r="D29" i="1"/>
  <c r="D21" i="1"/>
  <c r="D22" i="1"/>
  <c r="D23" i="1"/>
  <c r="D24" i="1"/>
  <c r="D20" i="1"/>
  <c r="D12" i="1"/>
  <c r="D13" i="1"/>
  <c r="D14" i="1"/>
  <c r="D15" i="1"/>
  <c r="E14" i="1" s="1" a="1"/>
  <c r="E14" i="1" s="1"/>
  <c r="D11" i="1"/>
  <c r="E11" i="1" s="1" a="1"/>
  <c r="E11" i="1" s="1"/>
  <c r="H15" i="1"/>
  <c r="H14" i="1"/>
  <c r="H13" i="1"/>
  <c r="H12" i="1"/>
  <c r="H11" i="1"/>
  <c r="Q52" i="2"/>
  <c r="E8" i="2"/>
  <c r="P8" i="2" s="1"/>
  <c r="E9" i="2"/>
  <c r="P9" i="2" s="1"/>
  <c r="E10" i="2"/>
  <c r="P10" i="2" s="1"/>
  <c r="E11" i="2"/>
  <c r="P11" i="2" s="1"/>
  <c r="E12" i="2"/>
  <c r="P12" i="2" s="1"/>
  <c r="E13" i="2"/>
  <c r="P13" i="2" s="1"/>
  <c r="E14" i="2"/>
  <c r="P14" i="2" s="1"/>
  <c r="E15" i="2"/>
  <c r="P15" i="2" s="1"/>
  <c r="E16" i="2"/>
  <c r="P16" i="2" s="1"/>
  <c r="E17" i="2"/>
  <c r="P17" i="2" s="1"/>
  <c r="E18" i="2"/>
  <c r="P18" i="2" s="1"/>
  <c r="E19" i="2"/>
  <c r="P19" i="2" s="1"/>
  <c r="E20" i="2"/>
  <c r="P20" i="2" s="1"/>
  <c r="E21" i="2"/>
  <c r="P21" i="2" s="1"/>
  <c r="E22" i="2"/>
  <c r="P22" i="2" s="1"/>
  <c r="E23" i="2"/>
  <c r="P23" i="2" s="1"/>
  <c r="E24" i="2"/>
  <c r="P24" i="2" s="1"/>
  <c r="E25" i="2"/>
  <c r="P25" i="2" s="1"/>
  <c r="E26" i="2"/>
  <c r="P26" i="2" s="1"/>
  <c r="E27" i="2"/>
  <c r="P27" i="2" s="1"/>
  <c r="E28" i="2"/>
  <c r="P28" i="2" s="1"/>
  <c r="E29" i="2"/>
  <c r="P29" i="2" s="1"/>
  <c r="E30" i="2"/>
  <c r="P30" i="2" s="1"/>
  <c r="E31" i="2"/>
  <c r="P31" i="2" s="1"/>
  <c r="E32" i="2"/>
  <c r="P32" i="2" s="1"/>
  <c r="H27" i="2"/>
  <c r="J27" i="2" s="1"/>
  <c r="H32" i="2"/>
  <c r="J32" i="2" s="1"/>
  <c r="N11" i="2" l="1"/>
  <c r="N12" i="2"/>
  <c r="N20" i="2"/>
  <c r="N13" i="2"/>
  <c r="N21" i="2"/>
  <c r="N29" i="2"/>
  <c r="N14" i="2"/>
  <c r="N30" i="2"/>
  <c r="N26" i="2"/>
  <c r="N15" i="2"/>
  <c r="N23" i="2"/>
  <c r="N31" i="2"/>
  <c r="N10" i="2"/>
  <c r="N18" i="2"/>
  <c r="N27" i="2"/>
  <c r="N8" i="2"/>
  <c r="N16" i="2"/>
  <c r="N24" i="2"/>
  <c r="N32" i="2"/>
  <c r="N9" i="2"/>
  <c r="N17" i="2"/>
  <c r="Q41" i="2"/>
  <c r="R40" i="2"/>
  <c r="R41" i="2"/>
  <c r="Q40" i="2"/>
  <c r="R39" i="2"/>
  <c r="Q39" i="2"/>
  <c r="R42" i="2"/>
  <c r="R38" i="2"/>
  <c r="N19" i="2" s="1"/>
  <c r="Q42" i="2"/>
  <c r="H30" i="2"/>
  <c r="J30" i="2" s="1"/>
  <c r="H22" i="2"/>
  <c r="J22" i="2" s="1"/>
  <c r="I21" i="2"/>
  <c r="H31" i="2"/>
  <c r="J31" i="2" s="1"/>
  <c r="H29" i="2"/>
  <c r="J29" i="2" s="1"/>
  <c r="H20" i="2"/>
  <c r="J20" i="2" s="1"/>
  <c r="H23" i="2"/>
  <c r="J23" i="2" s="1"/>
  <c r="H11" i="2"/>
  <c r="J11" i="2" s="1"/>
  <c r="H12" i="2"/>
  <c r="J12" i="2" s="1"/>
  <c r="H18" i="2"/>
  <c r="J18" i="2" s="1"/>
  <c r="H10" i="2"/>
  <c r="J10" i="2" s="1"/>
  <c r="O27" i="2"/>
  <c r="Z6" i="2"/>
  <c r="Y6" i="2"/>
  <c r="Z8" i="2"/>
  <c r="Y8" i="2"/>
  <c r="Z7" i="2"/>
  <c r="I25" i="2"/>
  <c r="E23" i="1" a="1"/>
  <c r="E23" i="1" s="1"/>
  <c r="E40" i="1" a="1"/>
  <c r="E40" i="1" s="1"/>
  <c r="E20" i="1" a="1"/>
  <c r="E20" i="1" s="1"/>
  <c r="E29" i="1" a="1"/>
  <c r="E29" i="1" s="1"/>
  <c r="E38" i="1" a="1"/>
  <c r="E38" i="1" s="1"/>
  <c r="E31" i="1" a="1"/>
  <c r="E31" i="1" s="1"/>
  <c r="I10" i="2"/>
  <c r="I15" i="2"/>
  <c r="I16" i="2"/>
  <c r="I14" i="2"/>
  <c r="I32" i="2"/>
  <c r="I24" i="2"/>
  <c r="I17" i="2"/>
  <c r="I18" i="2"/>
  <c r="H26" i="2"/>
  <c r="J26" i="2" s="1"/>
  <c r="H9" i="2"/>
  <c r="J9" i="2" s="1"/>
  <c r="H19" i="2"/>
  <c r="J19" i="2" s="1"/>
  <c r="H7" i="2"/>
  <c r="J7" i="2" s="1"/>
  <c r="I9" i="2"/>
  <c r="I13" i="2"/>
  <c r="I30" i="2"/>
  <c r="I29" i="2"/>
  <c r="I27" i="2"/>
  <c r="H24" i="2"/>
  <c r="J24" i="2" s="1"/>
  <c r="I7" i="2"/>
  <c r="I28" i="2"/>
  <c r="I20" i="2"/>
  <c r="I12" i="2"/>
  <c r="I11" i="2"/>
  <c r="I26" i="2"/>
  <c r="I22" i="2"/>
  <c r="H28" i="2"/>
  <c r="J28" i="2" s="1"/>
  <c r="H14" i="2"/>
  <c r="J14" i="2" s="1"/>
  <c r="H15" i="2"/>
  <c r="J15" i="2" s="1"/>
  <c r="H13" i="2"/>
  <c r="J13" i="2" s="1"/>
  <c r="I19" i="2"/>
  <c r="I31" i="2"/>
  <c r="I23" i="2"/>
  <c r="I8" i="2"/>
  <c r="N28" i="2" l="1"/>
  <c r="O28" i="2" s="1"/>
  <c r="N25" i="2"/>
  <c r="O25" i="2" s="1"/>
  <c r="N7" i="2"/>
  <c r="O7" i="2" s="1"/>
  <c r="N22" i="2"/>
  <c r="O15" i="2"/>
  <c r="O22" i="2"/>
  <c r="O17" i="2"/>
  <c r="O13" i="2"/>
  <c r="O31" i="2"/>
  <c r="O29" i="2"/>
  <c r="O16" i="2"/>
  <c r="O26" i="2"/>
  <c r="O24" i="2"/>
  <c r="O18" i="2"/>
  <c r="O20" i="2"/>
  <c r="O10" i="2"/>
  <c r="O30" i="2"/>
  <c r="O21" i="2"/>
  <c r="O14" i="2"/>
  <c r="O19" i="2"/>
  <c r="O9" i="2"/>
  <c r="O8" i="2"/>
  <c r="O23" i="2"/>
  <c r="O32" i="2"/>
  <c r="O11" i="2"/>
  <c r="O12" i="2"/>
  <c r="F20" i="1" a="1"/>
  <c r="F20" i="1" s="1"/>
  <c r="M19" i="1" s="1" a="1"/>
  <c r="M19" i="1" s="1"/>
  <c r="I20" i="1" s="1" a="1"/>
  <c r="J24" i="1" s="1"/>
  <c r="F38" i="1" a="1"/>
  <c r="F38" i="1" s="1"/>
  <c r="M37" i="1" s="1" a="1"/>
  <c r="M37" i="1" s="1"/>
  <c r="I38" i="1" s="1" a="1"/>
  <c r="J40" i="1" s="1"/>
  <c r="F11" i="1" a="1"/>
  <c r="F11" i="1" s="1"/>
  <c r="M10" i="1" s="1" a="1"/>
  <c r="M10" i="1" s="1"/>
  <c r="I11" i="1" s="1" a="1"/>
  <c r="I11" i="1" s="1"/>
  <c r="F29" i="1" a="1"/>
  <c r="F29" i="1" s="1"/>
  <c r="M28" i="1" s="1" a="1"/>
  <c r="M28" i="1" s="1"/>
  <c r="J23" i="1" l="1"/>
  <c r="J21" i="1"/>
  <c r="I20" i="1"/>
  <c r="J20" i="1" s="1"/>
  <c r="J22" i="1"/>
  <c r="J42" i="1"/>
  <c r="J41" i="1"/>
  <c r="I38" i="1"/>
  <c r="J38" i="1" s="1"/>
  <c r="J39" i="1"/>
  <c r="F6" i="1"/>
  <c r="F3" i="1"/>
  <c r="F4" i="1"/>
  <c r="F5" i="1"/>
  <c r="I29" i="1" a="1"/>
  <c r="I29" i="1" s="1"/>
  <c r="J29" i="1" s="1"/>
  <c r="Q54" i="2"/>
  <c r="J15" i="1" l="1"/>
  <c r="J12" i="1"/>
  <c r="J14" i="1"/>
  <c r="J13" i="1"/>
  <c r="J11" i="1"/>
  <c r="J31" i="1"/>
  <c r="J30" i="1"/>
  <c r="J33" i="1"/>
  <c r="J32" i="1"/>
  <c r="S7" i="2"/>
  <c r="R10" i="2"/>
  <c r="S10" i="2" s="1"/>
  <c r="R21" i="2"/>
  <c r="S21" i="2" s="1"/>
  <c r="R22" i="2"/>
  <c r="S22" i="2" s="1"/>
  <c r="R29" i="2"/>
  <c r="S29" i="2" s="1"/>
  <c r="R17" i="2"/>
  <c r="S17" i="2" s="1"/>
  <c r="R9" i="2"/>
  <c r="S9" i="2" s="1"/>
  <c r="R26" i="2"/>
  <c r="S26" i="2" s="1"/>
  <c r="R12" i="2"/>
  <c r="S12" i="2" s="1"/>
  <c r="R11" i="2"/>
  <c r="S11" i="2" s="1"/>
  <c r="R23" i="2"/>
  <c r="S23" i="2" s="1"/>
  <c r="R18" i="2"/>
  <c r="S18" i="2" s="1"/>
  <c r="R25" i="2"/>
  <c r="S25" i="2" s="1"/>
  <c r="R20" i="2"/>
  <c r="S20" i="2" s="1"/>
  <c r="R32" i="2"/>
  <c r="S32" i="2" s="1"/>
  <c r="R28" i="2"/>
  <c r="S28" i="2" s="1"/>
  <c r="R31" i="2"/>
  <c r="S31" i="2" s="1"/>
  <c r="R16" i="2"/>
  <c r="S16" i="2" s="1"/>
  <c r="R19" i="2"/>
  <c r="S19" i="2" s="1"/>
  <c r="R15" i="2"/>
  <c r="S15" i="2" s="1"/>
  <c r="R27" i="2"/>
  <c r="S27" i="2" s="1"/>
  <c r="R30" i="2"/>
  <c r="S30" i="2" s="1"/>
  <c r="R14" i="2"/>
  <c r="S14" i="2" s="1"/>
  <c r="R8" i="2"/>
  <c r="S8" i="2" s="1"/>
  <c r="R13" i="2"/>
  <c r="S13" i="2" s="1"/>
  <c r="Q53" i="2"/>
  <c r="Q56" i="2" s="1"/>
  <c r="R24" i="2"/>
  <c r="S24" i="2" s="1"/>
  <c r="Q5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<sst xmlns="http://schemas.openxmlformats.org/spreadsheetml/2006/main" count="126" uniqueCount="70">
  <si>
    <t>Posição do alimentador</t>
  </si>
  <si>
    <t>R(Ω)</t>
  </si>
  <si>
    <t>m</t>
  </si>
  <si>
    <t>s(m)</t>
  </si>
  <si>
    <t>r²</t>
  </si>
  <si>
    <t>b</t>
  </si>
  <si>
    <t>s(b)</t>
  </si>
  <si>
    <t>s(y)</t>
  </si>
  <si>
    <t>Resíduos (V)</t>
  </si>
  <si>
    <t>Vs (mV)</t>
  </si>
  <si>
    <t>Vs (V)</t>
  </si>
  <si>
    <t>log(T)</t>
  </si>
  <si>
    <t>Vs ajuste (V)</t>
  </si>
  <si>
    <t>u(R(Ω))</t>
  </si>
  <si>
    <t>P(W)</t>
  </si>
  <si>
    <t>u(P(W))</t>
  </si>
  <si>
    <t>I(A)</t>
  </si>
  <si>
    <t>log (Vs)</t>
  </si>
  <si>
    <t>u(log (Vs))</t>
  </si>
  <si>
    <t>log (Vs) aj</t>
  </si>
  <si>
    <r>
      <t>T</t>
    </r>
    <r>
      <rPr>
        <b/>
        <vertAlign val="superscript"/>
        <sz val="12"/>
        <color theme="1"/>
        <rFont val="Calibri (corpo)"/>
      </rPr>
      <t>4</t>
    </r>
    <r>
      <rPr>
        <b/>
        <sz val="12"/>
        <color theme="1"/>
        <rFont val="Calibri"/>
        <family val="2"/>
        <scheme val="minor"/>
      </rPr>
      <t xml:space="preserve"> (K</t>
    </r>
    <r>
      <rPr>
        <b/>
        <vertAlign val="superscript"/>
        <sz val="12"/>
        <color theme="1"/>
        <rFont val="Calibri (corpo)"/>
      </rPr>
      <t>4</t>
    </r>
    <r>
      <rPr>
        <b/>
        <sz val="12"/>
        <color theme="1"/>
        <rFont val="Calibri (corpo)"/>
      </rPr>
      <t>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</si>
  <si>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metalizada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</si>
  <si>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metalizada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</si>
  <si>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aj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</si>
  <si>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baça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</si>
  <si>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baça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</si>
  <si>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branca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</si>
  <si>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branca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</si>
  <si>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preta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</si>
  <si>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preta (V)</t>
    </r>
  </si>
  <si>
    <t>u(Vs(V))</t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</si>
  <si>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preta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</si>
  <si>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branca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</si>
  <si>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baça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</si>
  <si>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metalizada</t>
    </r>
  </si>
  <si>
    <r>
      <t>u(R/R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</t>
    </r>
  </si>
  <si>
    <r>
      <t>R/R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</si>
  <si>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 xml:space="preserve"> (Ω)</t>
    </r>
  </si>
  <si>
    <r>
      <t>u(R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 (Ω)</t>
    </r>
  </si>
  <si>
    <t>u(V)</t>
  </si>
  <si>
    <r>
      <t>u(R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 (%)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</si>
  <si>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teórico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</si>
  <si>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obtido</t>
    </r>
  </si>
  <si>
    <r>
      <t>u(m</t>
    </r>
    <r>
      <rPr>
        <b/>
        <vertAlign val="subscript"/>
        <sz val="11"/>
        <color theme="1"/>
        <rFont val="Calibri"/>
        <family val="2"/>
        <scheme val="minor"/>
      </rPr>
      <t>obtido</t>
    </r>
    <r>
      <rPr>
        <b/>
        <sz val="11"/>
        <color theme="1"/>
        <rFont val="Calibri"/>
        <family val="2"/>
        <scheme val="minor"/>
      </rPr>
      <t>)</t>
    </r>
  </si>
  <si>
    <r>
      <t>u(m</t>
    </r>
    <r>
      <rPr>
        <b/>
        <vertAlign val="subscript"/>
        <sz val="11"/>
        <color theme="1"/>
        <rFont val="Calibri"/>
        <family val="2"/>
        <scheme val="minor"/>
      </rPr>
      <t>obtido</t>
    </r>
    <r>
      <rPr>
        <b/>
        <sz val="11"/>
        <color theme="1"/>
        <rFont val="Calibri"/>
        <family val="2"/>
        <scheme val="minor"/>
      </rPr>
      <t>) (%)</t>
    </r>
  </si>
  <si>
    <t>erro (%)</t>
  </si>
  <si>
    <r>
      <t>V</t>
    </r>
    <r>
      <rPr>
        <b/>
        <sz val="11"/>
        <color theme="1"/>
        <rFont val="Calibri"/>
        <family val="2"/>
      </rPr>
      <t xml:space="preserve"> (V)</t>
    </r>
  </si>
  <si>
    <t>HIGH</t>
  </si>
  <si>
    <t>R(KΩ)</t>
  </si>
  <si>
    <t>V (V)</t>
  </si>
  <si>
    <t>I (mA)</t>
  </si>
  <si>
    <t>u(I) (mA)</t>
  </si>
  <si>
    <t>Resíduos log (Vs)</t>
  </si>
  <si>
    <t>u(R(kΩ))</t>
  </si>
  <si>
    <r>
      <t>T (°C</t>
    </r>
    <r>
      <rPr>
        <b/>
        <sz val="12"/>
        <color theme="1"/>
        <rFont val="Calibri (corpo)"/>
      </rPr>
      <t>)</t>
    </r>
  </si>
  <si>
    <t>u(V) (%)</t>
  </si>
  <si>
    <t>u(I) (%)</t>
  </si>
  <si>
    <t>u(I) (A)</t>
  </si>
  <si>
    <t>u(V) (V)</t>
  </si>
  <si>
    <t>u(Vs) (V)</t>
  </si>
  <si>
    <t>resíduos Vs (V)</t>
  </si>
  <si>
    <t>T(K)</t>
  </si>
  <si>
    <t xml:space="preserve">R amb </t>
  </si>
  <si>
    <t>400-700</t>
  </si>
  <si>
    <t>2 mV + 0,001</t>
  </si>
  <si>
    <t>R. Amb</t>
  </si>
  <si>
    <t>V</t>
  </si>
  <si>
    <t>I</t>
  </si>
  <si>
    <t>mV</t>
  </si>
  <si>
    <t>(A PARTIR DE 4 V, INCERTEZA É 0,01 V E ANTES == 0,001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</si>
</sst>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0000"/>
    <numFmt numFmtId="166" formatCode="0.0"/>
    <numFmt numFmtId="167" formatCode="0.000000"/>
    <numFmt numFmtId="168" formatCode="0.0000"/>
    <numFmt numFmtId="169" formatCode="0.000E+00"/>
    <numFmt numFmtId="170" formatCode="0.0E+00"/>
    <numFmt numFmtId="171" formatCode="0E+00"/>
    <numFmt numFmtId="172" formatCode="0.0000000"/>
  </numFmts>
  <fonts count="10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2"/>
      <color theme="1"/>
      <name val="Calibri (corpo)"/>
    </font>
    <font>
      <b/>
      <sz val="12"/>
      <color theme="1"/>
      <name val="Calibri (corpo)"/>
    </font>
    <font>
      <b/>
      <vertAlign val="subscript"/>
      <sz val="12"/>
      <color theme="1"/>
      <name val="Calibri (corpo)"/>
    </font>
    <font>
      <b/>
      <sz val="11"/>
      <color theme="1"/>
      <name val="Calibri"/>
      <family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1" fillId="0" borderId="0" xfId="0" applyFont="1"/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2" fontId="0" fillId="0" borderId="0" xfId="0" applyNumberFormat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71" fontId="0" fillId="0" borderId="0" xfId="0" applyNumberFormat="1" applyAlignment="1">
      <alignment horizontal="center" vertical="center"/>
    </xf>
    <xf numFmtId="171" fontId="0" fillId="0" borderId="0" xfId="0" applyNumberFormat="1"/>
    <xf numFmtId="1" fontId="0" fillId="0" borderId="0" xfId="0" applyNumberFormat="1"/>
    <xf numFmtId="16" fontId="0" fillId="0" borderId="0" xfId="0" applyNumberFormat="1"/>
    <xf numFmtId="2" fontId="0" fillId="0" borderId="0" xfId="0" applyNumberFormat="1"/>
    <xf numFmtId="166" fontId="0" fillId="0" borderId="0" xfId="0" applyNumberFormat="1"/>
    <xf numFmtId="11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17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3907671536573"/>
          <c:y val="5.0603529496569141E-2"/>
          <c:w val="0.8108431525031502"/>
          <c:h val="0.78157425764113497"/>
        </c:manualLayout>
      </c:layout>
      <c:scatterChart>
        <c:scatterStyle val="lineMarker"/>
        <c:varyColors val="0"/>
        <c:ser>
          <c:idx val="0"/>
          <c:order val="0"/>
          <c:tx>
            <c:v>F. Preta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12885303204.527393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21831543736.237297</c:v>
                </c:pt>
              </c:numCache>
            </c:numRef>
          </c:xVal>
          <c:yVal>
            <c:numRef>
              <c:f>'Parte 1'!$H$11:$H$15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E-5843-8AAE-7954534DC3CD}"/>
            </c:ext>
          </c:extLst>
        </c:ser>
        <c:ser>
          <c:idx val="4"/>
          <c:order val="1"/>
          <c:tx>
            <c:v>F. Preta aj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12885303204.527393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21831543736.237297</c:v>
                </c:pt>
              </c:numCache>
            </c:numRef>
          </c:xVal>
          <c:yVal>
            <c:numRef>
              <c:f>'Parte 1'!$I$11:$I$15</c:f>
              <c:numCache>
                <c:formatCode>0.00E+00</c:formatCode>
                <c:ptCount val="5"/>
                <c:pt idx="0">
                  <c:v>4.0274133529912236E-3</c:v>
                </c:pt>
                <c:pt idx="1">
                  <c:v>2.2792237610330347E-3</c:v>
                </c:pt>
                <c:pt idx="2">
                  <c:v>2.2792237610330347E-3</c:v>
                </c:pt>
                <c:pt idx="3">
                  <c:v>9.9124724105775254E-5</c:v>
                </c:pt>
                <c:pt idx="4">
                  <c:v>3.0650144008369348E-3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B3E-5843-8AAE-7954534DC3CD}"/>
            </c:ext>
          </c:extLst>
        </c:ser>
        <c:ser>
          <c:idx val="1"/>
          <c:order val="2"/>
          <c:tx>
            <c:v>F. branca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21850313923.634293</c:v>
                </c:pt>
              </c:numCache>
            </c:numRef>
          </c:xVal>
          <c:yVal>
            <c:numRef>
              <c:f>'Parte 1'!$H$20:$H$24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1.1476000000000002E-2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3E-5843-8AAE-7954534DC3CD}"/>
            </c:ext>
          </c:extLst>
        </c:ser>
        <c:ser>
          <c:idx val="5"/>
          <c:order val="3"/>
          <c:tx>
            <c:v>F. Branca aj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21850313923.634293</c:v>
                </c:pt>
              </c:numCache>
            </c:numRef>
          </c:xVal>
          <c:yVal>
            <c:numRef>
              <c:f>'Parte 1'!$I$20:$I$24</c:f>
              <c:numCache>
                <c:formatCode>0.00E+00</c:formatCode>
                <c:ptCount val="5"/>
                <c:pt idx="0">
                  <c:v>2.9796986346098163E-3</c:v>
                </c:pt>
                <c:pt idx="1">
                  <c:v>2.9796986346098163E-3</c:v>
                </c:pt>
                <c:pt idx="2">
                  <c:v>2.9796986346098163E-3</c:v>
                </c:pt>
                <c:pt idx="3">
                  <c:v>-2.3638711626047908E-3</c:v>
                </c:pt>
                <c:pt idx="4">
                  <c:v>4.9007752587753514E-3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B3E-5843-8AAE-7954534DC3CD}"/>
            </c:ext>
          </c:extLst>
        </c:ser>
        <c:ser>
          <c:idx val="2"/>
          <c:order val="4"/>
          <c:tx>
            <c:v>F. Baça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21907058096.008751</c:v>
                </c:pt>
              </c:numCache>
            </c:numRef>
          </c:xVal>
          <c:yVal>
            <c:numRef>
              <c:f>'Parte 1'!$H$29:$H$33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5.1370000000000001E-3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3E-5843-8AAE-7954534DC3CD}"/>
            </c:ext>
          </c:extLst>
        </c:ser>
        <c:ser>
          <c:idx val="6"/>
          <c:order val="5"/>
          <c:tx>
            <c:v>F. Baça aj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21907058096.008751</c:v>
                </c:pt>
              </c:numCache>
            </c:numRef>
          </c:xVal>
          <c:yVal>
            <c:numRef>
              <c:f>'Parte 1'!$I$29:$I$33</c:f>
              <c:numCache>
                <c:formatCode>0.00E+00</c:formatCode>
                <c:ptCount val="5"/>
                <c:pt idx="0">
                  <c:v>1.7564481320568011E-3</c:v>
                </c:pt>
                <c:pt idx="1">
                  <c:v>1.7564481320568011E-3</c:v>
                </c:pt>
                <c:pt idx="2">
                  <c:v>-4.6181201992106981E-4</c:v>
                </c:pt>
                <c:pt idx="3">
                  <c:v>-4.6181201992106981E-4</c:v>
                </c:pt>
                <c:pt idx="4">
                  <c:v>2.5477277757285292E-3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B3E-5843-8AAE-7954534DC3CD}"/>
            </c:ext>
          </c:extLst>
        </c:ser>
        <c:ser>
          <c:idx val="3"/>
          <c:order val="6"/>
          <c:tx>
            <c:v>F. Metalizada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21983749917.971371</c:v>
                </c:pt>
              </c:numCache>
            </c:numRef>
          </c:xVal>
          <c:yVal>
            <c:numRef>
              <c:f>'Parte 1'!$H$38:$H$42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3E-5843-8AAE-7954534DC3CD}"/>
            </c:ext>
          </c:extLst>
        </c:ser>
        <c:ser>
          <c:idx val="7"/>
          <c:order val="7"/>
          <c:tx>
            <c:v>F. Metalizada aj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21983749917.971371</c:v>
                </c:pt>
              </c:numCache>
            </c:numRef>
          </c:xVal>
          <c:yVal>
            <c:numRef>
              <c:f>'Parte 1'!$I$38:$I$42</c:f>
              <c:numCache>
                <c:formatCode>0.00E+00</c:formatCode>
                <c:ptCount val="5"/>
                <c:pt idx="0">
                  <c:v>5.9967117793747831E-4</c:v>
                </c:pt>
                <c:pt idx="1">
                  <c:v>5.9967117793747831E-4</c:v>
                </c:pt>
                <c:pt idx="2">
                  <c:v>-1.5643148425078233E-4</c:v>
                </c:pt>
                <c:pt idx="3">
                  <c:v>-1.5643148425078233E-4</c:v>
                </c:pt>
                <c:pt idx="4">
                  <c:v>8.6652061262660653E-4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B3E-5843-8AAE-7954534D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86783"/>
        <c:axId val="406588415"/>
      </c:scatterChart>
      <c:valAx>
        <c:axId val="406586783"/>
        <c:scaling>
          <c:orientation val="minMax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</a:t>
                </a:r>
                <a:r>
                  <a:rPr lang="pt-PT" baseline="30000"/>
                  <a:t>4</a:t>
                </a:r>
                <a:r>
                  <a:rPr lang="pt-PT"/>
                  <a:t> (K</a:t>
                </a:r>
                <a:r>
                  <a:rPr lang="pt-PT" baseline="30000"/>
                  <a:t>4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6588415"/>
        <c:crossesAt val="-90"/>
        <c:crossBetween val="midCat"/>
        <c:majorUnit val="1000000000"/>
      </c:valAx>
      <c:valAx>
        <c:axId val="40658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S </a:t>
                </a:r>
                <a:r>
                  <a:rPr lang="pt-PT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658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00523926361346"/>
          <c:y val="6.1093373602272322E-2"/>
          <c:w val="0.16709326880128506"/>
          <c:h val="0.4795363703025338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35494264643704"/>
          <c:y val="5.6121565591512178E-2"/>
          <c:w val="0.75895954666921273"/>
          <c:h val="0.80266118245567919"/>
        </c:manualLayout>
      </c:layout>
      <c:scatterChart>
        <c:scatterStyle val="lineMarker"/>
        <c:varyColors val="0"/>
        <c:ser>
          <c:idx val="0"/>
          <c:order val="0"/>
          <c:tx>
            <c:v>Res. Preta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12885303204.527393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21831543736.237297</c:v>
                </c:pt>
              </c:numCache>
            </c:numRef>
          </c:xVal>
          <c:yVal>
            <c:numRef>
              <c:f>'Parte 1'!$J$11:$J$15</c:f>
              <c:numCache>
                <c:formatCode>0E+00</c:formatCode>
                <c:ptCount val="5"/>
                <c:pt idx="0">
                  <c:v>4.0274133529912236E-3</c:v>
                </c:pt>
                <c:pt idx="1">
                  <c:v>2.2792237610330347E-3</c:v>
                </c:pt>
                <c:pt idx="2">
                  <c:v>2.2792237610330347E-3</c:v>
                </c:pt>
                <c:pt idx="3">
                  <c:v>9.9124724105775254E-5</c:v>
                </c:pt>
                <c:pt idx="4">
                  <c:v>-8.6849855991630656E-3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D-D040-BDC8-C0F21843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227695"/>
        <c:axId val="1386412111"/>
      </c:scatterChart>
      <c:valAx>
        <c:axId val="1258227695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86412111"/>
        <c:crossesAt val="-90"/>
        <c:crossBetween val="midCat"/>
        <c:majorUnit val="1000000000"/>
      </c:valAx>
      <c:valAx>
        <c:axId val="13864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822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37679816770753"/>
          <c:y val="7.9537535751394259E-2"/>
          <c:w val="0.13874258343352078"/>
          <c:h val="7.356354990171588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0"/>
          <c:order val="0"/>
          <c:tx>
            <c:v>Res. Branca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21850313923.634293</c:v>
                </c:pt>
              </c:numCache>
            </c:numRef>
          </c:xVal>
          <c:yVal>
            <c:numRef>
              <c:f>'Parte 1'!$J$20:$J$24</c:f>
              <c:numCache>
                <c:formatCode>0E+00</c:formatCode>
                <c:ptCount val="5"/>
                <c:pt idx="0">
                  <c:v>2.9796986346098163E-3</c:v>
                </c:pt>
                <c:pt idx="1">
                  <c:v>2.9796986346098163E-3</c:v>
                </c:pt>
                <c:pt idx="2">
                  <c:v>2.9796986346098163E-3</c:v>
                </c:pt>
                <c:pt idx="3">
                  <c:v>-2.3638711626047908E-3</c:v>
                </c:pt>
                <c:pt idx="4">
                  <c:v>-6.5752247412246504E-3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6-F146-884C-0C375368C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315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85368329871548"/>
          <c:y val="0.76033683276199793"/>
          <c:w val="0.15130193316729443"/>
          <c:h val="7.495860259576506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1"/>
          <c:order val="0"/>
          <c:tx>
            <c:v>Res. Baça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21907058096.008751</c:v>
                </c:pt>
              </c:numCache>
            </c:numRef>
          </c:xVal>
          <c:yVal>
            <c:numRef>
              <c:f>'Parte 1'!$J$29:$J$33</c:f>
              <c:numCache>
                <c:formatCode>0E+00</c:formatCode>
                <c:ptCount val="5"/>
                <c:pt idx="0">
                  <c:v>1.7564481320568011E-3</c:v>
                </c:pt>
                <c:pt idx="1">
                  <c:v>1.7564481320568011E-3</c:v>
                </c:pt>
                <c:pt idx="2">
                  <c:v>-4.6181201992106981E-4</c:v>
                </c:pt>
                <c:pt idx="3">
                  <c:v>-4.6181201992106981E-4</c:v>
                </c:pt>
                <c:pt idx="4">
                  <c:v>-2.5892722242714709E-3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A-7F4D-B360-5CB748982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315316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887432331747681"/>
          <c:y val="0.7429592848396861"/>
          <c:w val="0.16578675610438653"/>
          <c:h val="7.792256914767871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2"/>
          <c:order val="0"/>
          <c:tx>
            <c:v>Res. Metalizada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21983749917.971371</c:v>
                </c:pt>
              </c:numCache>
            </c:numRef>
          </c:xVal>
          <c:yVal>
            <c:numRef>
              <c:f>'Parte 1'!$J$38:$J$42</c:f>
              <c:numCache>
                <c:formatCode>0E+00</c:formatCode>
                <c:ptCount val="5"/>
                <c:pt idx="0">
                  <c:v>5.9967117793747831E-4</c:v>
                </c:pt>
                <c:pt idx="1">
                  <c:v>5.9967117793747831E-4</c:v>
                </c:pt>
                <c:pt idx="2">
                  <c:v>-1.5643148425078233E-4</c:v>
                </c:pt>
                <c:pt idx="3">
                  <c:v>-1.5643148425078233E-4</c:v>
                </c:pt>
                <c:pt idx="4">
                  <c:v>-8.8647938737339347E-4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C1B-5C4B-B86E-8274C59B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315316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103796724239919"/>
          <c:y val="9.3367444639341865E-2"/>
          <c:w val="0.20930702277954055"/>
          <c:h val="7.792256914767871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46853427801949"/>
          <c:y val="5.0222116928736002E-2"/>
          <c:w val="0.77627513584282959"/>
          <c:h val="0.76534839301808322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2'!$K$15:$K$35</c:f>
              <c:numCache>
                <c:formatCode>0.000</c:formatCode>
                <c:ptCount val="21"/>
                <c:pt idx="0">
                  <c:v>4.2848000000000006</c:v>
                </c:pt>
                <c:pt idx="1">
                  <c:v>5.0467000000000004</c:v>
                </c:pt>
                <c:pt idx="2">
                  <c:v>5.7317499999999999</c:v>
                </c:pt>
                <c:pt idx="3">
                  <c:v>6.6163999999999996</c:v>
                </c:pt>
                <c:pt idx="4">
                  <c:v>8.6385000000000005</c:v>
                </c:pt>
                <c:pt idx="5">
                  <c:v>9.3917249999999992</c:v>
                </c:pt>
                <c:pt idx="6">
                  <c:v>10.32625</c:v>
                </c:pt>
                <c:pt idx="7">
                  <c:v>11.36</c:v>
                </c:pt>
                <c:pt idx="8">
                  <c:v>12.380800000000001</c:v>
                </c:pt>
                <c:pt idx="9">
                  <c:v>14.560700000000001</c:v>
                </c:pt>
                <c:pt idx="10">
                  <c:v>15.947699999999999</c:v>
                </c:pt>
                <c:pt idx="11">
                  <c:v>17.163899999999998</c:v>
                </c:pt>
                <c:pt idx="12">
                  <c:v>19.396999999999998</c:v>
                </c:pt>
                <c:pt idx="13" formatCode="0.00">
                  <c:v>20.810400000000001</c:v>
                </c:pt>
                <c:pt idx="14" formatCode="0.00">
                  <c:v>0.83439000000000008</c:v>
                </c:pt>
                <c:pt idx="15" formatCode="0.00">
                  <c:v>1.2967199999999999</c:v>
                </c:pt>
                <c:pt idx="16" formatCode="0.00">
                  <c:v>13.082199999999998</c:v>
                </c:pt>
                <c:pt idx="17" formatCode="0.00">
                  <c:v>14.213699999999999</c:v>
                </c:pt>
              </c:numCache>
            </c:numRef>
          </c:xVal>
          <c:yVal>
            <c:numRef>
              <c:f>'Parte 2'!$E$15:$E$35</c:f>
              <c:numCache>
                <c:formatCode>0.000000</c:formatCode>
                <c:ptCount val="21"/>
                <c:pt idx="0">
                  <c:v>1.2099999999999999E-3</c:v>
                </c:pt>
                <c:pt idx="1">
                  <c:v>1.7060000000000001E-3</c:v>
                </c:pt>
                <c:pt idx="2">
                  <c:v>2.1219999999999998E-3</c:v>
                </c:pt>
                <c:pt idx="3">
                  <c:v>2.6099999999999999E-3</c:v>
                </c:pt>
                <c:pt idx="4">
                  <c:v>3.7060000000000001E-3</c:v>
                </c:pt>
                <c:pt idx="5">
                  <c:v>4.2529999999999998E-3</c:v>
                </c:pt>
                <c:pt idx="6">
                  <c:v>4.7949999999999998E-3</c:v>
                </c:pt>
                <c:pt idx="7">
                  <c:v>5.398E-3</c:v>
                </c:pt>
                <c:pt idx="8">
                  <c:v>5.9850000000000007E-3</c:v>
                </c:pt>
                <c:pt idx="9">
                  <c:v>7.2270000000000008E-3</c:v>
                </c:pt>
                <c:pt idx="10">
                  <c:v>8.0500000000000016E-3</c:v>
                </c:pt>
                <c:pt idx="11">
                  <c:v>8.7690000000000008E-3</c:v>
                </c:pt>
                <c:pt idx="12">
                  <c:v>1.0060000000000001E-2</c:v>
                </c:pt>
                <c:pt idx="13">
                  <c:v>1.0840000000000001E-2</c:v>
                </c:pt>
                <c:pt idx="14">
                  <c:v>1.4999999999999999E-4</c:v>
                </c:pt>
                <c:pt idx="15">
                  <c:v>1.6000000000000001E-4</c:v>
                </c:pt>
                <c:pt idx="16">
                  <c:v>6.2300000000000003E-3</c:v>
                </c:pt>
                <c:pt idx="17">
                  <c:v>6.7800000000000004E-3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2-2541-866F-361AC77D759E}"/>
            </c:ext>
          </c:extLst>
        </c:ser>
        <c:ser>
          <c:idx val="2"/>
          <c:order val="1"/>
          <c:tx>
            <c:v>Ptos Retirados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'Parte 2'!$K$7:$K$14</c:f>
              <c:numCache>
                <c:formatCode>0.000</c:formatCode>
                <c:ptCount val="8"/>
                <c:pt idx="0">
                  <c:v>2.7936000000000001</c:v>
                </c:pt>
                <c:pt idx="1">
                  <c:v>7.5515999999999996</c:v>
                </c:pt>
                <c:pt idx="2">
                  <c:v>13.695599999999997</c:v>
                </c:pt>
                <c:pt idx="3">
                  <c:v>18.369999999999997</c:v>
                </c:pt>
                <c:pt idx="4">
                  <c:v>1.00969</c:v>
                </c:pt>
                <c:pt idx="5">
                  <c:v>1.5462400000000001</c:v>
                </c:pt>
                <c:pt idx="6">
                  <c:v>2.0932599999999999</c:v>
                </c:pt>
                <c:pt idx="7">
                  <c:v>3.4079999999999999</c:v>
                </c:pt>
              </c:numCache>
            </c:numRef>
          </c:xVal>
          <c:yVal>
            <c:numRef>
              <c:f>'Parte 2'!$E$7:$E$14</c:f>
              <c:numCache>
                <c:formatCode>0.000000</c:formatCode>
                <c:ptCount val="8"/>
                <c:pt idx="0">
                  <c:v>8.4800000000000001E-4</c:v>
                </c:pt>
                <c:pt idx="1">
                  <c:v>3.1070000000000004E-3</c:v>
                </c:pt>
                <c:pt idx="2">
                  <c:v>6.5000000000000006E-3</c:v>
                </c:pt>
                <c:pt idx="3">
                  <c:v>9.3699999999999999E-3</c:v>
                </c:pt>
                <c:pt idx="4">
                  <c:v>1.9000000000000001E-4</c:v>
                </c:pt>
                <c:pt idx="5">
                  <c:v>2.5300000000000002E-4</c:v>
                </c:pt>
                <c:pt idx="6">
                  <c:v>4.2999999999999999E-4</c:v>
                </c:pt>
                <c:pt idx="7">
                  <c:v>9.6400000000000001E-4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5F-F847-B2A8-EB5D877BD4BC}"/>
            </c:ext>
          </c:extLst>
        </c:ser>
        <c:ser>
          <c:idx val="1"/>
          <c:order val="2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2'!$K$7:$K$35</c:f>
              <c:numCache>
                <c:formatCode>0.000</c:formatCode>
                <c:ptCount val="29"/>
                <c:pt idx="0">
                  <c:v>2.7936000000000001</c:v>
                </c:pt>
                <c:pt idx="1">
                  <c:v>7.5515999999999996</c:v>
                </c:pt>
                <c:pt idx="2">
                  <c:v>13.695599999999997</c:v>
                </c:pt>
                <c:pt idx="3">
                  <c:v>18.369999999999997</c:v>
                </c:pt>
                <c:pt idx="4">
                  <c:v>1.00969</c:v>
                </c:pt>
                <c:pt idx="5">
                  <c:v>1.5462400000000001</c:v>
                </c:pt>
                <c:pt idx="6">
                  <c:v>2.0932599999999999</c:v>
                </c:pt>
                <c:pt idx="7">
                  <c:v>3.4079999999999999</c:v>
                </c:pt>
                <c:pt idx="8">
                  <c:v>4.2848000000000006</c:v>
                </c:pt>
                <c:pt idx="9">
                  <c:v>5.0467000000000004</c:v>
                </c:pt>
                <c:pt idx="10">
                  <c:v>5.7317499999999999</c:v>
                </c:pt>
                <c:pt idx="11">
                  <c:v>6.6163999999999996</c:v>
                </c:pt>
                <c:pt idx="12">
                  <c:v>8.6385000000000005</c:v>
                </c:pt>
                <c:pt idx="13">
                  <c:v>9.3917249999999992</c:v>
                </c:pt>
                <c:pt idx="14">
                  <c:v>10.32625</c:v>
                </c:pt>
                <c:pt idx="15">
                  <c:v>11.36</c:v>
                </c:pt>
                <c:pt idx="16">
                  <c:v>12.380800000000001</c:v>
                </c:pt>
                <c:pt idx="17">
                  <c:v>14.560700000000001</c:v>
                </c:pt>
                <c:pt idx="18">
                  <c:v>15.947699999999999</c:v>
                </c:pt>
                <c:pt idx="19">
                  <c:v>17.163899999999998</c:v>
                </c:pt>
                <c:pt idx="20">
                  <c:v>19.396999999999998</c:v>
                </c:pt>
                <c:pt idx="21" formatCode="0.00">
                  <c:v>20.810400000000001</c:v>
                </c:pt>
                <c:pt idx="22" formatCode="0.00">
                  <c:v>0.83439000000000008</c:v>
                </c:pt>
                <c:pt idx="23" formatCode="0.00">
                  <c:v>1.2967199999999999</c:v>
                </c:pt>
                <c:pt idx="24" formatCode="0.00">
                  <c:v>13.082199999999998</c:v>
                </c:pt>
                <c:pt idx="25" formatCode="0.00">
                  <c:v>14.213699999999999</c:v>
                </c:pt>
              </c:numCache>
            </c:numRef>
          </c:xVal>
          <c:yVal>
            <c:numRef>
              <c:f>'Parte 2'!$N$7:$N$35</c:f>
              <c:numCache>
                <c:formatCode>0.0000000</c:formatCode>
                <c:ptCount val="29"/>
                <c:pt idx="0">
                  <c:v>7.4795104827323866E-4</c:v>
                </c:pt>
                <c:pt idx="1">
                  <c:v>3.3468621219743073E-3</c:v>
                </c:pt>
                <c:pt idx="2">
                  <c:v>6.702833041860679E-3</c:v>
                </c:pt>
                <c:pt idx="3">
                  <c:v>9.2560801883315239E-3</c:v>
                </c:pt>
                <c:pt idx="4">
                  <c:v>-2.2645488982807977E-4</c:v>
                </c:pt>
                <c:pt idx="5">
                  <c:v>6.661903547547387E-5</c:v>
                </c:pt>
                <c:pt idx="6">
                  <c:v>3.6541187606731044E-4</c:v>
                </c:pt>
                <c:pt idx="7">
                  <c:v>1.083548140261876E-3</c:v>
                </c:pt>
                <c:pt idx="8">
                  <c:v>1.5624731569539945E-3</c:v>
                </c:pt>
                <c:pt idx="9">
                  <c:v>1.978637584665815E-3</c:v>
                </c:pt>
                <c:pt idx="10">
                  <c:v>2.352825064917794E-3</c:v>
                </c:pt>
                <c:pt idx="11">
                  <c:v>2.836037902528061E-3</c:v>
                </c:pt>
                <c:pt idx="12">
                  <c:v>3.9405477978897534E-3</c:v>
                </c:pt>
                <c:pt idx="13">
                  <c:v>4.3519737738226E-3</c:v>
                </c:pt>
                <c:pt idx="14">
                  <c:v>4.8624292952918081E-3</c:v>
                </c:pt>
                <c:pt idx="15">
                  <c:v>5.4270834193856461E-3</c:v>
                </c:pt>
                <c:pt idx="16">
                  <c:v>5.984664004512601E-3</c:v>
                </c:pt>
                <c:pt idx="17">
                  <c:v>7.1753672936174682E-3</c:v>
                </c:pt>
                <c:pt idx="18">
                  <c:v>7.9329733590280151E-3</c:v>
                </c:pt>
                <c:pt idx="19">
                  <c:v>8.5972851807672411E-3</c:v>
                </c:pt>
                <c:pt idx="20">
                  <c:v>9.8170473326549788E-3</c:v>
                </c:pt>
                <c:pt idx="21">
                  <c:v>1.0589073585611914E-2</c:v>
                </c:pt>
                <c:pt idx="22">
                  <c:v>-3.2220712001298883E-4</c:v>
                </c:pt>
                <c:pt idx="23">
                  <c:v>-6.9673585606890801E-5</c:v>
                </c:pt>
                <c:pt idx="24">
                  <c:v>6.3677821690972846E-3</c:v>
                </c:pt>
                <c:pt idx="25">
                  <c:v>6.985829222458521E-3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01-A543-A994-29C7789B1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492991"/>
        <c:axId val="1458353375"/>
      </c:scatterChart>
      <c:valAx>
        <c:axId val="1463492991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0"/>
                  <a:t> (W)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8353375"/>
        <c:crossesAt val="-90"/>
        <c:crossBetween val="midCat"/>
        <c:majorUnit val="2"/>
      </c:valAx>
      <c:valAx>
        <c:axId val="145835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S</a:t>
                </a:r>
                <a:r>
                  <a:rPr lang="pt-PT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3492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38250318680051"/>
          <c:y val="0.56709038507098153"/>
          <c:w val="0.21996974287716933"/>
          <c:h val="0.23430883639545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64668737512942"/>
          <c:y val="4.9415730615291288E-2"/>
          <c:w val="0.79071949469292013"/>
          <c:h val="0.8008235604211759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2'!$M$7:$M$32</c:f>
              <c:numCache>
                <c:formatCode>0.0000000</c:formatCode>
                <c:ptCount val="26"/>
                <c:pt idx="0">
                  <c:v>3.0720914117869915</c:v>
                </c:pt>
                <c:pt idx="1">
                  <c:v>3.2036500552649096</c:v>
                </c:pt>
                <c:pt idx="2">
                  <c:v>3.2762733190046553</c:v>
                </c:pt>
                <c:pt idx="3">
                  <c:v>3.3129868291207454</c:v>
                </c:pt>
                <c:pt idx="4">
                  <c:v>2.9165355227023659</c:v>
                </c:pt>
                <c:pt idx="5">
                  <c:v>2.9839817895097061</c:v>
                </c:pt>
                <c:pt idx="6">
                  <c:v>3.0254265591679785</c:v>
                </c:pt>
                <c:pt idx="7">
                  <c:v>3.0979184845479169</c:v>
                </c:pt>
                <c:pt idx="8">
                  <c:v>3.1235059718687253</c:v>
                </c:pt>
                <c:pt idx="9">
                  <c:v>3.1494813494031955</c:v>
                </c:pt>
                <c:pt idx="10">
                  <c:v>3.1667768691899538</c:v>
                </c:pt>
                <c:pt idx="11">
                  <c:v>3.1850227880865321</c:v>
                </c:pt>
                <c:pt idx="12">
                  <c:v>3.2185709044223096</c:v>
                </c:pt>
                <c:pt idx="13">
                  <c:v>3.2299432602134575</c:v>
                </c:pt>
                <c:pt idx="14">
                  <c:v>3.2433071870648513</c:v>
                </c:pt>
                <c:pt idx="15">
                  <c:v>3.254868776589817</c:v>
                </c:pt>
                <c:pt idx="16">
                  <c:v>3.2662308802918294</c:v>
                </c:pt>
                <c:pt idx="17">
                  <c:v>3.2868824027179118</c:v>
                </c:pt>
                <c:pt idx="18">
                  <c:v>3.2969480436789005</c:v>
                </c:pt>
                <c:pt idx="19">
                  <c:v>3.3057837917491555</c:v>
                </c:pt>
                <c:pt idx="20">
                  <c:v>3.3199482892845902</c:v>
                </c:pt>
                <c:pt idx="21">
                  <c:v>3.3287630747749728</c:v>
                </c:pt>
                <c:pt idx="22">
                  <c:v>2.8869672014837899</c:v>
                </c:pt>
                <c:pt idx="23">
                  <c:v>2.9546330676191301</c:v>
                </c:pt>
                <c:pt idx="24">
                  <c:v>3.2716036719958663</c:v>
                </c:pt>
                <c:pt idx="25">
                  <c:v>3.2827578127435286</c:v>
                </c:pt>
              </c:numCache>
            </c:numRef>
          </c:xVal>
          <c:yVal>
            <c:numRef>
              <c:f>'Parte 2'!$P$7:$P$32</c:f>
              <c:numCache>
                <c:formatCode>0.000</c:formatCode>
                <c:ptCount val="26"/>
                <c:pt idx="0">
                  <c:v>-3.0716041477432863</c:v>
                </c:pt>
                <c:pt idx="1">
                  <c:v>-2.5076587467450255</c:v>
                </c:pt>
                <c:pt idx="2">
                  <c:v>-2.1870866433571443</c:v>
                </c:pt>
                <c:pt idx="3">
                  <c:v>-2.0282604091122218</c:v>
                </c:pt>
                <c:pt idx="4" formatCode="0.0000">
                  <c:v>-3.7212463990471711</c:v>
                </c:pt>
                <c:pt idx="5" formatCode="0.0000">
                  <c:v>-3.596879478824182</c:v>
                </c:pt>
                <c:pt idx="6" formatCode="0.0000">
                  <c:v>-3.3665315444204134</c:v>
                </c:pt>
                <c:pt idx="7" formatCode="0.0000">
                  <c:v>-3.0159229660971691</c:v>
                </c:pt>
                <c:pt idx="8" formatCode="0.0000">
                  <c:v>-2.9172146296835502</c:v>
                </c:pt>
                <c:pt idx="9" formatCode="0.0000">
                  <c:v>-2.7680209731684959</c:v>
                </c:pt>
                <c:pt idx="10" formatCode="0.0000">
                  <c:v>-2.6732546204346783</c:v>
                </c:pt>
                <c:pt idx="11" formatCode="0.00000">
                  <c:v>-2.5833594926617192</c:v>
                </c:pt>
                <c:pt idx="12" formatCode="0.00000">
                  <c:v>-2.4310945850171213</c:v>
                </c:pt>
                <c:pt idx="13" formatCode="0.00000">
                  <c:v>-2.3713046172859769</c:v>
                </c:pt>
                <c:pt idx="14" formatCode="0.00000">
                  <c:v>-2.3192113884933176</c:v>
                </c:pt>
                <c:pt idx="15" formatCode="0.00000">
                  <c:v>-2.267767119779502</c:v>
                </c:pt>
                <c:pt idx="16" formatCode="0.00000">
                  <c:v>-2.2229358452575703</c:v>
                </c:pt>
                <c:pt idx="17" formatCode="0.00000">
                  <c:v>-2.141041945281994</c:v>
                </c:pt>
                <c:pt idx="18" formatCode="0.00000">
                  <c:v>-2.0942041196321313</c:v>
                </c:pt>
                <c:pt idx="19" formatCode="0.00000">
                  <c:v>-2.057049929922901</c:v>
                </c:pt>
                <c:pt idx="20" formatCode="0.00000">
                  <c:v>-1.9974020192800914</c:v>
                </c:pt>
                <c:pt idx="21" formatCode="0.00000">
                  <c:v>-1.9649707177976319</c:v>
                </c:pt>
                <c:pt idx="22" formatCode="0.00000">
                  <c:v>-3.8239087409443187</c:v>
                </c:pt>
                <c:pt idx="23" formatCode="0.00000">
                  <c:v>-3.795880017344075</c:v>
                </c:pt>
                <c:pt idx="24" formatCode="0.00000">
                  <c:v>-2.2055119533408303</c:v>
                </c:pt>
                <c:pt idx="25" formatCode="0.00000">
                  <c:v>-2.1687703061329366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7-A346-879C-F8313EECAB6F}"/>
            </c:ext>
          </c:extLst>
        </c:ser>
        <c:ser>
          <c:idx val="1"/>
          <c:order val="1"/>
          <c:tx>
            <c:v>Aj. lin.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2'!$M$16:$M$35</c:f>
              <c:numCache>
                <c:formatCode>0.0000000</c:formatCode>
                <c:ptCount val="20"/>
                <c:pt idx="0">
                  <c:v>3.1494813494031955</c:v>
                </c:pt>
                <c:pt idx="1">
                  <c:v>3.1667768691899538</c:v>
                </c:pt>
                <c:pt idx="2">
                  <c:v>3.1850227880865321</c:v>
                </c:pt>
                <c:pt idx="3">
                  <c:v>3.2185709044223096</c:v>
                </c:pt>
                <c:pt idx="4">
                  <c:v>3.2299432602134575</c:v>
                </c:pt>
                <c:pt idx="5">
                  <c:v>3.2433071870648513</c:v>
                </c:pt>
                <c:pt idx="6">
                  <c:v>3.254868776589817</c:v>
                </c:pt>
                <c:pt idx="7">
                  <c:v>3.2662308802918294</c:v>
                </c:pt>
                <c:pt idx="8">
                  <c:v>3.2868824027179118</c:v>
                </c:pt>
                <c:pt idx="9">
                  <c:v>3.2969480436789005</c:v>
                </c:pt>
                <c:pt idx="10">
                  <c:v>3.3057837917491555</c:v>
                </c:pt>
                <c:pt idx="11">
                  <c:v>3.3199482892845902</c:v>
                </c:pt>
                <c:pt idx="12">
                  <c:v>3.3287630747749728</c:v>
                </c:pt>
                <c:pt idx="13">
                  <c:v>2.8869672014837899</c:v>
                </c:pt>
                <c:pt idx="14">
                  <c:v>2.9546330676191301</c:v>
                </c:pt>
                <c:pt idx="15">
                  <c:v>3.2716036719958663</c:v>
                </c:pt>
                <c:pt idx="16">
                  <c:v>3.2827578127435286</c:v>
                </c:pt>
              </c:numCache>
            </c:numRef>
          </c:xVal>
          <c:yVal>
            <c:numRef>
              <c:f>'Parte 2'!$R$16:$R$35</c:f>
              <c:numCache>
                <c:formatCode>0.000</c:formatCode>
                <c:ptCount val="20"/>
                <c:pt idx="0">
                  <c:v>-2.7577627398760196</c:v>
                </c:pt>
                <c:pt idx="1">
                  <c:v>-2.6797236119766605</c:v>
                </c:pt>
                <c:pt idx="2">
                  <c:v>-2.5973961875357041</c:v>
                </c:pt>
                <c:pt idx="3">
                  <c:v>-2.4460237064660841</c:v>
                </c:pt>
                <c:pt idx="4">
                  <c:v>-2.3947104913072152</c:v>
                </c:pt>
                <c:pt idx="5">
                  <c:v>-2.3344111068624596</c:v>
                </c:pt>
                <c:pt idx="6">
                  <c:v>-2.2822440500302363</c:v>
                </c:pt>
                <c:pt idx="7">
                  <c:v>-2.2309770933305018</c:v>
                </c:pt>
                <c:pt idx="8">
                  <c:v>-2.1377953433862533</c:v>
                </c:pt>
                <c:pt idx="9">
                  <c:v>-2.0923781571999776</c:v>
                </c:pt>
                <c:pt idx="10">
                  <c:v>-2.0525103716553605</c:v>
                </c:pt>
                <c:pt idx="11">
                  <c:v>-1.9885987316221865</c:v>
                </c:pt>
                <c:pt idx="12">
                  <c:v>-1.9488255313500531</c:v>
                </c:pt>
                <c:pt idx="13">
                  <c:v>-3.9422530250745247</c:v>
                </c:pt>
                <c:pt idx="14">
                  <c:v>-3.636937819352891</c:v>
                </c:pt>
                <c:pt idx="15">
                  <c:v>-2.2067345158227152</c:v>
                </c:pt>
                <c:pt idx="16">
                  <c:v>-2.1564059089264536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AF-5C46-AE94-EB2464737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91423"/>
        <c:axId val="1467241439"/>
      </c:scatterChart>
      <c:valAx>
        <c:axId val="146509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7241439"/>
        <c:crossesAt val="-90"/>
        <c:crossBetween val="midCat"/>
      </c:valAx>
      <c:valAx>
        <c:axId val="1467241439"/>
        <c:scaling>
          <c:orientation val="minMax"/>
          <c:max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509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44739017636373"/>
          <c:y val="0.65771414422545615"/>
          <c:w val="0.17617130512761547"/>
          <c:h val="0.1558569853648565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58379323265565"/>
          <c:y val="5.1430140786789119E-2"/>
          <c:w val="0.76365328762315565"/>
          <c:h val="0.7456777697358104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2'!$M$16:$M$35</c:f>
              <c:numCache>
                <c:formatCode>0.0000000</c:formatCode>
                <c:ptCount val="20"/>
                <c:pt idx="0">
                  <c:v>3.1494813494031955</c:v>
                </c:pt>
                <c:pt idx="1">
                  <c:v>3.1667768691899538</c:v>
                </c:pt>
                <c:pt idx="2">
                  <c:v>3.1850227880865321</c:v>
                </c:pt>
                <c:pt idx="3">
                  <c:v>3.2185709044223096</c:v>
                </c:pt>
                <c:pt idx="4">
                  <c:v>3.2299432602134575</c:v>
                </c:pt>
                <c:pt idx="5">
                  <c:v>3.2433071870648513</c:v>
                </c:pt>
                <c:pt idx="6">
                  <c:v>3.254868776589817</c:v>
                </c:pt>
                <c:pt idx="7">
                  <c:v>3.2662308802918294</c:v>
                </c:pt>
                <c:pt idx="8">
                  <c:v>3.2868824027179118</c:v>
                </c:pt>
                <c:pt idx="9">
                  <c:v>3.2969480436789005</c:v>
                </c:pt>
                <c:pt idx="10">
                  <c:v>3.3057837917491555</c:v>
                </c:pt>
                <c:pt idx="11">
                  <c:v>3.3199482892845902</c:v>
                </c:pt>
                <c:pt idx="12">
                  <c:v>3.3287630747749728</c:v>
                </c:pt>
                <c:pt idx="13">
                  <c:v>2.8869672014837899</c:v>
                </c:pt>
                <c:pt idx="14">
                  <c:v>2.9546330676191301</c:v>
                </c:pt>
                <c:pt idx="15">
                  <c:v>3.2716036719958663</c:v>
                </c:pt>
                <c:pt idx="16">
                  <c:v>3.2827578127435286</c:v>
                </c:pt>
              </c:numCache>
            </c:numRef>
          </c:xVal>
          <c:yVal>
            <c:numRef>
              <c:f>'Parte 2'!$S$16:$S$35</c:f>
              <c:numCache>
                <c:formatCode>0.000</c:formatCode>
                <c:ptCount val="20"/>
                <c:pt idx="0">
                  <c:v>1.0258233292476326E-2</c:v>
                </c:pt>
                <c:pt idx="1">
                  <c:v>-6.4689915419822164E-3</c:v>
                </c:pt>
                <c:pt idx="2">
                  <c:v>-1.4036694873984956E-2</c:v>
                </c:pt>
                <c:pt idx="3">
                  <c:v>-1.4929121448962857E-2</c:v>
                </c:pt>
                <c:pt idx="4">
                  <c:v>-2.3405874021238393E-2</c:v>
                </c:pt>
                <c:pt idx="5">
                  <c:v>-1.5199718369141912E-2</c:v>
                </c:pt>
                <c:pt idx="6">
                  <c:v>-1.4476930250734377E-2</c:v>
                </c:pt>
                <c:pt idx="7">
                  <c:v>-8.041248072931495E-3</c:v>
                </c:pt>
                <c:pt idx="8">
                  <c:v>3.2466018957406639E-3</c:v>
                </c:pt>
                <c:pt idx="9">
                  <c:v>1.825962432153716E-3</c:v>
                </c:pt>
                <c:pt idx="10">
                  <c:v>4.5395582675404889E-3</c:v>
                </c:pt>
                <c:pt idx="11">
                  <c:v>8.8032876579049457E-3</c:v>
                </c:pt>
                <c:pt idx="12">
                  <c:v>1.6145186447578785E-2</c:v>
                </c:pt>
                <c:pt idx="13">
                  <c:v>-0.11834428413020603</c:v>
                </c:pt>
                <c:pt idx="14">
                  <c:v>0.15894219799118403</c:v>
                </c:pt>
                <c:pt idx="15">
                  <c:v>-1.2225624818849035E-3</c:v>
                </c:pt>
                <c:pt idx="16">
                  <c:v>1.236439720648308E-2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D-8D45-A805-8F8A5EC5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465599"/>
        <c:axId val="1151367759"/>
      </c:scatterChart>
      <c:valAx>
        <c:axId val="115146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367759"/>
        <c:crossesAt val="-90"/>
        <c:crossBetween val="midCat"/>
      </c:valAx>
      <c:valAx>
        <c:axId val="11513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46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48263572752263"/>
          <c:y val="0.70368618263185367"/>
          <c:w val="0.1306953338657145"/>
          <c:h val="7.8876238538662435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8592958040934"/>
          <c:y val="5.0945871925651851E-2"/>
          <c:w val="0.73951846419511647"/>
          <c:h val="0.81379265577147075"/>
        </c:manualLayout>
      </c:layout>
      <c:scatterChart>
        <c:scatterStyle val="lineMarker"/>
        <c:varyColors val="0"/>
        <c:ser>
          <c:idx val="0"/>
          <c:order val="0"/>
          <c:tx>
            <c:v>Res. Vs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2'!$K$15:$K$35</c:f>
              <c:numCache>
                <c:formatCode>0.000</c:formatCode>
                <c:ptCount val="21"/>
                <c:pt idx="0">
                  <c:v>4.2848000000000006</c:v>
                </c:pt>
                <c:pt idx="1">
                  <c:v>5.0467000000000004</c:v>
                </c:pt>
                <c:pt idx="2">
                  <c:v>5.7317499999999999</c:v>
                </c:pt>
                <c:pt idx="3">
                  <c:v>6.6163999999999996</c:v>
                </c:pt>
                <c:pt idx="4">
                  <c:v>8.6385000000000005</c:v>
                </c:pt>
                <c:pt idx="5">
                  <c:v>9.3917249999999992</c:v>
                </c:pt>
                <c:pt idx="6">
                  <c:v>10.32625</c:v>
                </c:pt>
                <c:pt idx="7">
                  <c:v>11.36</c:v>
                </c:pt>
                <c:pt idx="8">
                  <c:v>12.380800000000001</c:v>
                </c:pt>
                <c:pt idx="9">
                  <c:v>14.560700000000001</c:v>
                </c:pt>
                <c:pt idx="10">
                  <c:v>15.947699999999999</c:v>
                </c:pt>
                <c:pt idx="11">
                  <c:v>17.163899999999998</c:v>
                </c:pt>
                <c:pt idx="12">
                  <c:v>19.396999999999998</c:v>
                </c:pt>
                <c:pt idx="13" formatCode="0.00">
                  <c:v>20.810400000000001</c:v>
                </c:pt>
                <c:pt idx="14" formatCode="0.00">
                  <c:v>0.83439000000000008</c:v>
                </c:pt>
                <c:pt idx="15" formatCode="0.00">
                  <c:v>1.2967199999999999</c:v>
                </c:pt>
                <c:pt idx="16" formatCode="0.00">
                  <c:v>13.082199999999998</c:v>
                </c:pt>
                <c:pt idx="17" formatCode="0.00">
                  <c:v>14.213699999999999</c:v>
                </c:pt>
              </c:numCache>
            </c:numRef>
          </c:xVal>
          <c:yVal>
            <c:numRef>
              <c:f>'Parte 2'!$O$15:$O$35</c:f>
              <c:numCache>
                <c:formatCode>0.0000000</c:formatCode>
                <c:ptCount val="21"/>
                <c:pt idx="0">
                  <c:v>3.5247315695399457E-4</c:v>
                </c:pt>
                <c:pt idx="1">
                  <c:v>2.7263758466581495E-4</c:v>
                </c:pt>
                <c:pt idx="2">
                  <c:v>2.3082506491779427E-4</c:v>
                </c:pt>
                <c:pt idx="3">
                  <c:v>2.2603790252806108E-4</c:v>
                </c:pt>
                <c:pt idx="4">
                  <c:v>2.3454779788975328E-4</c:v>
                </c:pt>
                <c:pt idx="5">
                  <c:v>9.8973773822600211E-5</c:v>
                </c:pt>
                <c:pt idx="6">
                  <c:v>6.7429295291808293E-5</c:v>
                </c:pt>
                <c:pt idx="7">
                  <c:v>2.9083419385646063E-5</c:v>
                </c:pt>
                <c:pt idx="8">
                  <c:v>-3.359954873997234E-7</c:v>
                </c:pt>
                <c:pt idx="9">
                  <c:v>-5.1632706382532569E-5</c:v>
                </c:pt>
                <c:pt idx="10">
                  <c:v>-1.1702664097198653E-4</c:v>
                </c:pt>
                <c:pt idx="11">
                  <c:v>-1.7171481923275965E-4</c:v>
                </c:pt>
                <c:pt idx="12">
                  <c:v>-2.429526673450224E-4</c:v>
                </c:pt>
                <c:pt idx="13">
                  <c:v>-2.5092641438808662E-4</c:v>
                </c:pt>
                <c:pt idx="14">
                  <c:v>-4.7220712001298879E-4</c:v>
                </c:pt>
                <c:pt idx="15">
                  <c:v>-2.2967358560689081E-4</c:v>
                </c:pt>
                <c:pt idx="16">
                  <c:v>1.3778216909728427E-4</c:v>
                </c:pt>
                <c:pt idx="17" formatCode="0.00000">
                  <c:v>2.0582922245852061E-4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8-D64A-8313-B7CC0F40E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25935"/>
        <c:axId val="1243127567"/>
      </c:scatterChart>
      <c:valAx>
        <c:axId val="1243125935"/>
        <c:scaling>
          <c:orientation val="minMax"/>
          <c:max val="21.5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3127567"/>
        <c:crossesAt val="-90"/>
        <c:crossBetween val="midCat"/>
        <c:majorUnit val="2"/>
      </c:valAx>
      <c:valAx>
        <c:axId val="12431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312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535463536415072"/>
          <c:y val="8.8918497281070707E-2"/>
          <c:w val="0.10889068058680232"/>
          <c:h val="7.7369078657528109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609600</xdr:colOff>
      <xdr:row>0</xdr:row>
      <xdr:rowOff>175260</xdr:rowOff>
    </xdr:from>
    <xdr:to>
      <xdr:col>21</xdr:col>
      <xdr:colOff>447702</xdr:colOff>
      <xdr:row>14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E6D123C-7130-5243-B720-F6901521D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122045</xdr:colOff>
      <xdr:row>1</xdr:row>
      <xdr:rowOff>29690</xdr:rowOff>
    </xdr:from>
    <xdr:to>
      <xdr:col>27</xdr:col>
      <xdr:colOff>772860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477578-F28C-184E-BFC1-6AD5C48B0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50072</xdr:colOff>
      <xdr:row>13</xdr:row>
      <xdr:rowOff>199215</xdr:rowOff>
    </xdr:from>
    <xdr:to>
      <xdr:col>27</xdr:col>
      <xdr:colOff>766607</xdr:colOff>
      <xdr:row>26</xdr:row>
      <xdr:rowOff>130735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FE508F-BF24-9F4A-9EE2-A9F9C4EB6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104081</xdr:colOff>
      <xdr:row>28</xdr:row>
      <xdr:rowOff>24545</xdr:rowOff>
    </xdr:from>
    <xdr:to>
      <xdr:col>27</xdr:col>
      <xdr:colOff>787506</xdr:colOff>
      <xdr:row>40</xdr:row>
      <xdr:rowOff>189164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AC8B22F-AE69-074C-A210-33E9C135C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45008</xdr:colOff>
      <xdr:row>41</xdr:row>
      <xdr:rowOff>86569</xdr:rowOff>
    </xdr:from>
    <xdr:to>
      <xdr:col>28</xdr:col>
      <xdr:colOff>20062</xdr:colOff>
      <xdr:row>54</xdr:row>
      <xdr:rowOff>56029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37F3502-04C5-7C49-96C6-7530E5A10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35</xdr:row>
      <xdr:rowOff>127000</xdr:rowOff>
    </xdr:from>
    <xdr:to>
      <xdr:col>7</xdr:col>
      <xdr:colOff>533400</xdr:colOff>
      <xdr:row>49</xdr:row>
      <xdr:rowOff>25400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DF73E8-5FE4-8A46-845A-F317AC11A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432638</xdr:colOff>
      <xdr:row>36</xdr:row>
      <xdr:rowOff>15351</xdr:rowOff>
    </xdr:from>
    <xdr:to>
      <xdr:col>13</xdr:col>
      <xdr:colOff>822290</xdr:colOff>
      <xdr:row>49</xdr:row>
      <xdr:rowOff>123092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6371406-EA5B-A042-9AAD-BE96E0F8E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454869</xdr:colOff>
      <xdr:row>50</xdr:row>
      <xdr:rowOff>89563</xdr:rowOff>
    </xdr:from>
    <xdr:to>
      <xdr:col>13</xdr:col>
      <xdr:colOff>753693</xdr:colOff>
      <xdr:row>63</xdr:row>
      <xdr:rowOff>113469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72645E8-E8FE-E74F-BDEE-03422F33E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53898</xdr:colOff>
      <xdr:row>49</xdr:row>
      <xdr:rowOff>166546</xdr:rowOff>
    </xdr:from>
    <xdr:to>
      <xdr:col>7</xdr:col>
      <xdr:colOff>514402</xdr:colOff>
      <xdr:row>63</xdr:row>
      <xdr:rowOff>23232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B5E0E1D-162F-9D4A-87B4-73E3ECE2D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C0E9-8704-9340-ADAF-61A97903F87A}">
  <dimension ref="A1:V43"/>
  <sheetViews>
    <sheetView tabSelected="1" topLeftCell="A9" zoomScale="67" workbookViewId="0">
      <selection activeCell="C13" sqref="C13"/>
    </sheetView>
  </sheetViews>
  <sheetFormatPr defaultColWidth="10.796875" defaultRowHeight="15.6"/>
  <cols>
    <col min="1" max="1" width="4.19921875" customWidth="1"/>
    <col min="2" max="2" width="21.5" customWidth="1"/>
    <col min="5" max="5" width="15.69921875" bestFit="1" customWidth="1"/>
    <col min="6" max="6" width="15.69921875" customWidth="1"/>
    <col min="7" max="7" width="17" customWidth="1"/>
    <col min="8" max="10" width="16.5" customWidth="1"/>
    <col min="13" max="13" width="13.19921875" bestFit="1" customWidth="1"/>
    <col min="14" max="14" width="14.09765625" bestFit="1" customWidth="1"/>
  </cols>
  <sheetData>
    <row r="1" spans="1:22">
      <c r="B1" s="1"/>
      <c r="C1" s="1"/>
      <c r="D1" s="1"/>
      <c r="E1" s="1"/>
      <c r="F1" s="1"/>
      <c r="G1" s="1"/>
      <c r="H1" s="1"/>
      <c r="I1" s="1"/>
      <c r="J1" s="1" t="s">
        <v>64</v>
      </c>
      <c r="K1" s="1"/>
      <c r="L1" s="1"/>
      <c r="M1" s="1"/>
      <c r="N1" s="1"/>
      <c r="O1" s="1"/>
      <c r="P1" s="1"/>
    </row>
    <row r="2" spans="1:22">
      <c r="B2" s="1"/>
      <c r="C2" s="1"/>
      <c r="D2" s="1"/>
      <c r="E2" s="1"/>
      <c r="F2" s="1"/>
      <c r="G2" s="1"/>
      <c r="H2" s="1"/>
      <c r="I2" s="1"/>
      <c r="J2" s="1">
        <v>1205</v>
      </c>
      <c r="K2" s="1"/>
      <c r="L2" s="1"/>
      <c r="M2" s="1"/>
      <c r="N2" s="1"/>
      <c r="O2" s="1"/>
      <c r="P2" s="1"/>
    </row>
    <row r="3" spans="1:22">
      <c r="B3" s="34" t="s">
        <v>53</v>
      </c>
      <c r="C3" s="2"/>
      <c r="D3" s="1"/>
      <c r="E3" s="35" t="s">
        <v>31</v>
      </c>
      <c r="F3" s="33">
        <f>M10/$M$10</f>
        <v>1</v>
      </c>
      <c r="H3" s="1"/>
      <c r="I3" s="42" t="s">
        <v>62</v>
      </c>
      <c r="J3" s="1">
        <v>920</v>
      </c>
      <c r="K3" s="1" t="s">
        <v>63</v>
      </c>
      <c r="L3" s="1"/>
      <c r="M3" s="1"/>
      <c r="N3" s="1"/>
      <c r="O3" s="1"/>
      <c r="P3" s="1"/>
    </row>
    <row r="4" spans="1:22">
      <c r="B4" s="34" t="s">
        <v>13</v>
      </c>
      <c r="C4" s="16">
        <f>1*10</f>
        <v>10</v>
      </c>
      <c r="D4" s="1"/>
      <c r="E4" s="35" t="s">
        <v>32</v>
      </c>
      <c r="F4" s="19">
        <f>M19/$M$10</f>
        <v>2.4510674545988063</v>
      </c>
      <c r="H4" s="1"/>
      <c r="I4" s="1"/>
      <c r="J4" s="1">
        <v>809</v>
      </c>
      <c r="K4" s="17"/>
      <c r="L4" s="1"/>
      <c r="M4" s="1"/>
      <c r="N4" s="1"/>
      <c r="O4" s="1"/>
      <c r="P4" s="1"/>
    </row>
    <row r="5" spans="1:22">
      <c r="A5" s="1"/>
      <c r="B5" s="34" t="s">
        <v>30</v>
      </c>
      <c r="C5" s="2">
        <f>0.01*10^-3</f>
        <v>1.0000000000000001E-5</v>
      </c>
      <c r="D5" s="1"/>
      <c r="E5" s="35" t="s">
        <v>33</v>
      </c>
      <c r="F5" s="19">
        <f>M28/$M$10</f>
        <v>1.0175043034303604</v>
      </c>
      <c r="H5" s="1"/>
      <c r="I5" s="1"/>
      <c r="J5" s="1">
        <v>628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D6" s="1"/>
      <c r="E6" s="35" t="s">
        <v>34</v>
      </c>
      <c r="F6" s="19">
        <f>M37/$M$10</f>
        <v>0.34682032760032294</v>
      </c>
      <c r="H6" s="1"/>
      <c r="I6" s="1"/>
      <c r="J6" s="1">
        <v>831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P9" s="1"/>
      <c r="Q9" s="1"/>
      <c r="R9" s="1"/>
      <c r="S9" s="1"/>
      <c r="T9" s="1"/>
      <c r="U9" s="1"/>
      <c r="V9" s="1"/>
    </row>
    <row r="10" spans="1:22" ht="18">
      <c r="A10" s="1"/>
      <c r="B10" s="36" t="s">
        <v>0</v>
      </c>
      <c r="C10" s="36" t="s">
        <v>48</v>
      </c>
      <c r="D10" s="36" t="s">
        <v>1</v>
      </c>
      <c r="E10" s="37" t="s">
        <v>54</v>
      </c>
      <c r="F10" s="34" t="s">
        <v>20</v>
      </c>
      <c r="G10" s="34" t="s">
        <v>28</v>
      </c>
      <c r="H10" s="34" t="s">
        <v>29</v>
      </c>
      <c r="I10" s="34" t="s">
        <v>23</v>
      </c>
      <c r="J10" s="34" t="s">
        <v>8</v>
      </c>
      <c r="K10" s="1"/>
      <c r="L10" s="34" t="s">
        <v>2</v>
      </c>
      <c r="M10" s="3" cm="1">
        <f t="array" ref="M10:N14">LINEST(H11:H15,_xlfn.ANCHORARRAY(F11),1,1)</f>
        <v>-1.0757579664251933E-13</v>
      </c>
      <c r="N10" s="15">
        <v>5.4135601101986649E-3</v>
      </c>
      <c r="O10" s="34" t="s">
        <v>5</v>
      </c>
      <c r="P10" s="1"/>
      <c r="Q10" s="1"/>
      <c r="R10" s="1"/>
      <c r="S10" s="1"/>
      <c r="T10" s="1"/>
      <c r="U10" s="1"/>
      <c r="V10" s="1"/>
    </row>
    <row r="11" spans="1:22">
      <c r="A11" s="1"/>
      <c r="B11" s="2">
        <v>5</v>
      </c>
      <c r="C11" s="6">
        <v>19.600000000000001</v>
      </c>
      <c r="D11" s="14">
        <f>C11*10^3</f>
        <v>19600</v>
      </c>
      <c r="E11" s="21" cm="1">
        <f t="array" ref="E11:E13">-6.981*10^(-21)*(D11:D13)^5+7.106*10^(-16)*(D11:D13)^4-3.031*10^(-11)*(D11:D13)^3+7.094*10^(-7)*(D11:D13)^2-1.047*10^(-2)*(D11:D13)+1.4*10^2</f>
        <v>63.76757069548546</v>
      </c>
      <c r="F11" s="5" cm="1">
        <f t="array" ref="F11:F15">(E11:E15+273.15)^4</f>
        <v>12885303204.527393</v>
      </c>
      <c r="G11" s="2"/>
      <c r="H11" s="3">
        <f>G11*10^-3</f>
        <v>0</v>
      </c>
      <c r="I11" s="3" cm="1">
        <f t="array" ref="I11:I15">$M$10*_xlfn.ANCHORARRAY(F11)+$N$10</f>
        <v>4.0274133529912236E-3</v>
      </c>
      <c r="J11" s="16">
        <f>I11-H11</f>
        <v>4.0274133529912236E-3</v>
      </c>
      <c r="K11" s="1"/>
      <c r="L11" s="34" t="s">
        <v>3</v>
      </c>
      <c r="M11" s="16">
        <v>2.164617177186372E-13</v>
      </c>
      <c r="N11" s="16">
        <v>6.693537012859096E-3</v>
      </c>
      <c r="O11" s="34" t="s">
        <v>6</v>
      </c>
      <c r="P11" s="1"/>
      <c r="Q11" s="1"/>
      <c r="R11" s="1"/>
      <c r="S11" s="1"/>
      <c r="T11" s="1"/>
      <c r="U11" s="1"/>
      <c r="V11" s="1"/>
    </row>
    <row r="12" spans="1:22">
      <c r="A12" s="1"/>
      <c r="B12" s="2">
        <v>6</v>
      </c>
      <c r="C12" s="6"/>
      <c r="D12" s="14">
        <f t="shared" ref="D12:D15" si="0">C12*10^3</f>
        <v>0</v>
      </c>
      <c r="E12" s="6">
        <v>140</v>
      </c>
      <c r="F12" s="5">
        <v>29136073791.591</v>
      </c>
      <c r="G12" s="2"/>
      <c r="H12" s="3">
        <f t="shared" ref="H12:H15" si="1">G12*10^-3</f>
        <v>0</v>
      </c>
      <c r="I12" s="3">
        <v>2.2792237610330347E-3</v>
      </c>
      <c r="J12" s="16">
        <f>I12-H12</f>
        <v>2.2792237610330347E-3</v>
      </c>
      <c r="K12" s="1"/>
      <c r="L12" s="34" t="s">
        <v>4</v>
      </c>
      <c r="M12" s="8">
        <v>7.6065361791162966E-2</v>
      </c>
      <c r="N12" s="16">
        <v>5.8323403190076294E-3</v>
      </c>
      <c r="O12" s="34" t="s">
        <v>7</v>
      </c>
      <c r="P12" s="1"/>
      <c r="Q12" s="1"/>
      <c r="R12" s="1"/>
      <c r="S12" s="1"/>
      <c r="T12" s="1"/>
      <c r="U12" s="1"/>
      <c r="V12" s="1"/>
    </row>
    <row r="13" spans="1:22">
      <c r="A13" s="1"/>
      <c r="B13" s="2">
        <v>7</v>
      </c>
      <c r="C13" s="20"/>
      <c r="D13" s="14">
        <f t="shared" si="0"/>
        <v>0</v>
      </c>
      <c r="E13" s="6">
        <v>140</v>
      </c>
      <c r="F13" s="5">
        <v>29136073791.591</v>
      </c>
      <c r="G13" s="1"/>
      <c r="H13" s="3">
        <f t="shared" si="1"/>
        <v>0</v>
      </c>
      <c r="I13" s="3">
        <v>2.2792237610330347E-3</v>
      </c>
      <c r="J13" s="16">
        <f>I13-H13</f>
        <v>2.2792237610330347E-3</v>
      </c>
      <c r="K13" s="1"/>
      <c r="L13" s="1"/>
      <c r="M13" s="4">
        <v>0.24698293140722119</v>
      </c>
      <c r="N13" s="4">
        <v>3</v>
      </c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2">
        <v>8</v>
      </c>
      <c r="C14" s="6"/>
      <c r="D14" s="14">
        <f t="shared" si="0"/>
        <v>0</v>
      </c>
      <c r="E14" s="6" cm="1">
        <f t="array" ref="E14:E15">-3.341*10^(-18)*(D14:D15)^5+1.183*10^(-13)*(D14:D15)^4-1.659*10^(-9)*(D14:D15)^3+1.192*10^(-5)*(D14:D15)^2-4.978*10^(-2)*(D14:D15)+1.983*10^2</f>
        <v>198.3</v>
      </c>
      <c r="F14" s="5">
        <v>49401775789.335495</v>
      </c>
      <c r="G14" s="2"/>
      <c r="H14" s="3">
        <f t="shared" si="1"/>
        <v>0</v>
      </c>
      <c r="I14" s="3">
        <v>9.9124724105775254E-5</v>
      </c>
      <c r="J14" s="16">
        <f>I14-H14</f>
        <v>9.9124724105775254E-5</v>
      </c>
      <c r="K14" s="1"/>
      <c r="L14" s="1"/>
      <c r="M14" s="4">
        <v>8.4014192098339499E-6</v>
      </c>
      <c r="N14" s="4">
        <v>1.0204858079016605E-4</v>
      </c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2" t="s">
        <v>47</v>
      </c>
      <c r="C15" s="6">
        <v>3.92</v>
      </c>
      <c r="D15" s="14">
        <f t="shared" si="0"/>
        <v>3920</v>
      </c>
      <c r="E15" s="6">
        <v>111.23914209268862</v>
      </c>
      <c r="F15" s="5">
        <v>21831543736.237297</v>
      </c>
      <c r="G15" s="2">
        <v>11.75</v>
      </c>
      <c r="H15" s="3">
        <f t="shared" si="1"/>
        <v>1.175E-2</v>
      </c>
      <c r="I15" s="3">
        <v>3.0650144008369348E-3</v>
      </c>
      <c r="J15" s="16">
        <f>I15-H15</f>
        <v>-8.6849855991630656E-3</v>
      </c>
      <c r="K15" s="1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20"/>
      <c r="F16" s="17"/>
      <c r="G16" s="1"/>
      <c r="H16" s="17"/>
      <c r="I16" s="17"/>
      <c r="J16" s="2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20"/>
      <c r="F17" s="17"/>
      <c r="G17" s="1"/>
      <c r="H17" s="17"/>
      <c r="I17" s="17"/>
      <c r="J17" s="2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20"/>
      <c r="F18" s="17"/>
      <c r="G18" s="1"/>
      <c r="H18" s="17"/>
      <c r="I18" s="17"/>
      <c r="J18" s="2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">
      <c r="A19" s="1"/>
      <c r="B19" s="36" t="s">
        <v>0</v>
      </c>
      <c r="C19" s="36" t="s">
        <v>48</v>
      </c>
      <c r="D19" s="36" t="s">
        <v>1</v>
      </c>
      <c r="E19" s="37" t="s">
        <v>54</v>
      </c>
      <c r="F19" s="38" t="s">
        <v>20</v>
      </c>
      <c r="G19" s="34" t="s">
        <v>26</v>
      </c>
      <c r="H19" s="38" t="s">
        <v>27</v>
      </c>
      <c r="I19" s="38" t="s">
        <v>23</v>
      </c>
      <c r="J19" s="39" t="s">
        <v>8</v>
      </c>
      <c r="K19" s="1"/>
      <c r="L19" s="34" t="s">
        <v>2</v>
      </c>
      <c r="M19" s="3" cm="1">
        <f t="array" ref="M19:N23">LINEST(H20:H24,_xlfn.ANCHORARRAY(F20),1,1)</f>
        <v>-2.6367553405301867E-13</v>
      </c>
      <c r="N19" s="15">
        <v>1.0662168451815734E-2</v>
      </c>
      <c r="O19" s="34" t="s">
        <v>5</v>
      </c>
      <c r="P19" s="1"/>
      <c r="Q19" s="1"/>
      <c r="R19" s="1"/>
      <c r="S19" s="1"/>
      <c r="T19" s="1"/>
      <c r="U19" s="1"/>
      <c r="V19" s="1"/>
    </row>
    <row r="20" spans="1:22">
      <c r="A20" s="1"/>
      <c r="B20" s="2">
        <v>5</v>
      </c>
      <c r="C20" s="6"/>
      <c r="D20" s="14">
        <f>C20*10^3</f>
        <v>0</v>
      </c>
      <c r="E20" s="21" cm="1">
        <f t="array" ref="E20:E22">-6.981*10^(-21)*(D20:D22)^5+7.106*10^(-16)*(D20:D22)^4-3.031*10^(-11)*(D20:D22)^3+7.094*10^(-7)*(D20:D22)^2-1.047*10^(-2)*(D20:D22)+1.4*10^2</f>
        <v>140</v>
      </c>
      <c r="F20" s="5" cm="1">
        <f t="array" ref="F20:F24">(E20:E24+273.15)^4</f>
        <v>29136073791.591</v>
      </c>
      <c r="G20" s="2"/>
      <c r="H20" s="3">
        <f>G20*10^-3</f>
        <v>0</v>
      </c>
      <c r="I20" s="3" cm="1">
        <f t="array" ref="I20:I24">$M$19*_xlfn.ANCHORARRAY(F20)+$N$19</f>
        <v>2.9796986346098163E-3</v>
      </c>
      <c r="J20" s="16">
        <f>I20-H20</f>
        <v>2.9796986346098163E-3</v>
      </c>
      <c r="K20" s="1"/>
      <c r="L20" s="34" t="s">
        <v>3</v>
      </c>
      <c r="M20" s="16">
        <v>2.4183140379006093E-13</v>
      </c>
      <c r="N20" s="16">
        <v>7.9948628609096059E-3</v>
      </c>
      <c r="O20" s="34" t="s">
        <v>6</v>
      </c>
      <c r="P20" s="1"/>
      <c r="Q20" s="1"/>
      <c r="R20" s="1"/>
      <c r="S20" s="1"/>
      <c r="T20" s="1"/>
      <c r="U20" s="1"/>
      <c r="V20" s="1"/>
    </row>
    <row r="21" spans="1:22">
      <c r="A21" s="1"/>
      <c r="B21" s="2">
        <v>6</v>
      </c>
      <c r="C21" s="6"/>
      <c r="D21" s="14">
        <f t="shared" ref="D21:D24" si="2">C21*10^3</f>
        <v>0</v>
      </c>
      <c r="E21" s="6">
        <v>140</v>
      </c>
      <c r="F21" s="3">
        <v>29136073791.591</v>
      </c>
      <c r="G21" s="2"/>
      <c r="H21" s="3">
        <f t="shared" ref="H21:H23" si="3">G21*10^-3</f>
        <v>0</v>
      </c>
      <c r="I21" s="3">
        <v>2.9796986346098163E-3</v>
      </c>
      <c r="J21" s="16">
        <f>I21-H21</f>
        <v>2.9796986346098163E-3</v>
      </c>
      <c r="K21" s="1"/>
      <c r="L21" s="34" t="s">
        <v>4</v>
      </c>
      <c r="M21" s="8">
        <v>0.28380699489972011</v>
      </c>
      <c r="N21" s="16">
        <v>5.0152194744362581E-3</v>
      </c>
      <c r="O21" s="34" t="s">
        <v>7</v>
      </c>
      <c r="P21" s="1"/>
      <c r="Q21" s="1"/>
      <c r="R21" s="1"/>
      <c r="S21" s="1"/>
      <c r="T21" s="1"/>
      <c r="U21" s="1"/>
      <c r="V21" s="1"/>
    </row>
    <row r="22" spans="1:22">
      <c r="A22" s="1"/>
      <c r="B22" s="2">
        <v>7</v>
      </c>
      <c r="C22" s="6"/>
      <c r="D22" s="14">
        <f t="shared" si="2"/>
        <v>0</v>
      </c>
      <c r="E22" s="6">
        <v>140</v>
      </c>
      <c r="F22" s="3">
        <v>29136073791.591</v>
      </c>
      <c r="G22" s="2"/>
      <c r="H22" s="3">
        <f t="shared" si="3"/>
        <v>0</v>
      </c>
      <c r="I22" s="3">
        <v>2.9796986346098163E-3</v>
      </c>
      <c r="J22" s="16">
        <f>I22-H22</f>
        <v>2.9796986346098163E-3</v>
      </c>
      <c r="K22" s="1"/>
      <c r="L22" s="1"/>
      <c r="M22" s="4">
        <v>1.1888149962871337</v>
      </c>
      <c r="N22" s="4">
        <v>3</v>
      </c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2">
        <v>8</v>
      </c>
      <c r="C23" s="6"/>
      <c r="D23" s="14">
        <f t="shared" si="2"/>
        <v>0</v>
      </c>
      <c r="E23" s="6" cm="1">
        <f t="array" ref="E23:E24">-3.341*10^(-18)*(D23:D24)^5+1.183*10^(-13)*(D23:D24)^4-1.659*10^(-9)*(D23:D24)^3+1.192*10^(-5)*(D23:D24)^2-4.978*10^(-2)*(D23:D24)+1.983*10^2</f>
        <v>198.3</v>
      </c>
      <c r="F23" s="3">
        <v>49401775789.335495</v>
      </c>
      <c r="G23" s="2"/>
      <c r="H23" s="3">
        <f t="shared" si="3"/>
        <v>0</v>
      </c>
      <c r="I23" s="3">
        <v>-2.3638711626047908E-3</v>
      </c>
      <c r="J23" s="16">
        <f>I23-H23</f>
        <v>-2.3638711626047908E-3</v>
      </c>
      <c r="K23" s="1"/>
      <c r="L23" s="1"/>
      <c r="M23" s="4">
        <v>2.9901581669705929E-5</v>
      </c>
      <c r="N23" s="4">
        <v>7.5457279130294094E-5</v>
      </c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2" t="s">
        <v>47</v>
      </c>
      <c r="C24" s="6">
        <v>3.91</v>
      </c>
      <c r="D24" s="14">
        <f t="shared" si="2"/>
        <v>3910</v>
      </c>
      <c r="E24" s="6">
        <v>111.32173738737112</v>
      </c>
      <c r="F24" s="3">
        <v>21850313923.634293</v>
      </c>
      <c r="G24" s="2">
        <v>11.476000000000001</v>
      </c>
      <c r="H24" s="3">
        <f t="shared" ref="H24" si="4">G24*10^-3</f>
        <v>1.1476000000000002E-2</v>
      </c>
      <c r="I24" s="3">
        <v>4.9007752587753514E-3</v>
      </c>
      <c r="J24" s="16">
        <f>I24-H24</f>
        <v>-6.5752247412246504E-3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20"/>
      <c r="F25" s="17"/>
      <c r="G25" s="1"/>
      <c r="H25" s="17"/>
      <c r="I25" s="17"/>
      <c r="J25" s="2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20"/>
      <c r="F26" s="17"/>
      <c r="G26" s="1"/>
      <c r="H26" s="17"/>
      <c r="I26" s="17"/>
      <c r="J26" s="2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20"/>
      <c r="F27" s="17"/>
      <c r="G27" s="1"/>
      <c r="H27" s="17"/>
      <c r="I27" s="17"/>
      <c r="J27" s="2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>
      <c r="A28" s="1"/>
      <c r="B28" s="36" t="s">
        <v>0</v>
      </c>
      <c r="C28" s="36" t="s">
        <v>48</v>
      </c>
      <c r="D28" s="36" t="s">
        <v>1</v>
      </c>
      <c r="E28" s="37" t="s">
        <v>54</v>
      </c>
      <c r="F28" s="38" t="s">
        <v>20</v>
      </c>
      <c r="G28" s="34" t="s">
        <v>24</v>
      </c>
      <c r="H28" s="38" t="s">
        <v>25</v>
      </c>
      <c r="I28" s="38" t="s">
        <v>23</v>
      </c>
      <c r="J28" s="39" t="s">
        <v>8</v>
      </c>
      <c r="K28" s="1"/>
      <c r="L28" s="34" t="s">
        <v>2</v>
      </c>
      <c r="M28" s="15" cm="1">
        <f t="array" ref="M28:N32">LINEST(H29:H33,_xlfn.ANCHORARRAY(F29),1,1)</f>
        <v>-1.0945883602871273E-13</v>
      </c>
      <c r="N28" s="15">
        <v>4.945648855731035E-3</v>
      </c>
      <c r="O28" s="34" t="s">
        <v>5</v>
      </c>
      <c r="P28" s="1"/>
      <c r="Q28" s="1"/>
      <c r="R28" s="1"/>
      <c r="S28" s="1"/>
      <c r="T28" s="1"/>
      <c r="U28" s="1"/>
      <c r="V28" s="1"/>
    </row>
    <row r="29" spans="1:22">
      <c r="A29" s="1"/>
      <c r="B29" s="2">
        <v>5</v>
      </c>
      <c r="C29" s="6"/>
      <c r="D29" s="14">
        <f>C29*10^3</f>
        <v>0</v>
      </c>
      <c r="E29" s="21" cm="1">
        <f t="array" ref="E29:E30">-6.981*10^(-21)*(D29:D30)^5+7.106*10^(-16)*(D29:D30)^4-3.031*10^(-11)*(D29:D30)^3+7.094*10^(-7)*(D29:D30)^2-1.047*10^(-2)*(D29:D30)+1.4*10^2</f>
        <v>140</v>
      </c>
      <c r="F29" s="5" cm="1">
        <f t="array" ref="F29:F33">(E29:E33+273.15)^4</f>
        <v>29136073791.591</v>
      </c>
      <c r="G29" s="2"/>
      <c r="H29" s="3">
        <f>G29*10^-3</f>
        <v>0</v>
      </c>
      <c r="I29" s="3" cm="1">
        <f t="array" ref="I29:I33">$M$28*_xlfn.ANCHORARRAY(F29)+$N$28</f>
        <v>1.7564481320568011E-3</v>
      </c>
      <c r="J29" s="16">
        <f>I29-H29</f>
        <v>1.7564481320568011E-3</v>
      </c>
      <c r="K29" s="1"/>
      <c r="L29" s="34" t="s">
        <v>3</v>
      </c>
      <c r="M29" s="16">
        <v>8.2472743065409563E-14</v>
      </c>
      <c r="N29" s="16">
        <v>3.0987835045886004E-3</v>
      </c>
      <c r="O29" s="34" t="s">
        <v>6</v>
      </c>
      <c r="P29" s="1"/>
      <c r="Q29" s="1"/>
      <c r="R29" s="1"/>
      <c r="S29" s="1"/>
      <c r="T29" s="1"/>
      <c r="U29" s="1"/>
      <c r="V29" s="1"/>
    </row>
    <row r="30" spans="1:22">
      <c r="A30" s="1"/>
      <c r="B30" s="2">
        <v>6</v>
      </c>
      <c r="C30" s="6"/>
      <c r="D30" s="14">
        <f t="shared" ref="D30:D32" si="5">C30*10^3</f>
        <v>0</v>
      </c>
      <c r="E30" s="6">
        <v>140</v>
      </c>
      <c r="F30" s="3">
        <v>29136073791.591</v>
      </c>
      <c r="G30" s="2"/>
      <c r="H30" s="3">
        <f t="shared" ref="H30:H32" si="6">G30*10^-3</f>
        <v>0</v>
      </c>
      <c r="I30" s="3">
        <v>1.7564481320568011E-3</v>
      </c>
      <c r="J30" s="16">
        <f>I30-H30</f>
        <v>1.7564481320568011E-3</v>
      </c>
      <c r="K30" s="1"/>
      <c r="L30" s="34" t="s">
        <v>4</v>
      </c>
      <c r="M30" s="6">
        <v>0.36994543890610554</v>
      </c>
      <c r="N30" s="16">
        <v>2.1056346166166097E-3</v>
      </c>
      <c r="O30" s="34" t="s">
        <v>7</v>
      </c>
      <c r="P30" s="1"/>
      <c r="Q30" s="1"/>
      <c r="R30" s="1"/>
      <c r="S30" s="1"/>
      <c r="T30" s="1"/>
      <c r="U30" s="1"/>
      <c r="V30" s="1"/>
    </row>
    <row r="31" spans="1:22">
      <c r="A31" s="1"/>
      <c r="B31" s="2">
        <v>7</v>
      </c>
      <c r="C31" s="6"/>
      <c r="D31" s="14">
        <f t="shared" si="5"/>
        <v>0</v>
      </c>
      <c r="E31" s="6" cm="1">
        <f t="array" ref="E31:E33">-3.341*10^(-18)*(D31:D33)^5+1.183*10^(-13)*(D31:D33)^4-1.659*10^(-9)*(D31:D33)^3+1.192*10^(-5)*(D31:D33)^2-4.978*10^(-2)*(D31:D33)+1.983*10^2</f>
        <v>198.3</v>
      </c>
      <c r="F31" s="3">
        <v>49401775789.335495</v>
      </c>
      <c r="G31" s="2"/>
      <c r="H31" s="3">
        <f t="shared" si="6"/>
        <v>0</v>
      </c>
      <c r="I31" s="3">
        <v>-4.6181201992106981E-4</v>
      </c>
      <c r="J31" s="16">
        <f>I31-H31</f>
        <v>-4.6181201992106981E-4</v>
      </c>
      <c r="K31" s="1"/>
      <c r="L31" s="1"/>
      <c r="M31" s="4">
        <v>1.7614923932800832</v>
      </c>
      <c r="N31" s="4">
        <v>3</v>
      </c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2">
        <v>8</v>
      </c>
      <c r="C32" s="6"/>
      <c r="D32" s="14">
        <f t="shared" si="5"/>
        <v>0</v>
      </c>
      <c r="E32" s="6">
        <v>198.3</v>
      </c>
      <c r="F32" s="3">
        <v>49401775789.335495</v>
      </c>
      <c r="G32" s="2"/>
      <c r="H32" s="3">
        <f t="shared" si="6"/>
        <v>0</v>
      </c>
      <c r="I32" s="3">
        <v>-4.6181201992106981E-4</v>
      </c>
      <c r="J32" s="16">
        <f>I32-H32</f>
        <v>-4.6181201992106981E-4</v>
      </c>
      <c r="K32" s="1"/>
      <c r="L32" s="1"/>
      <c r="M32" s="4">
        <v>7.8099237839174637E-6</v>
      </c>
      <c r="N32" s="4">
        <v>1.3301091416082532E-5</v>
      </c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2" t="s">
        <v>47</v>
      </c>
      <c r="C33" s="6">
        <v>3.88</v>
      </c>
      <c r="D33" s="14">
        <f>C33*10^3</f>
        <v>3880</v>
      </c>
      <c r="E33" s="25">
        <v>111.57110813530758</v>
      </c>
      <c r="F33" s="17">
        <v>21907058096.008751</v>
      </c>
      <c r="G33" s="2">
        <v>5.1369999999999996</v>
      </c>
      <c r="H33" s="3">
        <f>G33*10^-3</f>
        <v>5.1370000000000001E-3</v>
      </c>
      <c r="I33" s="3">
        <v>2.5477277757285292E-3</v>
      </c>
      <c r="J33" s="16">
        <f>I33-H33</f>
        <v>-2.5892722242714709E-3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E34" s="25"/>
      <c r="F34" s="17"/>
      <c r="H34" s="22"/>
      <c r="I34" s="23"/>
      <c r="J34" s="2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20"/>
      <c r="F35" s="17"/>
      <c r="G35" s="1"/>
      <c r="H35" s="17"/>
      <c r="I35" s="17"/>
      <c r="J35" s="2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20"/>
      <c r="F36" s="17"/>
      <c r="G36" s="1"/>
      <c r="H36" s="17"/>
      <c r="I36" s="17"/>
      <c r="J36" s="2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8">
      <c r="A37" s="1"/>
      <c r="B37" s="36" t="s">
        <v>0</v>
      </c>
      <c r="C37" s="36" t="s">
        <v>48</v>
      </c>
      <c r="D37" s="36" t="s">
        <v>1</v>
      </c>
      <c r="E37" s="37" t="s">
        <v>54</v>
      </c>
      <c r="F37" s="38" t="s">
        <v>20</v>
      </c>
      <c r="G37" s="34" t="s">
        <v>21</v>
      </c>
      <c r="H37" s="38" t="s">
        <v>22</v>
      </c>
      <c r="I37" s="38" t="s">
        <v>23</v>
      </c>
      <c r="J37" s="39" t="s">
        <v>8</v>
      </c>
      <c r="K37" s="1"/>
      <c r="L37" s="34" t="s">
        <v>2</v>
      </c>
      <c r="M37" s="16" cm="1">
        <f t="array" ref="M37:N41">LINEST(H38:H42,_xlfn.ANCHORARRAY(F38),1,1)</f>
        <v>-3.7309473033424271E-14</v>
      </c>
      <c r="N37" s="13">
        <v>1.6867227373647024E-3</v>
      </c>
      <c r="O37" s="34" t="s">
        <v>5</v>
      </c>
      <c r="P37" s="1"/>
      <c r="Q37" s="1"/>
      <c r="R37" s="1"/>
      <c r="S37" s="1"/>
      <c r="T37" s="1"/>
      <c r="U37" s="1"/>
      <c r="V37" s="1"/>
    </row>
    <row r="38" spans="1:22">
      <c r="A38" s="1"/>
      <c r="B38" s="2">
        <v>5</v>
      </c>
      <c r="C38" s="6"/>
      <c r="D38" s="14">
        <f>C38*10^3</f>
        <v>0</v>
      </c>
      <c r="E38" s="21" cm="1">
        <f t="array" ref="E38:E39">-6.981*10^(-21)*(D38:D39)^5+7.106*10^(-16)*(D38:D39)^4-3.031*10^(-11)*(D38:D39)^3+7.094*10^(-7)*(D38:D39)^2-1.047*10^(-2)*(D38:D39)+1.4*10^2</f>
        <v>140</v>
      </c>
      <c r="F38" s="5" cm="1">
        <f t="array" ref="F38:F42">(E38:E42+273.15)^4</f>
        <v>29136073791.591</v>
      </c>
      <c r="G38" s="2"/>
      <c r="H38" s="3">
        <f>G38*10^-3</f>
        <v>0</v>
      </c>
      <c r="I38" s="3" cm="1">
        <f t="array" ref="I38:I42">$M$37*_xlfn.ANCHORARRAY(F38)+$N$37</f>
        <v>5.9967117793747831E-4</v>
      </c>
      <c r="J38" s="16">
        <f>I38-H38</f>
        <v>5.9967117793747831E-4</v>
      </c>
      <c r="K38" s="1"/>
      <c r="L38" s="34" t="s">
        <v>3</v>
      </c>
      <c r="M38" s="16">
        <v>2.8235882678654327E-14</v>
      </c>
      <c r="N38" s="13">
        <v>1.0611717718167222E-3</v>
      </c>
      <c r="O38" s="34" t="s">
        <v>6</v>
      </c>
      <c r="P38" s="1"/>
      <c r="Q38" s="1"/>
      <c r="R38" s="1"/>
      <c r="S38" s="1"/>
      <c r="T38" s="1"/>
      <c r="U38" s="1"/>
      <c r="V38" s="1"/>
    </row>
    <row r="39" spans="1:22">
      <c r="A39" s="1"/>
      <c r="B39" s="2">
        <v>6</v>
      </c>
      <c r="C39" s="6"/>
      <c r="D39" s="14">
        <f t="shared" ref="D39:D40" si="7">C39*10^3</f>
        <v>0</v>
      </c>
      <c r="E39" s="6">
        <v>140</v>
      </c>
      <c r="F39" s="3">
        <v>29136073791.591</v>
      </c>
      <c r="G39" s="2"/>
      <c r="H39" s="3">
        <f t="shared" ref="H39:H40" si="8">G39*10^-3</f>
        <v>0</v>
      </c>
      <c r="I39" s="3">
        <v>5.9967117793747831E-4</v>
      </c>
      <c r="J39" s="16">
        <f>I39-H39</f>
        <v>5.9967117793747831E-4</v>
      </c>
      <c r="K39" s="1"/>
      <c r="L39" s="34" t="s">
        <v>4</v>
      </c>
      <c r="M39" s="6">
        <v>0.36788406490773451</v>
      </c>
      <c r="N39" s="16">
        <v>7.1972179024619367E-4</v>
      </c>
      <c r="O39" s="34" t="s">
        <v>7</v>
      </c>
      <c r="P39" s="1"/>
      <c r="Q39" s="1"/>
      <c r="R39" s="1"/>
      <c r="S39" s="1"/>
      <c r="T39" s="1"/>
      <c r="U39" s="1"/>
      <c r="V39" s="1"/>
    </row>
    <row r="40" spans="1:22">
      <c r="A40" s="1"/>
      <c r="B40" s="2">
        <v>7</v>
      </c>
      <c r="C40" s="6"/>
      <c r="D40" s="14">
        <f t="shared" si="7"/>
        <v>0</v>
      </c>
      <c r="E40" s="6" cm="1">
        <f t="array" ref="E40:E42">-3.341*10^(-18)*(D40:D42)^5+1.183*10^(-13)*(D40:D42)^4-1.659*10^(-9)*(D40:D42)^3+1.192*10^(-5)*(D40:D42)^2-4.978*10^(-2)*(D40:D42)+1.983*10^2</f>
        <v>198.3</v>
      </c>
      <c r="F40" s="3">
        <v>49401775789.335495</v>
      </c>
      <c r="G40" s="2"/>
      <c r="H40" s="3">
        <f t="shared" si="8"/>
        <v>0</v>
      </c>
      <c r="I40" s="3">
        <v>-1.5643148425078233E-4</v>
      </c>
      <c r="J40" s="16">
        <f>I40-H40</f>
        <v>-1.5643148425078233E-4</v>
      </c>
      <c r="K40" s="1"/>
      <c r="L40" s="1"/>
      <c r="M40" s="4">
        <v>1.7459648356469788</v>
      </c>
      <c r="N40" s="4">
        <v>3</v>
      </c>
      <c r="O40" s="1"/>
      <c r="P40" s="1"/>
      <c r="Q40" s="1"/>
      <c r="R40" s="1"/>
      <c r="S40" s="1"/>
      <c r="T40" s="1"/>
      <c r="U40" s="1"/>
      <c r="V40" s="1"/>
    </row>
    <row r="41" spans="1:22">
      <c r="B41" s="2">
        <v>8</v>
      </c>
      <c r="C41" s="6"/>
      <c r="D41" s="14">
        <f>C41*10^3</f>
        <v>0</v>
      </c>
      <c r="E41" s="6">
        <v>198.3</v>
      </c>
      <c r="F41" s="3">
        <v>49401775789.335495</v>
      </c>
      <c r="G41" s="2"/>
      <c r="H41" s="3">
        <f>G41*10^-3</f>
        <v>0</v>
      </c>
      <c r="I41" s="3">
        <v>-1.5643148425078233E-4</v>
      </c>
      <c r="J41" s="16">
        <f>I41-H41</f>
        <v>-1.5643148425078233E-4</v>
      </c>
      <c r="K41" s="1"/>
      <c r="L41" s="1"/>
      <c r="M41" s="4">
        <v>9.0440883393444181E-7</v>
      </c>
      <c r="N41" s="4">
        <v>1.5539983660655581E-6</v>
      </c>
      <c r="O41" s="1"/>
      <c r="P41" s="1"/>
    </row>
    <row r="42" spans="1:22">
      <c r="B42" s="2" t="s">
        <v>47</v>
      </c>
      <c r="C42" s="6">
        <v>3.84</v>
      </c>
      <c r="D42" s="14">
        <f>C42*10^3</f>
        <v>3840</v>
      </c>
      <c r="E42" s="6">
        <v>111.90737313722209</v>
      </c>
      <c r="F42" s="3">
        <v>21983749917.971371</v>
      </c>
      <c r="G42" s="2">
        <v>1.7529999999999999</v>
      </c>
      <c r="H42" s="3">
        <f>G42*10^-3</f>
        <v>1.753E-3</v>
      </c>
      <c r="I42" s="24">
        <v>8.6652061262660653E-4</v>
      </c>
      <c r="J42" s="16">
        <f>I42-H42</f>
        <v>-8.8647938737339347E-4</v>
      </c>
    </row>
    <row r="43" spans="1:22">
      <c r="I43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C481-1677-5247-ACAB-A094F12BDCA0}">
  <dimension ref="A1:AB71"/>
  <sheetViews>
    <sheetView zoomScale="70" zoomScaleNormal="70" workbookViewId="0">
      <selection activeCell="P63" sqref="P63"/>
    </sheetView>
  </sheetViews>
  <sheetFormatPr defaultColWidth="10.796875" defaultRowHeight="15.6"/>
  <cols>
    <col min="2" max="3" width="11" bestFit="1" customWidth="1"/>
    <col min="4" max="4" width="11.19921875" bestFit="1" customWidth="1"/>
    <col min="5" max="5" width="13.296875" bestFit="1" customWidth="1"/>
    <col min="6" max="8" width="11" bestFit="1" customWidth="1"/>
    <col min="9" max="10" width="11.19921875" bestFit="1" customWidth="1"/>
    <col min="11" max="11" width="13.296875" bestFit="1" customWidth="1"/>
    <col min="12" max="12" width="11.19921875" bestFit="1" customWidth="1"/>
    <col min="13" max="14" width="15.5" bestFit="1" customWidth="1"/>
    <col min="15" max="15" width="13.796875" customWidth="1"/>
    <col min="16" max="16" width="14.19921875" bestFit="1" customWidth="1"/>
    <col min="17" max="17" width="11.296875" bestFit="1" customWidth="1"/>
    <col min="18" max="18" width="12.19921875" bestFit="1" customWidth="1"/>
    <col min="19" max="19" width="17.09765625" customWidth="1"/>
    <col min="20" max="20" width="15.69921875" customWidth="1"/>
    <col min="21" max="21" width="11" bestFit="1" customWidth="1"/>
    <col min="22" max="22" width="11" customWidth="1"/>
    <col min="23" max="23" width="9.5" customWidth="1"/>
    <col min="24" max="24" width="15.296875" customWidth="1"/>
    <col min="25" max="26" width="11" bestFit="1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35" t="s">
        <v>37</v>
      </c>
      <c r="C2" s="8">
        <f>Y6</f>
        <v>0.63620517513936237</v>
      </c>
      <c r="D2" s="35" t="s">
        <v>49</v>
      </c>
      <c r="E2" s="2"/>
      <c r="F2" s="35" t="s">
        <v>50</v>
      </c>
      <c r="G2" s="10"/>
      <c r="H2" s="1"/>
      <c r="I2" s="34" t="s">
        <v>57</v>
      </c>
      <c r="J2" s="2">
        <v>0.01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35" t="s">
        <v>38</v>
      </c>
      <c r="C3" s="8">
        <f>Y7</f>
        <v>6.6828395463376907E-3</v>
      </c>
      <c r="D3" s="35" t="s">
        <v>39</v>
      </c>
      <c r="E3" s="2"/>
      <c r="F3" s="35" t="s">
        <v>51</v>
      </c>
      <c r="G3" s="2"/>
      <c r="H3" s="1"/>
      <c r="I3" s="40" t="s">
        <v>58</v>
      </c>
      <c r="J3" s="26">
        <v>1E-3</v>
      </c>
      <c r="K3" s="1"/>
      <c r="L3" s="1" t="s">
        <v>69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35" t="s">
        <v>40</v>
      </c>
      <c r="C4" s="18">
        <f>((C3/C2)*100)</f>
        <v>1.0504220662577601</v>
      </c>
      <c r="D4" s="35" t="s">
        <v>55</v>
      </c>
      <c r="E4" s="18" t="e">
        <f>((E3/E2)*100)</f>
        <v>#DIV/0!</v>
      </c>
      <c r="F4" s="35" t="s">
        <v>56</v>
      </c>
      <c r="G4" s="6" t="e">
        <f>((G3/G2)*100)</f>
        <v>#DIV/0!</v>
      </c>
      <c r="H4" s="1"/>
      <c r="I4" s="34" t="s">
        <v>59</v>
      </c>
      <c r="J4" s="2">
        <v>1E-3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65</v>
      </c>
      <c r="V5" s="1"/>
      <c r="W5" s="1"/>
      <c r="X5" s="1"/>
      <c r="Y5" s="1"/>
      <c r="Z5" s="1"/>
      <c r="AA5" s="1"/>
      <c r="AB5" s="1"/>
    </row>
    <row r="6" spans="1:28">
      <c r="A6" s="1"/>
      <c r="B6" s="34" t="s">
        <v>46</v>
      </c>
      <c r="C6" s="34" t="s">
        <v>16</v>
      </c>
      <c r="D6" s="34" t="s">
        <v>9</v>
      </c>
      <c r="E6" s="34" t="s">
        <v>10</v>
      </c>
      <c r="F6" s="34" t="s">
        <v>1</v>
      </c>
      <c r="G6" s="34" t="s">
        <v>13</v>
      </c>
      <c r="H6" s="35" t="s">
        <v>36</v>
      </c>
      <c r="I6" s="35" t="s">
        <v>35</v>
      </c>
      <c r="J6" s="34" t="s">
        <v>61</v>
      </c>
      <c r="K6" s="34" t="s">
        <v>14</v>
      </c>
      <c r="L6" s="34" t="s">
        <v>15</v>
      </c>
      <c r="M6" s="34" t="s">
        <v>11</v>
      </c>
      <c r="N6" s="34" t="s">
        <v>12</v>
      </c>
      <c r="O6" s="34" t="s">
        <v>60</v>
      </c>
      <c r="P6" s="34" t="s">
        <v>17</v>
      </c>
      <c r="Q6" s="34" t="s">
        <v>18</v>
      </c>
      <c r="R6" s="34" t="s">
        <v>19</v>
      </c>
      <c r="S6" s="34" t="s">
        <v>52</v>
      </c>
      <c r="U6" s="34" t="s">
        <v>68</v>
      </c>
      <c r="V6" s="34" t="s">
        <v>66</v>
      </c>
      <c r="W6" s="2" t="s">
        <v>67</v>
      </c>
      <c r="X6" s="1"/>
      <c r="Y6">
        <f t="array" ref="Y6:Z8">LINEST(V7:V11,W7:W11,1,1)</f>
        <v>0.63620517513936237</v>
      </c>
      <c r="Z6" s="1">
        <v>-3.0098302687411177E-3</v>
      </c>
      <c r="AA6" s="1"/>
      <c r="AB6" s="1"/>
    </row>
    <row r="7" spans="1:28">
      <c r="A7" s="1"/>
      <c r="B7" s="8">
        <v>3.1040000000000001</v>
      </c>
      <c r="C7" s="8">
        <v>0.9</v>
      </c>
      <c r="D7" s="8">
        <v>0.84799999999999998</v>
      </c>
      <c r="E7" s="11">
        <f>D7*10^-3</f>
        <v>8.4800000000000001E-4</v>
      </c>
      <c r="F7" s="8">
        <f>B7/C7</f>
        <v>3.4488888888888889</v>
      </c>
      <c r="G7" s="8">
        <f>SQRT((1/C7)^2*$J$2^2+(-B7/(C7^2))^2*$J$2^2)</f>
        <v>3.9899309328935484E-2</v>
      </c>
      <c r="H7" s="6">
        <f>F7/$C$2</f>
        <v>5.4210324336538145</v>
      </c>
      <c r="I7" s="6">
        <f>SQRT(((G7/$C$2)^2)+(((F7*$C$3)/($C$2^2))^2))</f>
        <v>8.4709502290808508E-2</v>
      </c>
      <c r="J7" s="18">
        <f>-1.6181*(H7^2)+202.98*H7+127.76</f>
        <v>1180.5690997213828</v>
      </c>
      <c r="K7" s="8">
        <f t="shared" ref="K7:K35" si="0">B7*C7</f>
        <v>2.7936000000000001</v>
      </c>
      <c r="L7" s="8">
        <f t="shared" ref="L7:L35" si="1">SQRT(C7^2*$J$3^2+B7^2*$J$2^2)</f>
        <v>3.1053044939264814E-2</v>
      </c>
      <c r="M7" s="43">
        <f>LOG(J7)</f>
        <v>3.0720914117869915</v>
      </c>
      <c r="N7" s="43">
        <f>$Q$38*K7+$R$38</f>
        <v>7.4795104827323866E-4</v>
      </c>
      <c r="O7" s="43">
        <f>N7-E7</f>
        <v>-1.0004895172676135E-4</v>
      </c>
      <c r="P7" s="8">
        <f t="shared" ref="P7:P35" si="2">LOG(E7)</f>
        <v>-3.0716041477432863</v>
      </c>
      <c r="Q7" s="8">
        <f>$J$4/(LN(10)*E7)</f>
        <v>0.51213971922553281</v>
      </c>
      <c r="R7" s="10">
        <f>$Q$46*M7+$R$46</f>
        <v>-3.1069539358745484</v>
      </c>
      <c r="S7" s="10">
        <f>R7-P7</f>
        <v>-3.5349788131262105E-2</v>
      </c>
      <c r="U7" s="2">
        <v>20.6</v>
      </c>
      <c r="V7" s="2">
        <f>U7*10^-3</f>
        <v>2.06E-2</v>
      </c>
      <c r="W7" s="2">
        <v>3.6999999999999998E-2</v>
      </c>
      <c r="Y7" s="1">
        <v>6.6828395463376907E-3</v>
      </c>
      <c r="Z7">
        <v>7.2115858905125424E-4</v>
      </c>
      <c r="AB7" s="1"/>
    </row>
    <row r="8" spans="1:28">
      <c r="A8" s="1"/>
      <c r="B8" s="8">
        <v>6.09</v>
      </c>
      <c r="C8" s="8">
        <v>1.24</v>
      </c>
      <c r="D8" s="8">
        <v>3.1070000000000002</v>
      </c>
      <c r="E8" s="11">
        <f t="shared" ref="E8:E32" si="3">D8*10^-3</f>
        <v>3.1070000000000004E-3</v>
      </c>
      <c r="F8" s="8">
        <f t="shared" ref="F8:F32" si="4">B8/C8</f>
        <v>4.911290322580645</v>
      </c>
      <c r="G8" s="8">
        <f t="shared" ref="G8:G35" si="5">SQRT((1/C8)^2*$J$2^2+(-B8/(C8^2))^2*$J$2^2)</f>
        <v>4.041986058358444E-2</v>
      </c>
      <c r="H8" s="6">
        <f t="shared" ref="H8:H32" si="6">F8/$C$2</f>
        <v>7.7196642128929778</v>
      </c>
      <c r="I8" s="6">
        <f t="shared" ref="I8:I32" si="7">SQRT(((G8/$C$2)^2)+(((F8*$C$3)/($C$2^2))^2))</f>
        <v>0.1030138079538999</v>
      </c>
      <c r="J8" s="18">
        <f t="shared" ref="J8:J32" si="8">-1.6181*(H8^2)+202.98*H8+127.76</f>
        <v>1598.2696598356708</v>
      </c>
      <c r="K8" s="8">
        <f t="shared" si="0"/>
        <v>7.5515999999999996</v>
      </c>
      <c r="L8" s="8">
        <f t="shared" si="1"/>
        <v>6.0912622665585496E-2</v>
      </c>
      <c r="M8" s="43">
        <f t="shared" ref="M8:M32" si="9">LOG(J8)</f>
        <v>3.2036500552649096</v>
      </c>
      <c r="N8" s="43">
        <f t="shared" ref="N8:N32" si="10">$Q$38*K8+$R$38</f>
        <v>3.3468621219743073E-3</v>
      </c>
      <c r="O8" s="43">
        <f t="shared" ref="O7:O35" si="11">N8-E8</f>
        <v>2.3986212197430693E-4</v>
      </c>
      <c r="P8" s="8">
        <f t="shared" si="2"/>
        <v>-2.5076587467450255</v>
      </c>
      <c r="Q8" s="8">
        <f t="shared" ref="Q8:Q32" si="12">$J$4/(LN(10)*E8)</f>
        <v>0.13977936334188984</v>
      </c>
      <c r="R8" s="10">
        <f t="shared" ref="R7:R35" si="13">$Q$46*M8+$R$46</f>
        <v>-2.5133480812242723</v>
      </c>
      <c r="S8" s="10">
        <f t="shared" ref="S8:S32" si="14">R8-P8</f>
        <v>-5.6893344792467992E-3</v>
      </c>
      <c r="U8" s="2">
        <v>39.5</v>
      </c>
      <c r="V8" s="2">
        <f t="shared" ref="V8:V11" si="15">U8*10^-3</f>
        <v>3.95E-2</v>
      </c>
      <c r="W8" s="2">
        <v>6.6000000000000003E-2</v>
      </c>
      <c r="Y8">
        <v>0.99966909358012024</v>
      </c>
      <c r="Z8">
        <v>6.5530004081719971E-4</v>
      </c>
      <c r="AB8" s="1"/>
    </row>
    <row r="9" spans="1:28">
      <c r="A9" s="1"/>
      <c r="B9" s="8">
        <v>9.0399999999999991</v>
      </c>
      <c r="C9" s="8">
        <v>1.5149999999999999</v>
      </c>
      <c r="D9" s="8">
        <v>6.5</v>
      </c>
      <c r="E9" s="11">
        <f t="shared" si="3"/>
        <v>6.5000000000000006E-3</v>
      </c>
      <c r="F9" s="8">
        <f t="shared" si="4"/>
        <v>5.9669966996699664</v>
      </c>
      <c r="G9" s="8">
        <f t="shared" si="5"/>
        <v>3.9935384212679989E-2</v>
      </c>
      <c r="H9" s="6">
        <f t="shared" si="6"/>
        <v>9.3790445800175721</v>
      </c>
      <c r="I9" s="6">
        <f t="shared" si="7"/>
        <v>0.11681750883651715</v>
      </c>
      <c r="J9" s="18">
        <f t="shared" si="8"/>
        <v>1889.1799120397009</v>
      </c>
      <c r="K9" s="8">
        <f t="shared" si="0"/>
        <v>13.695599999999997</v>
      </c>
      <c r="L9" s="8">
        <f t="shared" si="1"/>
        <v>9.0412693937300628E-2</v>
      </c>
      <c r="M9" s="43">
        <f t="shared" si="9"/>
        <v>3.2762733190046553</v>
      </c>
      <c r="N9" s="43">
        <f t="shared" si="10"/>
        <v>6.702833041860679E-3</v>
      </c>
      <c r="O9" s="43">
        <f t="shared" si="11"/>
        <v>2.0283304186067847E-4</v>
      </c>
      <c r="P9" s="8">
        <f t="shared" si="2"/>
        <v>-2.1870866433571443</v>
      </c>
      <c r="Q9" s="8">
        <f t="shared" si="12"/>
        <v>6.6814535677423348E-2</v>
      </c>
      <c r="R9" s="10">
        <f t="shared" si="13"/>
        <v>-2.1856645980256939</v>
      </c>
      <c r="S9" s="10">
        <f t="shared" si="14"/>
        <v>1.4220453314504056E-3</v>
      </c>
      <c r="U9" s="2">
        <v>59.8</v>
      </c>
      <c r="V9" s="2">
        <f t="shared" si="15"/>
        <v>5.9799999999999999E-2</v>
      </c>
      <c r="W9" s="2">
        <v>0.1</v>
      </c>
      <c r="X9" s="30"/>
      <c r="Z9" s="32"/>
      <c r="AB9" s="1"/>
    </row>
    <row r="10" spans="1:28">
      <c r="A10" s="1"/>
      <c r="B10" s="8">
        <v>11</v>
      </c>
      <c r="C10" s="8">
        <v>1.67</v>
      </c>
      <c r="D10" s="8">
        <v>9.3699999999999992</v>
      </c>
      <c r="E10" s="11">
        <f t="shared" si="3"/>
        <v>9.3699999999999999E-3</v>
      </c>
      <c r="F10" s="8">
        <f t="shared" si="4"/>
        <v>6.5868263473053892</v>
      </c>
      <c r="G10" s="8">
        <f t="shared" si="5"/>
        <v>3.98940299696664E-2</v>
      </c>
      <c r="H10" s="6">
        <f t="shared" si="6"/>
        <v>10.353305198849613</v>
      </c>
      <c r="I10" s="6">
        <f t="shared" si="7"/>
        <v>0.12553634610721237</v>
      </c>
      <c r="J10" s="18">
        <f t="shared" si="8"/>
        <v>2055.8282477910689</v>
      </c>
      <c r="K10" s="8">
        <f t="shared" si="0"/>
        <v>18.369999999999997</v>
      </c>
      <c r="L10" s="8">
        <f t="shared" si="1"/>
        <v>0.11001267608780363</v>
      </c>
      <c r="M10" s="43">
        <f t="shared" si="9"/>
        <v>3.3129868291207454</v>
      </c>
      <c r="N10" s="43">
        <f t="shared" si="10"/>
        <v>9.2560801883315239E-3</v>
      </c>
      <c r="O10" s="43">
        <f t="shared" si="11"/>
        <v>-1.1391981166847601E-4</v>
      </c>
      <c r="P10" s="8">
        <f t="shared" si="2"/>
        <v>-2.0282604091122218</v>
      </c>
      <c r="Q10" s="8">
        <f t="shared" si="12"/>
        <v>4.6349464450720579E-2</v>
      </c>
      <c r="R10" s="10">
        <f t="shared" si="13"/>
        <v>-2.0200095412879655</v>
      </c>
      <c r="S10" s="10">
        <f t="shared" si="14"/>
        <v>8.2508678242563249E-3</v>
      </c>
      <c r="U10" s="2">
        <v>79.400000000000006</v>
      </c>
      <c r="V10" s="2">
        <f t="shared" si="15"/>
        <v>7.9400000000000012E-2</v>
      </c>
      <c r="W10" s="2">
        <v>0.13</v>
      </c>
      <c r="X10" s="31"/>
      <c r="Z10" s="32"/>
      <c r="AB10" s="1"/>
    </row>
    <row r="11" spans="1:28">
      <c r="A11" s="1"/>
      <c r="B11" s="8">
        <v>1.5069999999999999</v>
      </c>
      <c r="C11" s="8">
        <v>0.67</v>
      </c>
      <c r="D11" s="8">
        <v>0.19</v>
      </c>
      <c r="E11" s="11">
        <f t="shared" si="3"/>
        <v>1.9000000000000001E-4</v>
      </c>
      <c r="F11" s="8">
        <f t="shared" si="4"/>
        <v>2.2492537313432832</v>
      </c>
      <c r="G11" s="8">
        <f t="shared" si="5"/>
        <v>3.6739291346145932E-2</v>
      </c>
      <c r="H11" s="6">
        <f t="shared" si="6"/>
        <v>3.5354219349922427</v>
      </c>
      <c r="I11" s="6">
        <f t="shared" si="7"/>
        <v>6.8658033273187327E-2</v>
      </c>
      <c r="J11" s="18">
        <f t="shared" si="8"/>
        <v>825.15497548176904</v>
      </c>
      <c r="K11" s="8">
        <f t="shared" si="0"/>
        <v>1.00969</v>
      </c>
      <c r="L11" s="8">
        <f t="shared" si="1"/>
        <v>1.5084886476205248E-2</v>
      </c>
      <c r="M11" s="43">
        <f t="shared" si="9"/>
        <v>2.9165355227023659</v>
      </c>
      <c r="N11" s="43">
        <f t="shared" si="10"/>
        <v>-2.2645488982807977E-4</v>
      </c>
      <c r="O11" s="43">
        <f t="shared" si="11"/>
        <v>-4.1645488982807978E-4</v>
      </c>
      <c r="P11" s="13">
        <f t="shared" si="2"/>
        <v>-3.7212463990471711</v>
      </c>
      <c r="Q11" s="8">
        <f t="shared" si="12"/>
        <v>2.2857604310697464</v>
      </c>
      <c r="R11" s="6">
        <f t="shared" si="13"/>
        <v>-3.8088377805605997</v>
      </c>
      <c r="S11" s="6">
        <f t="shared" si="14"/>
        <v>-8.7591381513428601E-2</v>
      </c>
      <c r="U11" s="2">
        <v>99.3</v>
      </c>
      <c r="V11" s="2">
        <f t="shared" si="15"/>
        <v>9.9299999999999999E-2</v>
      </c>
      <c r="W11" s="2">
        <v>0.16</v>
      </c>
      <c r="Z11" s="32"/>
      <c r="AB11" s="1"/>
    </row>
    <row r="12" spans="1:28">
      <c r="A12" s="1"/>
      <c r="B12" s="8">
        <v>2.048</v>
      </c>
      <c r="C12" s="8">
        <v>0.755</v>
      </c>
      <c r="D12" s="8">
        <v>0.253</v>
      </c>
      <c r="E12" s="11">
        <f t="shared" si="3"/>
        <v>2.5300000000000002E-4</v>
      </c>
      <c r="F12" s="8">
        <f t="shared" si="4"/>
        <v>2.7125827814569536</v>
      </c>
      <c r="G12" s="8">
        <f t="shared" si="5"/>
        <v>3.8291904642980296E-2</v>
      </c>
      <c r="H12" s="6">
        <f t="shared" si="6"/>
        <v>4.2636917891508119</v>
      </c>
      <c r="I12" s="6">
        <f t="shared" si="7"/>
        <v>7.5022975195966735E-2</v>
      </c>
      <c r="J12" s="18">
        <f t="shared" si="8"/>
        <v>963.78860996035746</v>
      </c>
      <c r="K12" s="8">
        <f t="shared" si="0"/>
        <v>1.5462400000000001</v>
      </c>
      <c r="L12" s="8">
        <f t="shared" si="1"/>
        <v>2.0493911900854849E-2</v>
      </c>
      <c r="M12" s="43">
        <f t="shared" si="9"/>
        <v>2.9839817895097061</v>
      </c>
      <c r="N12" s="43">
        <f t="shared" si="10"/>
        <v>6.661903547547387E-5</v>
      </c>
      <c r="O12" s="43">
        <f t="shared" si="11"/>
        <v>-1.8638096452452615E-4</v>
      </c>
      <c r="P12" s="13">
        <f t="shared" si="2"/>
        <v>-3.596879478824182</v>
      </c>
      <c r="Q12" s="8">
        <f t="shared" si="12"/>
        <v>1.7165789798547502</v>
      </c>
      <c r="R12" s="6">
        <f t="shared" si="13"/>
        <v>-3.5045134291327766</v>
      </c>
      <c r="S12" s="6">
        <f t="shared" si="14"/>
        <v>9.2366049691405383E-2</v>
      </c>
      <c r="U12" s="1"/>
      <c r="V12" s="1"/>
      <c r="W12" s="1"/>
      <c r="Z12" s="32"/>
      <c r="AB12" s="1"/>
    </row>
    <row r="13" spans="1:28">
      <c r="A13" s="1"/>
      <c r="B13" s="8">
        <v>2.5219999999999998</v>
      </c>
      <c r="C13" s="8">
        <v>0.83</v>
      </c>
      <c r="D13" s="8">
        <v>0.43</v>
      </c>
      <c r="E13" s="11">
        <f t="shared" si="3"/>
        <v>4.2999999999999999E-4</v>
      </c>
      <c r="F13" s="8">
        <f t="shared" si="4"/>
        <v>3.0385542168674697</v>
      </c>
      <c r="G13" s="8">
        <f t="shared" si="5"/>
        <v>3.8540682354847845E-2</v>
      </c>
      <c r="H13" s="6">
        <f t="shared" si="6"/>
        <v>4.7760602013365681</v>
      </c>
      <c r="I13" s="6">
        <f t="shared" si="7"/>
        <v>7.8655733928896132E-2</v>
      </c>
      <c r="J13" s="18">
        <f t="shared" si="8"/>
        <v>1060.294623398484</v>
      </c>
      <c r="K13" s="8">
        <f t="shared" si="0"/>
        <v>2.0932599999999999</v>
      </c>
      <c r="L13" s="8">
        <f t="shared" si="1"/>
        <v>2.5233654115090026E-2</v>
      </c>
      <c r="M13" s="43">
        <f t="shared" si="9"/>
        <v>3.0254265591679785</v>
      </c>
      <c r="N13" s="43">
        <f t="shared" si="10"/>
        <v>3.6541187606731044E-4</v>
      </c>
      <c r="O13" s="43">
        <f t="shared" si="11"/>
        <v>-6.4588123932689549E-5</v>
      </c>
      <c r="P13" s="13">
        <f t="shared" si="2"/>
        <v>-3.3665315444204134</v>
      </c>
      <c r="Q13" s="8">
        <f t="shared" si="12"/>
        <v>1.0099871672168648</v>
      </c>
      <c r="R13" s="6">
        <f t="shared" si="13"/>
        <v>-3.317510452639544</v>
      </c>
      <c r="S13" s="6">
        <f t="shared" si="14"/>
        <v>4.902109178086933E-2</v>
      </c>
      <c r="U13" s="1"/>
      <c r="V13" s="1"/>
      <c r="W13" s="1"/>
      <c r="Z13" s="32"/>
      <c r="AB13" s="1"/>
    </row>
    <row r="14" spans="1:28">
      <c r="A14" s="1"/>
      <c r="B14" s="8">
        <v>3.55</v>
      </c>
      <c r="C14" s="8">
        <v>0.96</v>
      </c>
      <c r="D14" s="8">
        <v>0.96399999999999997</v>
      </c>
      <c r="E14" s="11">
        <f t="shared" si="3"/>
        <v>9.6400000000000001E-4</v>
      </c>
      <c r="F14" s="8">
        <f t="shared" si="4"/>
        <v>3.6979166666666665</v>
      </c>
      <c r="G14" s="8">
        <f t="shared" si="5"/>
        <v>3.9903567126832788E-2</v>
      </c>
      <c r="H14" s="6">
        <f t="shared" si="6"/>
        <v>5.8124592681230993</v>
      </c>
      <c r="I14" s="6">
        <f t="shared" si="7"/>
        <v>8.7531184436913614E-2</v>
      </c>
      <c r="J14" s="18">
        <f t="shared" si="8"/>
        <v>1252.9059870962235</v>
      </c>
      <c r="K14" s="8">
        <f t="shared" si="0"/>
        <v>3.4079999999999999</v>
      </c>
      <c r="L14" s="8">
        <f t="shared" si="1"/>
        <v>3.551297790949106E-2</v>
      </c>
      <c r="M14" s="43">
        <f t="shared" si="9"/>
        <v>3.0979184845479169</v>
      </c>
      <c r="N14" s="43">
        <f t="shared" si="10"/>
        <v>1.083548140261876E-3</v>
      </c>
      <c r="O14" s="43">
        <f t="shared" si="11"/>
        <v>1.1954814026187604E-4</v>
      </c>
      <c r="P14" s="13">
        <f t="shared" si="2"/>
        <v>-3.0159229660971691</v>
      </c>
      <c r="Q14" s="8">
        <f t="shared" si="12"/>
        <v>0.45051294803241887</v>
      </c>
      <c r="R14" s="6">
        <f t="shared" si="13"/>
        <v>-2.9904195813534997</v>
      </c>
      <c r="S14" s="6">
        <f t="shared" si="14"/>
        <v>2.5503384743669422E-2</v>
      </c>
      <c r="U14" s="1"/>
      <c r="V14" s="1"/>
      <c r="W14" s="1"/>
      <c r="Z14" s="32"/>
      <c r="AB14" s="1"/>
    </row>
    <row r="15" spans="1:28">
      <c r="A15" s="1"/>
      <c r="B15" s="8">
        <v>4.12</v>
      </c>
      <c r="C15" s="8">
        <v>1.04</v>
      </c>
      <c r="D15" s="8">
        <v>1.21</v>
      </c>
      <c r="E15" s="11">
        <f t="shared" si="3"/>
        <v>1.2099999999999999E-3</v>
      </c>
      <c r="F15" s="8">
        <f t="shared" si="4"/>
        <v>3.9615384615384617</v>
      </c>
      <c r="G15" s="8">
        <f t="shared" si="5"/>
        <v>3.9286568281325783E-2</v>
      </c>
      <c r="H15" s="10">
        <f t="shared" si="6"/>
        <v>6.2268252701193081</v>
      </c>
      <c r="I15" s="10">
        <f t="shared" si="7"/>
        <v>8.9952412127258435E-2</v>
      </c>
      <c r="J15" s="18">
        <f t="shared" si="8"/>
        <v>1328.9418309291657</v>
      </c>
      <c r="K15" s="8">
        <f t="shared" si="0"/>
        <v>4.2848000000000006</v>
      </c>
      <c r="L15" s="8">
        <f t="shared" si="1"/>
        <v>4.1213124123269274E-2</v>
      </c>
      <c r="M15" s="43">
        <f t="shared" si="9"/>
        <v>3.1235059718687253</v>
      </c>
      <c r="N15" s="43">
        <f t="shared" si="10"/>
        <v>1.5624731569539945E-3</v>
      </c>
      <c r="O15" s="43">
        <f>N15-E15</f>
        <v>3.5247315695399457E-4</v>
      </c>
      <c r="P15" s="13">
        <f t="shared" si="2"/>
        <v>-2.9172146296835502</v>
      </c>
      <c r="Q15" s="8">
        <f t="shared" si="12"/>
        <v>0.35892105942417507</v>
      </c>
      <c r="R15" s="6">
        <f t="shared" si="13"/>
        <v>-2.8749662604778479</v>
      </c>
      <c r="S15" s="6">
        <f t="shared" si="14"/>
        <v>4.2248369205702296E-2</v>
      </c>
      <c r="U15" s="1"/>
      <c r="V15" s="1"/>
      <c r="W15" s="1"/>
      <c r="Z15" s="32"/>
      <c r="AB15" s="1"/>
    </row>
    <row r="16" spans="1:28">
      <c r="A16" s="1"/>
      <c r="B16" s="8">
        <v>4.63</v>
      </c>
      <c r="C16" s="8">
        <v>1.0900000000000001</v>
      </c>
      <c r="D16" s="8">
        <v>1.706</v>
      </c>
      <c r="E16" s="11">
        <f t="shared" si="3"/>
        <v>1.7060000000000001E-3</v>
      </c>
      <c r="F16" s="8">
        <f t="shared" si="4"/>
        <v>4.2477064220183482</v>
      </c>
      <c r="G16" s="8">
        <f t="shared" si="5"/>
        <v>4.0035135069523706E-2</v>
      </c>
      <c r="H16" s="10">
        <f t="shared" si="6"/>
        <v>6.6766297854899994</v>
      </c>
      <c r="I16" s="10">
        <f t="shared" si="7"/>
        <v>9.4226030915001521E-2</v>
      </c>
      <c r="J16" s="18">
        <f t="shared" si="8"/>
        <v>1410.8516467169784</v>
      </c>
      <c r="K16" s="8">
        <f t="shared" si="0"/>
        <v>5.0467000000000004</v>
      </c>
      <c r="L16" s="8">
        <f t="shared" si="1"/>
        <v>4.6312828676296589E-2</v>
      </c>
      <c r="M16" s="43">
        <f t="shared" si="9"/>
        <v>3.1494813494031955</v>
      </c>
      <c r="N16" s="43">
        <f t="shared" si="10"/>
        <v>1.978637584665815E-3</v>
      </c>
      <c r="O16" s="43">
        <f t="shared" si="11"/>
        <v>2.7263758466581495E-4</v>
      </c>
      <c r="P16" s="13">
        <f t="shared" si="2"/>
        <v>-2.7680209731684959</v>
      </c>
      <c r="Q16" s="8">
        <f t="shared" si="12"/>
        <v>0.25456886395266809</v>
      </c>
      <c r="R16" s="8">
        <f t="shared" si="13"/>
        <v>-2.7577627398760196</v>
      </c>
      <c r="S16" s="8">
        <f t="shared" si="14"/>
        <v>1.0258233292476326E-2</v>
      </c>
      <c r="U16" s="1"/>
      <c r="V16" s="1"/>
      <c r="W16" s="1"/>
      <c r="Z16" s="32"/>
      <c r="AB16" s="1"/>
    </row>
    <row r="17" spans="1:28">
      <c r="A17" s="1"/>
      <c r="B17" s="8">
        <v>5.05</v>
      </c>
      <c r="C17" s="8">
        <v>1.135</v>
      </c>
      <c r="D17" s="8">
        <v>2.1219999999999999</v>
      </c>
      <c r="E17" s="11">
        <f t="shared" si="3"/>
        <v>2.1219999999999998E-3</v>
      </c>
      <c r="F17" s="8">
        <f t="shared" si="4"/>
        <v>4.4493392070484576</v>
      </c>
      <c r="G17" s="8">
        <f t="shared" si="5"/>
        <v>4.0179128284428559E-2</v>
      </c>
      <c r="H17" s="10">
        <f t="shared" si="6"/>
        <v>6.9935602238284504</v>
      </c>
      <c r="I17" s="10">
        <f t="shared" si="7"/>
        <v>9.6876846758545271E-2</v>
      </c>
      <c r="J17" s="18">
        <f t="shared" si="8"/>
        <v>1468.1717699544558</v>
      </c>
      <c r="K17" s="8">
        <f t="shared" si="0"/>
        <v>5.7317499999999999</v>
      </c>
      <c r="L17" s="8">
        <f t="shared" si="1"/>
        <v>5.0512753092659679E-2</v>
      </c>
      <c r="M17" s="43">
        <f t="shared" si="9"/>
        <v>3.1667768691899538</v>
      </c>
      <c r="N17" s="43">
        <f t="shared" si="10"/>
        <v>2.352825064917794E-3</v>
      </c>
      <c r="O17" s="43">
        <f t="shared" si="11"/>
        <v>2.3082506491779427E-4</v>
      </c>
      <c r="P17" s="13">
        <f t="shared" si="2"/>
        <v>-2.6732546204346783</v>
      </c>
      <c r="Q17" s="8">
        <f t="shared" si="12"/>
        <v>0.20466280956797916</v>
      </c>
      <c r="R17" s="8">
        <f t="shared" si="13"/>
        <v>-2.6797236119766605</v>
      </c>
      <c r="S17" s="8">
        <f t="shared" si="14"/>
        <v>-6.4689915419822164E-3</v>
      </c>
      <c r="U17" s="1"/>
      <c r="V17" s="1"/>
      <c r="W17" s="1"/>
      <c r="AB17" s="1"/>
    </row>
    <row r="18" spans="1:28">
      <c r="A18" s="1"/>
      <c r="B18" s="8">
        <v>5.56</v>
      </c>
      <c r="C18" s="8">
        <v>1.19</v>
      </c>
      <c r="D18" s="8">
        <v>2.61</v>
      </c>
      <c r="E18" s="11">
        <f t="shared" si="3"/>
        <v>2.6099999999999999E-3</v>
      </c>
      <c r="F18" s="8">
        <f t="shared" si="4"/>
        <v>4.6722689075630255</v>
      </c>
      <c r="G18" s="8">
        <f t="shared" si="5"/>
        <v>4.01519752096854E-2</v>
      </c>
      <c r="H18" s="10">
        <f t="shared" si="6"/>
        <v>7.3439655792481613</v>
      </c>
      <c r="I18" s="10">
        <f t="shared" si="7"/>
        <v>9.9669804075500731E-2</v>
      </c>
      <c r="J18" s="18">
        <f t="shared" si="8"/>
        <v>1531.1678022583326</v>
      </c>
      <c r="K18" s="8">
        <f t="shared" si="0"/>
        <v>6.6163999999999996</v>
      </c>
      <c r="L18" s="8">
        <f t="shared" si="1"/>
        <v>5.5612733254174804E-2</v>
      </c>
      <c r="M18" s="43">
        <f t="shared" si="9"/>
        <v>3.1850227880865321</v>
      </c>
      <c r="N18" s="43">
        <f t="shared" si="10"/>
        <v>2.836037902528061E-3</v>
      </c>
      <c r="O18" s="43">
        <f t="shared" si="11"/>
        <v>2.2603790252806108E-4</v>
      </c>
      <c r="P18" s="9">
        <f t="shared" si="2"/>
        <v>-2.5833594926617192</v>
      </c>
      <c r="Q18" s="8">
        <f t="shared" si="12"/>
        <v>0.16639635321963672</v>
      </c>
      <c r="R18" s="8">
        <f t="shared" si="13"/>
        <v>-2.5973961875357041</v>
      </c>
      <c r="S18" s="8">
        <f t="shared" si="14"/>
        <v>-1.4036694873984956E-2</v>
      </c>
      <c r="U18" s="1"/>
      <c r="V18" s="1"/>
      <c r="W18" s="1"/>
      <c r="AB18" s="1"/>
    </row>
    <row r="19" spans="1:28">
      <c r="A19" s="1"/>
      <c r="B19" s="8">
        <v>6.6449999999999996</v>
      </c>
      <c r="C19" s="8">
        <v>1.3</v>
      </c>
      <c r="D19" s="8">
        <v>3.706</v>
      </c>
      <c r="E19" s="11">
        <f t="shared" si="3"/>
        <v>3.7060000000000001E-3</v>
      </c>
      <c r="F19" s="8">
        <f t="shared" si="4"/>
        <v>5.1115384615384611</v>
      </c>
      <c r="G19" s="8">
        <f t="shared" si="5"/>
        <v>4.0064906986310531E-2</v>
      </c>
      <c r="H19" s="10">
        <f t="shared" si="6"/>
        <v>8.0344182368820967</v>
      </c>
      <c r="I19" s="10">
        <f t="shared" si="7"/>
        <v>0.10530144862084719</v>
      </c>
      <c r="J19" s="18">
        <f t="shared" si="8"/>
        <v>1654.1348225111649</v>
      </c>
      <c r="K19" s="8">
        <f t="shared" si="0"/>
        <v>8.6385000000000005</v>
      </c>
      <c r="L19" s="8">
        <f t="shared" si="1"/>
        <v>6.6462715111557089E-2</v>
      </c>
      <c r="M19" s="43">
        <f t="shared" si="9"/>
        <v>3.2185709044223096</v>
      </c>
      <c r="N19" s="43">
        <f t="shared" si="10"/>
        <v>3.9405477978897534E-3</v>
      </c>
      <c r="O19" s="43">
        <f t="shared" si="11"/>
        <v>2.3454779788975328E-4</v>
      </c>
      <c r="P19" s="9">
        <f t="shared" si="2"/>
        <v>-2.4310945850171213</v>
      </c>
      <c r="Q19" s="8">
        <f t="shared" si="12"/>
        <v>0.11718685426423417</v>
      </c>
      <c r="R19" s="8">
        <f t="shared" si="13"/>
        <v>-2.4460237064660841</v>
      </c>
      <c r="S19" s="8">
        <f t="shared" si="14"/>
        <v>-1.4929121448962857E-2</v>
      </c>
      <c r="U19" s="1"/>
      <c r="V19" s="1"/>
      <c r="W19" s="1"/>
      <c r="AB19" s="1"/>
    </row>
    <row r="20" spans="1:28">
      <c r="A20" s="1"/>
      <c r="B20" s="8">
        <v>7.0350000000000001</v>
      </c>
      <c r="C20" s="8">
        <v>1.335</v>
      </c>
      <c r="D20" s="8">
        <v>4.2530000000000001</v>
      </c>
      <c r="E20" s="11">
        <f t="shared" si="3"/>
        <v>4.2529999999999998E-3</v>
      </c>
      <c r="F20" s="8">
        <f t="shared" si="4"/>
        <v>5.2696629213483153</v>
      </c>
      <c r="G20" s="8">
        <f t="shared" si="5"/>
        <v>4.0177576699766231E-2</v>
      </c>
      <c r="H20" s="10">
        <f t="shared" si="6"/>
        <v>8.2829614207303202</v>
      </c>
      <c r="I20" s="10">
        <f t="shared" si="7"/>
        <v>0.10750915401680187</v>
      </c>
      <c r="J20" s="18">
        <f t="shared" si="8"/>
        <v>1698.0217945010081</v>
      </c>
      <c r="K20" s="8">
        <f t="shared" si="0"/>
        <v>9.3917249999999992</v>
      </c>
      <c r="L20" s="8">
        <f t="shared" si="1"/>
        <v>7.0362665704192875E-2</v>
      </c>
      <c r="M20" s="43">
        <f t="shared" si="9"/>
        <v>3.2299432602134575</v>
      </c>
      <c r="N20" s="43">
        <f t="shared" si="10"/>
        <v>4.3519737738226E-3</v>
      </c>
      <c r="O20" s="43">
        <f t="shared" si="11"/>
        <v>9.8973773822600211E-5</v>
      </c>
      <c r="P20" s="9">
        <f t="shared" si="2"/>
        <v>-2.3713046172859769</v>
      </c>
      <c r="Q20" s="8">
        <f t="shared" si="12"/>
        <v>0.10211485584369899</v>
      </c>
      <c r="R20" s="8">
        <f t="shared" si="13"/>
        <v>-2.3947104913072152</v>
      </c>
      <c r="S20" s="8">
        <f t="shared" si="14"/>
        <v>-2.3405874021238393E-2</v>
      </c>
      <c r="U20" s="1"/>
      <c r="V20" s="1"/>
      <c r="W20" s="1"/>
      <c r="AB20" s="1"/>
    </row>
    <row r="21" spans="1:28">
      <c r="A21" s="1"/>
      <c r="B21" s="8">
        <v>7.51</v>
      </c>
      <c r="C21" s="8">
        <v>1.375</v>
      </c>
      <c r="D21" s="8">
        <v>4.7949999999999999</v>
      </c>
      <c r="E21" s="11">
        <f t="shared" si="3"/>
        <v>4.7949999999999998E-3</v>
      </c>
      <c r="F21" s="8">
        <f t="shared" si="4"/>
        <v>5.4618181818181819</v>
      </c>
      <c r="G21" s="8">
        <f t="shared" si="5"/>
        <v>4.0382605109594773E-2</v>
      </c>
      <c r="H21" s="10">
        <f t="shared" si="6"/>
        <v>8.5849948966884106</v>
      </c>
      <c r="I21" s="10">
        <f t="shared" si="7"/>
        <v>0.11027767976291528</v>
      </c>
      <c r="J21" s="18">
        <f t="shared" si="8"/>
        <v>1751.0848356414392</v>
      </c>
      <c r="K21" s="8">
        <f t="shared" si="0"/>
        <v>10.32625</v>
      </c>
      <c r="L21" s="8">
        <f t="shared" si="1"/>
        <v>7.5112586328790462E-2</v>
      </c>
      <c r="M21" s="43">
        <f t="shared" si="9"/>
        <v>3.2433071870648513</v>
      </c>
      <c r="N21" s="43">
        <f t="shared" si="10"/>
        <v>4.8624292952918081E-3</v>
      </c>
      <c r="O21" s="43">
        <f t="shared" si="11"/>
        <v>6.7429295291808293E-5</v>
      </c>
      <c r="P21" s="9">
        <f t="shared" si="2"/>
        <v>-2.3192113884933176</v>
      </c>
      <c r="Q21" s="8">
        <f t="shared" si="12"/>
        <v>9.0572363274922171E-2</v>
      </c>
      <c r="R21" s="8">
        <f t="shared" si="13"/>
        <v>-2.3344111068624596</v>
      </c>
      <c r="S21" s="8">
        <f t="shared" si="14"/>
        <v>-1.5199718369141912E-2</v>
      </c>
      <c r="U21" s="1"/>
      <c r="V21" s="1"/>
      <c r="W21" s="1"/>
      <c r="AB21" s="1"/>
    </row>
    <row r="22" spans="1:28">
      <c r="A22" s="1"/>
      <c r="B22" s="8">
        <v>8</v>
      </c>
      <c r="C22" s="8">
        <v>1.42</v>
      </c>
      <c r="D22" s="8">
        <v>5.3979999999999997</v>
      </c>
      <c r="E22" s="11">
        <f t="shared" si="3"/>
        <v>5.398E-3</v>
      </c>
      <c r="F22" s="8">
        <f t="shared" si="4"/>
        <v>5.6338028169014089</v>
      </c>
      <c r="G22" s="8">
        <f t="shared" si="5"/>
        <v>4.0294820929219009E-2</v>
      </c>
      <c r="H22" s="10">
        <f t="shared" si="6"/>
        <v>8.855323780834242</v>
      </c>
      <c r="I22" s="10">
        <f t="shared" si="7"/>
        <v>0.11253388050332915</v>
      </c>
      <c r="J22" s="18">
        <f t="shared" si="8"/>
        <v>1798.3274628696131</v>
      </c>
      <c r="K22" s="8">
        <f t="shared" si="0"/>
        <v>11.36</v>
      </c>
      <c r="L22" s="8">
        <f t="shared" si="1"/>
        <v>8.0012601507512549E-2</v>
      </c>
      <c r="M22" s="43">
        <f t="shared" si="9"/>
        <v>3.254868776589817</v>
      </c>
      <c r="N22" s="43">
        <f t="shared" si="10"/>
        <v>5.4270834193856461E-3</v>
      </c>
      <c r="O22" s="43">
        <f t="shared" si="11"/>
        <v>2.9083419385646063E-5</v>
      </c>
      <c r="P22" s="9">
        <f t="shared" si="2"/>
        <v>-2.267767119779502</v>
      </c>
      <c r="Q22" s="8">
        <f t="shared" si="12"/>
        <v>8.0454702093970321E-2</v>
      </c>
      <c r="R22" s="8">
        <f t="shared" si="13"/>
        <v>-2.2822440500302363</v>
      </c>
      <c r="S22" s="8">
        <f t="shared" si="14"/>
        <v>-1.4476930250734377E-2</v>
      </c>
      <c r="U22" s="1"/>
      <c r="V22" s="1"/>
      <c r="W22" s="1"/>
      <c r="AB22" s="1"/>
    </row>
    <row r="23" spans="1:28">
      <c r="A23" s="1"/>
      <c r="B23" s="8">
        <v>8.48</v>
      </c>
      <c r="C23" s="8">
        <v>1.46</v>
      </c>
      <c r="D23" s="8">
        <v>5.9850000000000003</v>
      </c>
      <c r="E23" s="11">
        <f t="shared" si="3"/>
        <v>5.9850000000000007E-3</v>
      </c>
      <c r="F23" s="8">
        <f t="shared" si="4"/>
        <v>5.8082191780821919</v>
      </c>
      <c r="G23" s="8">
        <f t="shared" si="5"/>
        <v>4.0367639900393916E-2</v>
      </c>
      <c r="H23" s="10">
        <f t="shared" si="6"/>
        <v>9.1294749006244515</v>
      </c>
      <c r="I23" s="10">
        <f t="shared" si="7"/>
        <v>0.11498876731659599</v>
      </c>
      <c r="J23" s="18">
        <f t="shared" si="8"/>
        <v>1845.9965298444438</v>
      </c>
      <c r="K23" s="8">
        <f t="shared" si="0"/>
        <v>12.380800000000001</v>
      </c>
      <c r="L23" s="8">
        <f t="shared" si="1"/>
        <v>8.4812567464969485E-2</v>
      </c>
      <c r="M23" s="43">
        <f t="shared" si="9"/>
        <v>3.2662308802918294</v>
      </c>
      <c r="N23" s="43">
        <f t="shared" si="10"/>
        <v>5.984664004512601E-3</v>
      </c>
      <c r="O23" s="43">
        <f t="shared" si="11"/>
        <v>-3.359954873997234E-7</v>
      </c>
      <c r="P23" s="9">
        <f t="shared" si="2"/>
        <v>-2.2229358452575703</v>
      </c>
      <c r="Q23" s="8">
        <f t="shared" si="12"/>
        <v>7.2563823208563374E-2</v>
      </c>
      <c r="R23" s="8">
        <f t="shared" si="13"/>
        <v>-2.2309770933305018</v>
      </c>
      <c r="S23" s="8">
        <f t="shared" si="14"/>
        <v>-8.041248072931495E-3</v>
      </c>
      <c r="U23" s="1"/>
      <c r="V23" s="1"/>
      <c r="W23" s="1"/>
      <c r="AB23" s="1"/>
    </row>
    <row r="24" spans="1:28">
      <c r="A24" s="1"/>
      <c r="B24" s="8">
        <v>9.4550000000000001</v>
      </c>
      <c r="C24" s="8">
        <v>1.54</v>
      </c>
      <c r="D24" s="8">
        <v>7.2270000000000003</v>
      </c>
      <c r="E24" s="11">
        <f t="shared" si="3"/>
        <v>7.2270000000000008E-3</v>
      </c>
      <c r="F24" s="8">
        <f t="shared" si="4"/>
        <v>6.1396103896103895</v>
      </c>
      <c r="G24" s="8">
        <f t="shared" si="5"/>
        <v>4.0392959175602323E-2</v>
      </c>
      <c r="H24" s="10">
        <f t="shared" si="6"/>
        <v>9.6503622251508592</v>
      </c>
      <c r="I24" s="10">
        <f t="shared" si="7"/>
        <v>0.11961112399303167</v>
      </c>
      <c r="J24" s="18">
        <f t="shared" si="8"/>
        <v>1935.8976949500445</v>
      </c>
      <c r="K24" s="8">
        <f t="shared" si="0"/>
        <v>14.560700000000001</v>
      </c>
      <c r="L24" s="8">
        <f t="shared" si="1"/>
        <v>9.4562540680757937E-2</v>
      </c>
      <c r="M24" s="43">
        <f t="shared" si="9"/>
        <v>3.2868824027179118</v>
      </c>
      <c r="N24" s="43">
        <f t="shared" si="10"/>
        <v>7.1753672936174682E-3</v>
      </c>
      <c r="O24" s="43">
        <f t="shared" si="11"/>
        <v>-5.1632706382532569E-5</v>
      </c>
      <c r="P24" s="9">
        <f t="shared" si="2"/>
        <v>-2.141041945281994</v>
      </c>
      <c r="Q24" s="8">
        <f t="shared" si="12"/>
        <v>6.0093328061886227E-2</v>
      </c>
      <c r="R24" s="8">
        <f t="shared" si="13"/>
        <v>-2.1377953433862533</v>
      </c>
      <c r="S24" s="8">
        <f t="shared" si="14"/>
        <v>3.2466018957406639E-3</v>
      </c>
      <c r="U24" s="1"/>
      <c r="V24" s="1"/>
      <c r="W24" s="1"/>
      <c r="AB24" s="1"/>
    </row>
    <row r="25" spans="1:28">
      <c r="A25" s="1"/>
      <c r="B25" s="8">
        <v>10.029999999999999</v>
      </c>
      <c r="C25" s="8">
        <v>1.59</v>
      </c>
      <c r="D25" s="8">
        <v>8.0500000000000007</v>
      </c>
      <c r="E25" s="11">
        <f t="shared" si="3"/>
        <v>8.0500000000000016E-3</v>
      </c>
      <c r="F25" s="8">
        <f t="shared" si="4"/>
        <v>6.3081761006289305</v>
      </c>
      <c r="G25" s="8">
        <f t="shared" si="5"/>
        <v>4.016947490317143E-2</v>
      </c>
      <c r="H25" s="10">
        <f t="shared" si="6"/>
        <v>9.9153171761721506</v>
      </c>
      <c r="I25" s="10">
        <f t="shared" si="7"/>
        <v>0.12179629335092453</v>
      </c>
      <c r="J25" s="18">
        <f t="shared" si="8"/>
        <v>1981.2899822767276</v>
      </c>
      <c r="K25" s="8">
        <f t="shared" si="0"/>
        <v>15.947699999999999</v>
      </c>
      <c r="L25" s="8">
        <f t="shared" si="1"/>
        <v>0.10031260190025976</v>
      </c>
      <c r="M25" s="43">
        <f t="shared" si="9"/>
        <v>3.2969480436789005</v>
      </c>
      <c r="N25" s="43">
        <f t="shared" si="10"/>
        <v>7.9329733590280151E-3</v>
      </c>
      <c r="O25" s="43">
        <f t="shared" si="11"/>
        <v>-1.1702664097198653E-4</v>
      </c>
      <c r="P25" s="9">
        <f t="shared" si="2"/>
        <v>-2.0942041196321313</v>
      </c>
      <c r="Q25" s="8">
        <f t="shared" si="12"/>
        <v>5.3949625081149283E-2</v>
      </c>
      <c r="R25" s="8">
        <f t="shared" si="13"/>
        <v>-2.0923781571999776</v>
      </c>
      <c r="S25" s="8">
        <f t="shared" si="14"/>
        <v>1.825962432153716E-3</v>
      </c>
      <c r="U25" s="1"/>
      <c r="V25" s="1"/>
      <c r="W25" s="1"/>
      <c r="AB25" s="1"/>
    </row>
    <row r="26" spans="1:28">
      <c r="A26" s="1"/>
      <c r="B26" s="8">
        <v>10.53</v>
      </c>
      <c r="C26" s="8">
        <v>1.63</v>
      </c>
      <c r="D26" s="8">
        <v>8.7690000000000001</v>
      </c>
      <c r="E26" s="11">
        <f t="shared" si="3"/>
        <v>8.7690000000000008E-3</v>
      </c>
      <c r="F26" s="8">
        <f t="shared" si="4"/>
        <v>6.4601226993865035</v>
      </c>
      <c r="G26" s="8">
        <f t="shared" si="5"/>
        <v>4.0104677520987432E-2</v>
      </c>
      <c r="H26" s="10">
        <f t="shared" si="6"/>
        <v>10.15414987463973</v>
      </c>
      <c r="I26" s="10">
        <f t="shared" si="7"/>
        <v>0.12389659481332854</v>
      </c>
      <c r="J26" s="18">
        <f t="shared" si="8"/>
        <v>2022.0122937215913</v>
      </c>
      <c r="K26" s="8">
        <f t="shared" si="0"/>
        <v>17.163899999999998</v>
      </c>
      <c r="L26" s="8">
        <f t="shared" si="1"/>
        <v>0.10531261510379465</v>
      </c>
      <c r="M26" s="43">
        <f t="shared" si="9"/>
        <v>3.3057837917491555</v>
      </c>
      <c r="N26" s="43">
        <f t="shared" si="10"/>
        <v>8.5972851807672411E-3</v>
      </c>
      <c r="O26" s="43">
        <f t="shared" si="11"/>
        <v>-1.7171481923275965E-4</v>
      </c>
      <c r="P26" s="9">
        <f t="shared" si="2"/>
        <v>-2.057049929922901</v>
      </c>
      <c r="Q26" s="8">
        <f t="shared" si="12"/>
        <v>4.9526112658598673E-2</v>
      </c>
      <c r="R26" s="8">
        <f t="shared" si="13"/>
        <v>-2.0525103716553605</v>
      </c>
      <c r="S26" s="8">
        <f t="shared" si="14"/>
        <v>4.5395582675404889E-3</v>
      </c>
      <c r="U26" s="1"/>
      <c r="V26" s="1"/>
      <c r="W26" s="1"/>
      <c r="AB26" s="1"/>
    </row>
    <row r="27" spans="1:28">
      <c r="A27" s="1"/>
      <c r="B27" s="8">
        <v>11.41</v>
      </c>
      <c r="C27" s="8">
        <v>1.7</v>
      </c>
      <c r="D27" s="8">
        <v>10.06</v>
      </c>
      <c r="E27" s="11">
        <f t="shared" si="3"/>
        <v>1.0060000000000001E-2</v>
      </c>
      <c r="F27" s="8">
        <f t="shared" si="4"/>
        <v>6.7117647058823531</v>
      </c>
      <c r="G27" s="8">
        <f t="shared" si="5"/>
        <v>3.9916775647606061E-2</v>
      </c>
      <c r="H27" s="10">
        <f t="shared" si="6"/>
        <v>10.549685806017099</v>
      </c>
      <c r="I27" s="10">
        <f t="shared" si="7"/>
        <v>0.12734517268213183</v>
      </c>
      <c r="J27" s="18">
        <f t="shared" si="8"/>
        <v>2089.047376678302</v>
      </c>
      <c r="K27" s="8">
        <f t="shared" si="0"/>
        <v>19.396999999999998</v>
      </c>
      <c r="L27" s="8">
        <f t="shared" si="1"/>
        <v>0.11411266362678596</v>
      </c>
      <c r="M27" s="43">
        <f t="shared" si="9"/>
        <v>3.3199482892845902</v>
      </c>
      <c r="N27" s="43">
        <f t="shared" si="10"/>
        <v>9.8170473326549788E-3</v>
      </c>
      <c r="O27" s="43">
        <f t="shared" si="11"/>
        <v>-2.429526673450224E-4</v>
      </c>
      <c r="P27" s="9">
        <f t="shared" si="2"/>
        <v>-1.9974020192800914</v>
      </c>
      <c r="Q27" s="8">
        <f t="shared" si="12"/>
        <v>4.3170425636506138E-2</v>
      </c>
      <c r="R27" s="8">
        <f t="shared" si="13"/>
        <v>-1.9885987316221865</v>
      </c>
      <c r="S27" s="8">
        <f t="shared" si="14"/>
        <v>8.8032876579049457E-3</v>
      </c>
      <c r="U27" s="1"/>
      <c r="V27" s="1"/>
      <c r="W27" s="1"/>
      <c r="AB27" s="1"/>
    </row>
    <row r="28" spans="1:28">
      <c r="A28" s="1"/>
      <c r="B28" s="8">
        <v>11.96</v>
      </c>
      <c r="C28" s="8">
        <v>1.74</v>
      </c>
      <c r="D28" s="8">
        <v>10.84</v>
      </c>
      <c r="E28" s="11">
        <f t="shared" si="3"/>
        <v>1.0840000000000001E-2</v>
      </c>
      <c r="F28" s="8">
        <f t="shared" si="4"/>
        <v>6.8735632183908049</v>
      </c>
      <c r="G28" s="8">
        <f t="shared" si="5"/>
        <v>3.991910804182338E-2</v>
      </c>
      <c r="H28" s="10">
        <f t="shared" si="6"/>
        <v>10.804003939271844</v>
      </c>
      <c r="I28" s="10">
        <f t="shared" si="7"/>
        <v>0.12967830005481237</v>
      </c>
      <c r="J28" s="18">
        <f t="shared" si="8"/>
        <v>2131.8815681314481</v>
      </c>
      <c r="K28" s="6">
        <f t="shared" si="0"/>
        <v>20.810400000000001</v>
      </c>
      <c r="L28" s="6">
        <f t="shared" si="1"/>
        <v>0.11961265652095518</v>
      </c>
      <c r="M28" s="43">
        <f t="shared" si="9"/>
        <v>3.3287630747749728</v>
      </c>
      <c r="N28" s="43">
        <f t="shared" si="10"/>
        <v>1.0589073585611914E-2</v>
      </c>
      <c r="O28" s="43">
        <f t="shared" si="11"/>
        <v>-2.5092641438808662E-4</v>
      </c>
      <c r="P28" s="9">
        <f t="shared" si="2"/>
        <v>-1.9649707177976319</v>
      </c>
      <c r="Q28" s="8">
        <f t="shared" si="12"/>
        <v>4.0064066596240941E-2</v>
      </c>
      <c r="R28" s="8">
        <f t="shared" si="13"/>
        <v>-1.9488255313500531</v>
      </c>
      <c r="S28" s="8">
        <f t="shared" si="14"/>
        <v>1.6145186447578785E-2</v>
      </c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B29" s="8">
        <v>1.3140000000000001</v>
      </c>
      <c r="C29" s="8">
        <v>0.63500000000000001</v>
      </c>
      <c r="D29" s="8">
        <v>0.15</v>
      </c>
      <c r="E29" s="11">
        <f t="shared" si="3"/>
        <v>1.4999999999999999E-4</v>
      </c>
      <c r="F29" s="8">
        <f t="shared" si="4"/>
        <v>2.0692913385826772</v>
      </c>
      <c r="G29" s="8">
        <f t="shared" si="5"/>
        <v>3.6192959917035666E-2</v>
      </c>
      <c r="H29" s="10">
        <f t="shared" si="6"/>
        <v>3.2525534520045261</v>
      </c>
      <c r="I29" s="10">
        <f t="shared" si="7"/>
        <v>6.6359788960420385E-2</v>
      </c>
      <c r="J29" s="18">
        <f t="shared" si="8"/>
        <v>770.84525157320172</v>
      </c>
      <c r="K29" s="6">
        <f t="shared" si="0"/>
        <v>0.83439000000000008</v>
      </c>
      <c r="L29" s="6">
        <f t="shared" si="1"/>
        <v>1.3155334469332204E-2</v>
      </c>
      <c r="M29" s="43">
        <f t="shared" si="9"/>
        <v>2.8869672014837899</v>
      </c>
      <c r="N29" s="43">
        <f t="shared" si="10"/>
        <v>-3.2220712001298883E-4</v>
      </c>
      <c r="O29" s="43">
        <f t="shared" si="11"/>
        <v>-4.7220712001298879E-4</v>
      </c>
      <c r="P29" s="9">
        <f t="shared" si="2"/>
        <v>-3.8239087409443187</v>
      </c>
      <c r="Q29" s="8">
        <f t="shared" si="12"/>
        <v>2.8952965460216791</v>
      </c>
      <c r="R29" s="8">
        <f t="shared" si="13"/>
        <v>-3.9422530250745247</v>
      </c>
      <c r="S29" s="8">
        <f t="shared" si="14"/>
        <v>-0.11834428413020603</v>
      </c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8">
        <v>1.8009999999999999</v>
      </c>
      <c r="C30" s="8">
        <v>0.72</v>
      </c>
      <c r="D30" s="8">
        <v>0.16</v>
      </c>
      <c r="E30" s="11">
        <f t="shared" si="3"/>
        <v>1.6000000000000001E-4</v>
      </c>
      <c r="F30" s="8">
        <f t="shared" si="4"/>
        <v>2.5013888888888891</v>
      </c>
      <c r="G30" s="8">
        <f t="shared" si="5"/>
        <v>3.7414888943211745E-2</v>
      </c>
      <c r="H30" s="10">
        <f t="shared" si="6"/>
        <v>3.9317330110383861</v>
      </c>
      <c r="I30" s="10">
        <f t="shared" si="7"/>
        <v>7.186255262036953E-2</v>
      </c>
      <c r="J30" s="18">
        <f t="shared" si="8"/>
        <v>900.80972813552057</v>
      </c>
      <c r="K30" s="6">
        <f t="shared" si="0"/>
        <v>1.2967199999999999</v>
      </c>
      <c r="L30" s="6">
        <f t="shared" si="1"/>
        <v>1.8024386258621957E-2</v>
      </c>
      <c r="M30" s="43">
        <f t="shared" si="9"/>
        <v>2.9546330676191301</v>
      </c>
      <c r="N30" s="43">
        <f t="shared" si="10"/>
        <v>-6.9673585606890801E-5</v>
      </c>
      <c r="O30" s="43">
        <f t="shared" si="11"/>
        <v>-2.2967358560689081E-4</v>
      </c>
      <c r="P30" s="9">
        <f t="shared" si="2"/>
        <v>-3.795880017344075</v>
      </c>
      <c r="Q30" s="8">
        <f t="shared" si="12"/>
        <v>2.7143405118953234</v>
      </c>
      <c r="R30" s="8">
        <f t="shared" si="13"/>
        <v>-3.636937819352891</v>
      </c>
      <c r="S30" s="8">
        <f t="shared" si="14"/>
        <v>0.15894219799118403</v>
      </c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B31" s="8">
        <v>8.7799999999999994</v>
      </c>
      <c r="C31" s="8">
        <v>1.49</v>
      </c>
      <c r="D31" s="8">
        <v>6.23</v>
      </c>
      <c r="E31" s="11">
        <f t="shared" si="3"/>
        <v>6.2300000000000003E-3</v>
      </c>
      <c r="F31" s="8">
        <f t="shared" si="4"/>
        <v>5.8926174496644288</v>
      </c>
      <c r="G31" s="8">
        <f t="shared" si="5"/>
        <v>4.0113202056669704E-2</v>
      </c>
      <c r="H31" s="10">
        <f t="shared" si="6"/>
        <v>9.2621337894235705</v>
      </c>
      <c r="I31" s="10">
        <f t="shared" si="7"/>
        <v>0.11593545718153947</v>
      </c>
      <c r="J31" s="18">
        <f t="shared" si="8"/>
        <v>1868.9757739298748</v>
      </c>
      <c r="K31" s="6">
        <f t="shared" si="0"/>
        <v>13.082199999999998</v>
      </c>
      <c r="L31" s="6">
        <f t="shared" si="1"/>
        <v>8.7812642028354898E-2</v>
      </c>
      <c r="M31" s="43">
        <f t="shared" si="9"/>
        <v>3.2716036719958663</v>
      </c>
      <c r="N31" s="43">
        <f t="shared" si="10"/>
        <v>6.3677821690972846E-3</v>
      </c>
      <c r="O31" s="43">
        <f t="shared" si="11"/>
        <v>1.3778216909728427E-4</v>
      </c>
      <c r="P31" s="9">
        <f t="shared" si="2"/>
        <v>-2.2055119533408303</v>
      </c>
      <c r="Q31" s="8">
        <f t="shared" si="12"/>
        <v>6.9710189711597398E-2</v>
      </c>
      <c r="R31" s="8">
        <f t="shared" si="13"/>
        <v>-2.2067345158227152</v>
      </c>
      <c r="S31" s="8">
        <f t="shared" si="14"/>
        <v>-1.2225624818849035E-3</v>
      </c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B32" s="8">
        <v>9.2899999999999991</v>
      </c>
      <c r="C32" s="8">
        <v>1.53</v>
      </c>
      <c r="D32" s="8">
        <v>6.78</v>
      </c>
      <c r="E32" s="11">
        <f t="shared" si="3"/>
        <v>6.7800000000000004E-3</v>
      </c>
      <c r="F32" s="8">
        <f t="shared" si="4"/>
        <v>6.0718954248366011</v>
      </c>
      <c r="G32" s="8">
        <f t="shared" si="5"/>
        <v>4.0220203212707827E-2</v>
      </c>
      <c r="H32" s="10">
        <f t="shared" si="6"/>
        <v>9.543926491177217</v>
      </c>
      <c r="I32" s="10">
        <f t="shared" si="7"/>
        <v>0.11852002743334576</v>
      </c>
      <c r="J32" s="18">
        <f t="shared" si="8"/>
        <v>1917.5990803438317</v>
      </c>
      <c r="K32" s="6">
        <f t="shared" si="0"/>
        <v>14.213699999999999</v>
      </c>
      <c r="L32" s="6">
        <f t="shared" si="1"/>
        <v>9.291259817699643E-2</v>
      </c>
      <c r="M32" s="43">
        <f t="shared" si="9"/>
        <v>3.2827578127435286</v>
      </c>
      <c r="N32" s="43">
        <f t="shared" si="10"/>
        <v>6.985829222458521E-3</v>
      </c>
      <c r="O32" s="9">
        <f t="shared" si="11"/>
        <v>2.0582922245852061E-4</v>
      </c>
      <c r="P32" s="9">
        <f t="shared" si="2"/>
        <v>-2.1687703061329366</v>
      </c>
      <c r="Q32" s="8">
        <f t="shared" si="12"/>
        <v>6.4055233319063681E-2</v>
      </c>
      <c r="R32" s="8">
        <f t="shared" si="13"/>
        <v>-2.1564059089264536</v>
      </c>
      <c r="S32" s="8">
        <f t="shared" si="14"/>
        <v>1.236439720648308E-2</v>
      </c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8"/>
      <c r="C33" s="8"/>
      <c r="D33" s="8"/>
      <c r="E33" s="11"/>
      <c r="F33" s="8"/>
      <c r="G33" s="8"/>
      <c r="H33" s="10"/>
      <c r="I33" s="10"/>
      <c r="J33" s="18"/>
      <c r="K33" s="6"/>
      <c r="L33" s="6"/>
      <c r="M33" s="13"/>
      <c r="N33" s="9"/>
      <c r="O33" s="9"/>
      <c r="P33" s="9"/>
      <c r="Q33" s="9"/>
      <c r="R33" s="8"/>
      <c r="S33" s="8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8"/>
      <c r="C34" s="8"/>
      <c r="D34" s="8"/>
      <c r="E34" s="11"/>
      <c r="F34" s="8"/>
      <c r="G34" s="8"/>
      <c r="H34" s="10"/>
      <c r="I34" s="10"/>
      <c r="J34" s="18"/>
      <c r="K34" s="6"/>
      <c r="L34" s="6"/>
      <c r="M34" s="13"/>
      <c r="N34" s="9"/>
      <c r="O34" s="9"/>
      <c r="P34" s="9"/>
      <c r="Q34" s="9"/>
      <c r="R34" s="8"/>
      <c r="S34" s="8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B35" s="8"/>
      <c r="C35" s="8"/>
      <c r="D35" s="8"/>
      <c r="E35" s="11"/>
      <c r="F35" s="8"/>
      <c r="G35" s="8"/>
      <c r="H35" s="10"/>
      <c r="I35" s="10"/>
      <c r="J35" s="18"/>
      <c r="K35" s="6"/>
      <c r="L35" s="6"/>
      <c r="M35" s="13"/>
      <c r="N35" s="9"/>
      <c r="O35" s="9"/>
      <c r="P35" s="9"/>
      <c r="Q35" s="9"/>
      <c r="R35" s="8"/>
      <c r="S35" s="8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20"/>
      <c r="L36" s="20"/>
      <c r="M36" s="1"/>
      <c r="N36" s="1"/>
      <c r="O36" s="1"/>
      <c r="P36" s="1"/>
      <c r="Q36" s="1"/>
      <c r="R36" s="1"/>
      <c r="S36" s="1"/>
      <c r="U36" s="1"/>
      <c r="V36" s="1"/>
      <c r="W36" s="1"/>
      <c r="X36" s="1"/>
      <c r="Y36" s="1"/>
      <c r="Z36" s="1"/>
      <c r="AA36" s="1"/>
      <c r="AB36" s="1"/>
    </row>
    <row r="38" spans="1:28">
      <c r="P38" s="34" t="s">
        <v>2</v>
      </c>
      <c r="Q38" s="11">
        <f t="array" ref="Q38:R42">LINEST(E7:E32,K7:K32,1,1)</f>
        <v>5.4621922524192279E-4</v>
      </c>
      <c r="R38" s="9">
        <v>-7.7796697936259682E-4</v>
      </c>
      <c r="S38" s="34" t="s">
        <v>5</v>
      </c>
      <c r="U38" s="29"/>
      <c r="V38" s="29"/>
      <c r="W38" s="7"/>
    </row>
    <row r="39" spans="1:28">
      <c r="P39" s="34" t="s">
        <v>3</v>
      </c>
      <c r="Q39" s="11">
        <v>7.2091064188240618E-6</v>
      </c>
      <c r="R39" s="9">
        <v>8.0318602443335628E-5</v>
      </c>
      <c r="S39" s="34" t="s">
        <v>6</v>
      </c>
      <c r="U39" s="29"/>
      <c r="V39" s="29"/>
      <c r="W39" s="7"/>
    </row>
    <row r="40" spans="1:28">
      <c r="P40" s="34" t="s">
        <v>4</v>
      </c>
      <c r="Q40" s="9">
        <v>0.99583679000401104</v>
      </c>
      <c r="R40" s="9">
        <v>2.260492126621317E-4</v>
      </c>
      <c r="S40" s="34" t="s">
        <v>7</v>
      </c>
      <c r="U40" s="29"/>
      <c r="V40" s="29"/>
      <c r="W40" s="7"/>
    </row>
    <row r="41" spans="1:28">
      <c r="P41" s="7"/>
      <c r="Q41" s="4">
        <v>5740.7824690857497</v>
      </c>
      <c r="R41" s="4">
        <v>24</v>
      </c>
      <c r="S41" s="1"/>
      <c r="U41" s="12"/>
      <c r="V41" s="12"/>
      <c r="W41" s="1"/>
    </row>
    <row r="42" spans="1:28">
      <c r="P42" s="7"/>
      <c r="Q42" s="4">
        <v>2.9334391796753136E-4</v>
      </c>
      <c r="R42" s="4">
        <v>1.2263579170840716E-6</v>
      </c>
      <c r="S42" s="1"/>
      <c r="U42" s="12"/>
      <c r="V42" s="12"/>
    </row>
    <row r="43" spans="1:28">
      <c r="P43" s="7"/>
      <c r="Q43" s="1"/>
      <c r="R43" s="1"/>
      <c r="S43" s="1"/>
    </row>
    <row r="44" spans="1:28">
      <c r="P44" s="7"/>
      <c r="Q44" s="1"/>
      <c r="R44" s="1"/>
      <c r="S44" s="1"/>
    </row>
    <row r="45" spans="1:28">
      <c r="P45" s="7"/>
      <c r="Q45" s="1"/>
      <c r="R45" s="1"/>
      <c r="S45" s="1"/>
    </row>
    <row r="46" spans="1:28">
      <c r="P46" s="34" t="s">
        <v>2</v>
      </c>
      <c r="Q46" s="6" cm="1">
        <f t="array" ref="Q46:R50">LINEST(P16:P32,M16:M32,1,1)</f>
        <v>4.5121007556596746</v>
      </c>
      <c r="R46" s="6">
        <v>-16.96853991645423</v>
      </c>
      <c r="S46" s="34" t="s">
        <v>5</v>
      </c>
    </row>
    <row r="47" spans="1:28">
      <c r="P47" s="41" t="s">
        <v>3</v>
      </c>
      <c r="Q47" s="6">
        <v>0.10724918009592325</v>
      </c>
      <c r="R47" s="6">
        <v>0.34500049990750414</v>
      </c>
      <c r="S47" s="34" t="s">
        <v>6</v>
      </c>
    </row>
    <row r="48" spans="1:28">
      <c r="P48" s="34" t="s">
        <v>4</v>
      </c>
      <c r="Q48" s="13">
        <v>0.99159656862274048</v>
      </c>
      <c r="R48" s="8">
        <v>5.2545287239450192E-2</v>
      </c>
      <c r="S48" s="34" t="s">
        <v>7</v>
      </c>
    </row>
    <row r="49" spans="15:19">
      <c r="P49" s="1"/>
      <c r="Q49" s="4">
        <v>1769.9851241234128</v>
      </c>
      <c r="R49" s="4">
        <v>15</v>
      </c>
      <c r="S49" s="1"/>
    </row>
    <row r="50" spans="15:19">
      <c r="P50" s="1"/>
      <c r="Q50" s="4">
        <v>4.8869416912025709</v>
      </c>
      <c r="R50" s="4">
        <v>4.1415108166144909E-2</v>
      </c>
      <c r="S50" s="1"/>
    </row>
    <row r="51" spans="15:19">
      <c r="P51" s="1"/>
      <c r="Q51" s="1"/>
      <c r="R51" s="1"/>
      <c r="S51" s="1"/>
    </row>
    <row r="52" spans="15:19">
      <c r="P52" s="35" t="s">
        <v>41</v>
      </c>
      <c r="Q52" s="2">
        <f>4</f>
        <v>4</v>
      </c>
      <c r="R52" s="1"/>
      <c r="S52" s="1"/>
    </row>
    <row r="53" spans="15:19">
      <c r="P53" s="35" t="s">
        <v>42</v>
      </c>
      <c r="Q53" s="6">
        <f>$Q$46</f>
        <v>4.5121007556596746</v>
      </c>
      <c r="R53" s="1"/>
      <c r="S53" s="1"/>
    </row>
    <row r="54" spans="15:19">
      <c r="P54" s="35" t="s">
        <v>43</v>
      </c>
      <c r="Q54" s="6">
        <f>$Q$47</f>
        <v>0.10724918009592325</v>
      </c>
      <c r="R54" s="1"/>
      <c r="S54" s="1"/>
    </row>
    <row r="55" spans="15:19">
      <c r="P55" s="35" t="s">
        <v>44</v>
      </c>
      <c r="Q55" s="10">
        <f>(Q54/Q53)*100</f>
        <v>2.3769234310957512</v>
      </c>
      <c r="R55" s="1"/>
      <c r="S55" s="1"/>
    </row>
    <row r="56" spans="15:19">
      <c r="P56" s="35" t="s">
        <v>45</v>
      </c>
      <c r="Q56" s="10">
        <f>((-Q52+Q53)/Q52)*100</f>
        <v>12.802518891491864</v>
      </c>
      <c r="R56" s="1"/>
      <c r="S56" s="1"/>
    </row>
    <row r="57" spans="15:19">
      <c r="O57" s="1"/>
      <c r="P57" s="1"/>
      <c r="Q57" s="1"/>
      <c r="R57" s="1"/>
    </row>
    <row r="58" spans="15:19">
      <c r="O58" s="1"/>
      <c r="P58" s="1"/>
      <c r="Q58" s="1"/>
      <c r="R58" s="1"/>
    </row>
    <row r="70" spans="4:5">
      <c r="D70" s="12"/>
      <c r="E70" s="12"/>
    </row>
    <row r="71" spans="4:5">
      <c r="D71" s="12"/>
      <c r="E7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Pascoal Nogueira</dc:creator>
  <cp:lastModifiedBy>Sérgio Sousa</cp:lastModifiedBy>
  <dcterms:created xsi:type="dcterms:W3CDTF">2020-09-22T13:03:07Z</dcterms:created>
  <dcterms:modified xsi:type="dcterms:W3CDTF">2023-02-22T17:28:00Z</dcterms:modified>
</cp:coreProperties>
</file>