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.xml" ContentType="application/vnd.openxmlformats-officedocument.drawingml.chartshapes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ml.chartshapes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7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8.xml" ContentType="application/vnd.openxmlformats-officedocument.drawing+xml"/>
  <Override PartName="/xl/charts/chart37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016\T2A\"/>
    </mc:Choice>
  </mc:AlternateContent>
  <xr:revisionPtr revIDLastSave="0" documentId="13_ncr:1_{7C23393A-D4CC-4FAD-A42C-E13CB5841683}" xr6:coauthVersionLast="47" xr6:coauthVersionMax="47" xr10:uidLastSave="{00000000-0000-0000-0000-000000000000}"/>
  <bookViews>
    <workbookView xWindow="-120" yWindow="-120" windowWidth="29040" windowHeight="15720" activeTab="2" xr2:uid="{F9CE1053-71AF-BD45-AF3D-643B6E20E660}"/>
  </bookViews>
  <sheets>
    <sheet name="Tubos" sheetId="4" r:id="rId1"/>
    <sheet name="1ª Parte (v)" sheetId="1" r:id="rId2"/>
    <sheet name="Δy" sheetId="3" r:id="rId3"/>
    <sheet name="2ª Parte (v)" sheetId="2" r:id="rId4"/>
    <sheet name="p(T)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8" i="3" l="1"/>
  <c r="W41" i="1" a="1"/>
  <c r="W41" i="1" s="1"/>
  <c r="W27" i="1" a="1"/>
  <c r="W27" i="1" s="1"/>
  <c r="W86" i="1" a="1"/>
  <c r="W86" i="1" s="1"/>
  <c r="W55" i="1" a="1"/>
  <c r="W55" i="1" s="1"/>
  <c r="W70" i="1" a="1"/>
  <c r="W70" i="1" s="1"/>
  <c r="W102" i="1" a="1"/>
  <c r="W102" i="1" s="1"/>
  <c r="W120" i="1" a="1"/>
  <c r="W120" i="1" s="1"/>
  <c r="W15" i="1" a="1"/>
  <c r="W15" i="1" s="1"/>
  <c r="C6" i="2"/>
  <c r="V25" i="2" a="1"/>
  <c r="V25" i="2" s="1"/>
  <c r="W5" i="1" a="1"/>
  <c r="W5" i="1" s="1"/>
  <c r="J39" i="3"/>
  <c r="J7" i="3"/>
  <c r="J6" i="3"/>
  <c r="J5" i="3"/>
  <c r="D3" i="2"/>
  <c r="C95" i="3"/>
  <c r="C96" i="3"/>
  <c r="J40" i="3" s="1"/>
  <c r="C97" i="3"/>
  <c r="J50" i="3" s="1"/>
  <c r="C98" i="3"/>
  <c r="J60" i="3" s="1"/>
  <c r="C99" i="3"/>
  <c r="J70" i="3" s="1"/>
  <c r="C100" i="3"/>
  <c r="J80" i="3" s="1"/>
  <c r="C101" i="3"/>
  <c r="C102" i="3"/>
  <c r="C103" i="3"/>
  <c r="C104" i="3"/>
  <c r="C105" i="3"/>
  <c r="C106" i="3"/>
  <c r="C107" i="3"/>
  <c r="C94" i="3"/>
  <c r="C77" i="3"/>
  <c r="J19" i="3" s="1"/>
  <c r="C78" i="3"/>
  <c r="J29" i="3" s="1"/>
  <c r="C79" i="3"/>
  <c r="C80" i="3"/>
  <c r="J49" i="3" s="1"/>
  <c r="C81" i="3"/>
  <c r="J59" i="3" s="1"/>
  <c r="C82" i="3"/>
  <c r="J69" i="3" s="1"/>
  <c r="C83" i="3"/>
  <c r="J79" i="3" s="1"/>
  <c r="C84" i="3"/>
  <c r="J89" i="3" s="1"/>
  <c r="C85" i="3"/>
  <c r="C86" i="3"/>
  <c r="C87" i="3"/>
  <c r="C88" i="3"/>
  <c r="C76" i="3"/>
  <c r="C59" i="3"/>
  <c r="J18" i="3" s="1"/>
  <c r="C60" i="3"/>
  <c r="J28" i="3" s="1"/>
  <c r="C61" i="3"/>
  <c r="J38" i="3" s="1"/>
  <c r="C62" i="3"/>
  <c r="J48" i="3" s="1"/>
  <c r="C63" i="3"/>
  <c r="J58" i="3" s="1"/>
  <c r="C64" i="3"/>
  <c r="J68" i="3" s="1"/>
  <c r="C65" i="3"/>
  <c r="J78" i="3" s="1"/>
  <c r="C66" i="3"/>
  <c r="J88" i="3" s="1"/>
  <c r="C67" i="3"/>
  <c r="C68" i="3"/>
  <c r="C58" i="3"/>
  <c r="C40" i="3"/>
  <c r="J17" i="3" s="1"/>
  <c r="C41" i="3"/>
  <c r="J27" i="3" s="1"/>
  <c r="C42" i="3"/>
  <c r="J37" i="3" s="1"/>
  <c r="C43" i="3"/>
  <c r="J47" i="3" s="1"/>
  <c r="C44" i="3"/>
  <c r="J57" i="3" s="1"/>
  <c r="C45" i="3"/>
  <c r="J67" i="3" s="1"/>
  <c r="C46" i="3"/>
  <c r="J77" i="3" s="1"/>
  <c r="C47" i="3"/>
  <c r="J87" i="3" s="1"/>
  <c r="C48" i="3"/>
  <c r="C49" i="3"/>
  <c r="C39" i="3"/>
  <c r="C22" i="3"/>
  <c r="J16" i="3" s="1"/>
  <c r="C23" i="3"/>
  <c r="J26" i="3" s="1"/>
  <c r="C24" i="3"/>
  <c r="J36" i="3" s="1"/>
  <c r="C25" i="3"/>
  <c r="J46" i="3" s="1"/>
  <c r="C26" i="3"/>
  <c r="C27" i="3"/>
  <c r="J66" i="3" s="1"/>
  <c r="C28" i="3"/>
  <c r="J76" i="3" s="1"/>
  <c r="C29" i="3"/>
  <c r="J86" i="3" s="1"/>
  <c r="C30" i="3"/>
  <c r="J56" i="3" s="1"/>
  <c r="C21" i="3"/>
  <c r="C6" i="3"/>
  <c r="J15" i="3" s="1"/>
  <c r="K15" i="3" s="1"/>
  <c r="C7" i="3"/>
  <c r="J25" i="3" s="1"/>
  <c r="C8" i="3"/>
  <c r="J35" i="3" s="1"/>
  <c r="C9" i="3"/>
  <c r="J45" i="3" s="1"/>
  <c r="C10" i="3"/>
  <c r="J55" i="3" s="1"/>
  <c r="C11" i="3"/>
  <c r="J65" i="3" s="1"/>
  <c r="C12" i="3"/>
  <c r="J75" i="3" s="1"/>
  <c r="C13" i="3"/>
  <c r="J85" i="3" s="1"/>
  <c r="C5" i="3"/>
  <c r="F24" i="2"/>
  <c r="W7" i="1" l="1"/>
  <c r="X6" i="1"/>
  <c r="W6" i="1"/>
  <c r="X5" i="1"/>
  <c r="X7" i="1"/>
  <c r="K43" i="2"/>
  <c r="L43" i="2" s="1"/>
  <c r="K49" i="2"/>
  <c r="L49" i="2" s="1"/>
  <c r="K46" i="2"/>
  <c r="L46" i="2" s="1"/>
  <c r="K47" i="2"/>
  <c r="L47" i="2" s="1"/>
  <c r="K48" i="2"/>
  <c r="L48" i="2" s="1"/>
  <c r="K44" i="2"/>
  <c r="L44" i="2" s="1"/>
  <c r="K45" i="2"/>
  <c r="L45" i="2" s="1"/>
  <c r="J4" i="4"/>
  <c r="E15" i="1" l="1"/>
  <c r="D29" i="1" s="1"/>
  <c r="M3" i="2"/>
  <c r="C7" i="2" s="1"/>
  <c r="J90" i="3"/>
  <c r="K90" i="3" s="1"/>
  <c r="K79" i="3"/>
  <c r="K70" i="3"/>
  <c r="K60" i="3"/>
  <c r="K50" i="3"/>
  <c r="K40" i="3"/>
  <c r="W31" i="2" l="1"/>
  <c r="S27" i="1" l="1" a="1"/>
  <c r="S27" i="1" s="1"/>
  <c r="S41" i="1" a="1"/>
  <c r="S41" i="1" s="1"/>
  <c r="X32" i="1" l="1"/>
  <c r="X20" i="1"/>
  <c r="X107" i="1"/>
  <c r="X10" i="1"/>
  <c r="X125" i="1"/>
  <c r="X91" i="1"/>
  <c r="X46" i="1"/>
  <c r="X60" i="1"/>
  <c r="E16" i="1"/>
  <c r="D30" i="1" s="1"/>
  <c r="E17" i="1"/>
  <c r="D31" i="1" s="1"/>
  <c r="C44" i="1" s="1"/>
  <c r="E18" i="1"/>
  <c r="D32" i="1" s="1"/>
  <c r="E19" i="1"/>
  <c r="D33" i="1" s="1"/>
  <c r="E20" i="1"/>
  <c r="D34" i="1" s="1"/>
  <c r="E21" i="1"/>
  <c r="D35" i="1" s="1"/>
  <c r="E22" i="1"/>
  <c r="D36" i="1" s="1"/>
  <c r="E23" i="1"/>
  <c r="D37" i="1" s="1"/>
  <c r="D15" i="1"/>
  <c r="C29" i="1" s="1"/>
  <c r="J30" i="3"/>
  <c r="K30" i="3" s="1"/>
  <c r="J20" i="3"/>
  <c r="K20" i="3" s="1"/>
  <c r="S120" i="1" a="1"/>
  <c r="S120" i="1" s="1"/>
  <c r="E29" i="1" l="1"/>
  <c r="K45" i="3"/>
  <c r="C8" i="2"/>
  <c r="C10" i="2"/>
  <c r="C54" i="1" s="1"/>
  <c r="I3" i="2"/>
  <c r="H3" i="2"/>
  <c r="J3" i="2" s="1"/>
  <c r="E3" i="2"/>
  <c r="K86" i="3"/>
  <c r="K85" i="3"/>
  <c r="K87" i="3"/>
  <c r="K88" i="3"/>
  <c r="K89" i="3"/>
  <c r="K80" i="3"/>
  <c r="K78" i="3"/>
  <c r="K77" i="3"/>
  <c r="K76" i="3"/>
  <c r="K75" i="3"/>
  <c r="K69" i="3"/>
  <c r="K68" i="3"/>
  <c r="K67" i="3"/>
  <c r="K66" i="3"/>
  <c r="K65" i="3"/>
  <c r="K59" i="3"/>
  <c r="K58" i="3"/>
  <c r="K56" i="3"/>
  <c r="K55" i="3"/>
  <c r="K57" i="3"/>
  <c r="K49" i="3"/>
  <c r="K48" i="3"/>
  <c r="K47" i="3"/>
  <c r="K46" i="3"/>
  <c r="K39" i="3"/>
  <c r="K38" i="3"/>
  <c r="K37" i="3"/>
  <c r="K36" i="3"/>
  <c r="K35" i="3"/>
  <c r="K29" i="3"/>
  <c r="K28" i="3"/>
  <c r="K27" i="3"/>
  <c r="K26" i="3"/>
  <c r="K25" i="3"/>
  <c r="K19" i="3"/>
  <c r="K18" i="3"/>
  <c r="K17" i="3"/>
  <c r="K16" i="3"/>
  <c r="J9" i="3"/>
  <c r="K9" i="3" s="1"/>
  <c r="J8" i="3"/>
  <c r="K8" i="3" s="1"/>
  <c r="K7" i="3"/>
  <c r="K5" i="3"/>
  <c r="K6" i="3"/>
  <c r="D16" i="1"/>
  <c r="C30" i="1" s="1"/>
  <c r="E30" i="1" s="1"/>
  <c r="D17" i="1"/>
  <c r="C31" i="1" s="1"/>
  <c r="D18" i="1"/>
  <c r="C32" i="1" s="1"/>
  <c r="D19" i="1"/>
  <c r="C33" i="1" s="1"/>
  <c r="D20" i="1"/>
  <c r="C34" i="1" s="1"/>
  <c r="E34" i="1" s="1"/>
  <c r="D21" i="1"/>
  <c r="C35" i="1" s="1"/>
  <c r="E35" i="1" s="1"/>
  <c r="D22" i="1"/>
  <c r="C36" i="1" s="1"/>
  <c r="E36" i="1" s="1"/>
  <c r="D23" i="1"/>
  <c r="C37" i="1" s="1"/>
  <c r="E37" i="1" s="1"/>
  <c r="D3" i="1"/>
  <c r="F3" i="1" s="1"/>
  <c r="J8" i="4"/>
  <c r="I46" i="3" s="1"/>
  <c r="I4" i="4"/>
  <c r="C3" i="1" s="1"/>
  <c r="E3" i="1" s="1"/>
  <c r="Q12" i="4"/>
  <c r="H11" i="1" s="1"/>
  <c r="J11" i="1" s="1"/>
  <c r="P12" i="4"/>
  <c r="G11" i="1" s="1"/>
  <c r="I11" i="1" s="1"/>
  <c r="J12" i="4"/>
  <c r="D11" i="1" s="1"/>
  <c r="F11" i="1" s="1"/>
  <c r="I12" i="4"/>
  <c r="C11" i="1" s="1"/>
  <c r="E11" i="1" s="1"/>
  <c r="Q11" i="4"/>
  <c r="H10" i="1" s="1"/>
  <c r="J10" i="1" s="1"/>
  <c r="P11" i="4"/>
  <c r="G10" i="1" s="1"/>
  <c r="I10" i="1" s="1"/>
  <c r="J11" i="4"/>
  <c r="I39" i="3" s="1"/>
  <c r="I11" i="4"/>
  <c r="C10" i="1" s="1"/>
  <c r="E10" i="1" s="1"/>
  <c r="Q10" i="4"/>
  <c r="H9" i="1" s="1"/>
  <c r="J9" i="1" s="1"/>
  <c r="P10" i="4"/>
  <c r="G9" i="1" s="1"/>
  <c r="I9" i="1" s="1"/>
  <c r="J10" i="4"/>
  <c r="I68" i="3" s="1"/>
  <c r="I10" i="4"/>
  <c r="C9" i="1" s="1"/>
  <c r="E9" i="1" s="1"/>
  <c r="G8" i="3" s="1"/>
  <c r="Q9" i="4"/>
  <c r="H8" i="1" s="1"/>
  <c r="J8" i="1" s="1"/>
  <c r="P9" i="4"/>
  <c r="G8" i="1" s="1"/>
  <c r="I8" i="1" s="1"/>
  <c r="J9" i="4"/>
  <c r="I17" i="3" s="1"/>
  <c r="I9" i="4"/>
  <c r="C8" i="1" s="1"/>
  <c r="E8" i="1" s="1"/>
  <c r="Q8" i="4"/>
  <c r="H7" i="1" s="1"/>
  <c r="J7" i="1" s="1"/>
  <c r="P8" i="4"/>
  <c r="G7" i="1" s="1"/>
  <c r="I7" i="1" s="1"/>
  <c r="I8" i="4"/>
  <c r="C7" i="1" s="1"/>
  <c r="E7" i="1" s="1"/>
  <c r="Q7" i="4"/>
  <c r="H6" i="1" s="1"/>
  <c r="J6" i="1" s="1"/>
  <c r="P7" i="4"/>
  <c r="G6" i="1" s="1"/>
  <c r="I6" i="1" s="1"/>
  <c r="J7" i="4"/>
  <c r="I7" i="4"/>
  <c r="C6" i="1" s="1"/>
  <c r="E6" i="1" s="1"/>
  <c r="Q6" i="4"/>
  <c r="H5" i="1" s="1"/>
  <c r="J5" i="1" s="1"/>
  <c r="P6" i="4"/>
  <c r="G5" i="1" s="1"/>
  <c r="I5" i="1" s="1"/>
  <c r="J6" i="4"/>
  <c r="D5" i="1" s="1"/>
  <c r="F5" i="1" s="1"/>
  <c r="I6" i="4"/>
  <c r="C5" i="1" s="1"/>
  <c r="E5" i="1" s="1"/>
  <c r="Q5" i="4"/>
  <c r="H4" i="1" s="1"/>
  <c r="J4" i="1" s="1"/>
  <c r="P5" i="4"/>
  <c r="G4" i="1" s="1"/>
  <c r="I4" i="1" s="1"/>
  <c r="J5" i="4"/>
  <c r="D4" i="1" s="1"/>
  <c r="F4" i="1" s="1"/>
  <c r="I5" i="4"/>
  <c r="C4" i="1" s="1"/>
  <c r="E4" i="1" s="1"/>
  <c r="Q4" i="4"/>
  <c r="H3" i="1" s="1"/>
  <c r="J3" i="1" s="1"/>
  <c r="P4" i="4"/>
  <c r="S102" i="1" a="1"/>
  <c r="S86" i="1" a="1"/>
  <c r="S55" i="1" a="1"/>
  <c r="I36" i="3" l="1"/>
  <c r="I85" i="3"/>
  <c r="I65" i="3"/>
  <c r="C13" i="2"/>
  <c r="E32" i="1"/>
  <c r="C39" i="1"/>
  <c r="C43" i="1" s="1"/>
  <c r="C45" i="1" s="1"/>
  <c r="C38" i="1"/>
  <c r="AB2" i="3"/>
  <c r="AB3" i="3" s="1"/>
  <c r="AD26" i="3" s="1"/>
  <c r="G3" i="1"/>
  <c r="I3" i="1" s="1"/>
  <c r="AC2" i="3" s="1"/>
  <c r="AC3" i="3" s="1"/>
  <c r="I89" i="3"/>
  <c r="I9" i="3"/>
  <c r="I88" i="3"/>
  <c r="I8" i="3"/>
  <c r="I58" i="3"/>
  <c r="I37" i="3"/>
  <c r="I7" i="3"/>
  <c r="I86" i="3"/>
  <c r="I6" i="3"/>
  <c r="I57" i="3"/>
  <c r="I87" i="3"/>
  <c r="I16" i="3"/>
  <c r="I67" i="3"/>
  <c r="I59" i="3"/>
  <c r="I29" i="3"/>
  <c r="I66" i="3"/>
  <c r="D10" i="1"/>
  <c r="F10" i="1" s="1"/>
  <c r="I38" i="3"/>
  <c r="I80" i="3"/>
  <c r="I28" i="3"/>
  <c r="I15" i="3"/>
  <c r="I49" i="3"/>
  <c r="I56" i="3"/>
  <c r="I78" i="3"/>
  <c r="D8" i="1"/>
  <c r="F8" i="1" s="1"/>
  <c r="I19" i="3"/>
  <c r="I26" i="3"/>
  <c r="I48" i="3"/>
  <c r="I77" i="3"/>
  <c r="I25" i="3"/>
  <c r="I75" i="3"/>
  <c r="I45" i="3"/>
  <c r="D9" i="1"/>
  <c r="F9" i="1" s="1"/>
  <c r="I27" i="3"/>
  <c r="D7" i="1"/>
  <c r="F7" i="1" s="1"/>
  <c r="I18" i="3"/>
  <c r="I35" i="3"/>
  <c r="I47" i="3"/>
  <c r="I69" i="3"/>
  <c r="I76" i="3"/>
  <c r="I55" i="3"/>
  <c r="I60" i="3"/>
  <c r="I79" i="3"/>
  <c r="I30" i="3"/>
  <c r="I50" i="3"/>
  <c r="I70" i="3"/>
  <c r="I90" i="3"/>
  <c r="I40" i="3"/>
  <c r="I20" i="3"/>
  <c r="D6" i="1"/>
  <c r="F6" i="1" s="1"/>
  <c r="I5" i="3"/>
  <c r="G20" i="3"/>
  <c r="H20" i="3" s="1"/>
  <c r="M37" i="1"/>
  <c r="M33" i="1"/>
  <c r="M30" i="1"/>
  <c r="G5" i="3"/>
  <c r="H5" i="3" s="1"/>
  <c r="M32" i="1"/>
  <c r="M34" i="1"/>
  <c r="M36" i="1"/>
  <c r="M35" i="1"/>
  <c r="M31" i="1"/>
  <c r="C11" i="2"/>
  <c r="C55" i="1" s="1"/>
  <c r="S70" i="1" a="1"/>
  <c r="S70" i="1" s="1"/>
  <c r="X75" i="1"/>
  <c r="E31" i="1"/>
  <c r="E33" i="1"/>
  <c r="G9" i="3"/>
  <c r="G7" i="3"/>
  <c r="G6" i="3"/>
  <c r="T114" i="1"/>
  <c r="T109" i="1"/>
  <c r="T113" i="1"/>
  <c r="T112" i="1"/>
  <c r="T110" i="1"/>
  <c r="T111" i="1"/>
  <c r="S86" i="1"/>
  <c r="T91" i="1"/>
  <c r="T96" i="1"/>
  <c r="S55" i="1"/>
  <c r="T55" i="1" s="1"/>
  <c r="T61" i="1"/>
  <c r="T64" i="1"/>
  <c r="T60" i="1"/>
  <c r="T63" i="1"/>
  <c r="T62" i="1"/>
  <c r="T120" i="1"/>
  <c r="T132" i="1"/>
  <c r="T133" i="1"/>
  <c r="S102" i="1"/>
  <c r="T102" i="1" s="1"/>
  <c r="T103" i="1"/>
  <c r="T107" i="1"/>
  <c r="T104" i="1"/>
  <c r="T108" i="1"/>
  <c r="T106" i="1"/>
  <c r="T105" i="1"/>
  <c r="T128" i="1"/>
  <c r="T124" i="1"/>
  <c r="T130" i="1"/>
  <c r="T126" i="1"/>
  <c r="T122" i="1"/>
  <c r="T129" i="1"/>
  <c r="T125" i="1"/>
  <c r="T121" i="1"/>
  <c r="T131" i="1"/>
  <c r="T127" i="1"/>
  <c r="T123" i="1"/>
  <c r="M29" i="1" l="1"/>
  <c r="C47" i="1"/>
  <c r="C51" i="1" s="1"/>
  <c r="AL4" i="3"/>
  <c r="AJ4" i="3"/>
  <c r="AH4" i="3"/>
  <c r="AM4" i="3"/>
  <c r="AF4" i="3"/>
  <c r="AN4" i="3"/>
  <c r="AI4" i="3"/>
  <c r="AK4" i="3"/>
  <c r="AG4" i="3"/>
  <c r="P36" i="1"/>
  <c r="P37" i="1"/>
  <c r="P31" i="1"/>
  <c r="P35" i="1"/>
  <c r="P33" i="1"/>
  <c r="P34" i="1"/>
  <c r="P30" i="1"/>
  <c r="P32" i="1"/>
  <c r="L29" i="1"/>
  <c r="O37" i="1"/>
  <c r="O31" i="1"/>
  <c r="O32" i="1"/>
  <c r="O34" i="1"/>
  <c r="O30" i="1"/>
  <c r="O33" i="1"/>
  <c r="O35" i="1"/>
  <c r="O36" i="1"/>
  <c r="C12" i="2"/>
  <c r="AD3" i="3"/>
  <c r="AD28" i="3" s="1"/>
  <c r="AD27" i="3"/>
  <c r="G30" i="3"/>
  <c r="G15" i="3"/>
  <c r="H15" i="3" s="1"/>
  <c r="K39" i="1"/>
  <c r="AD2" i="3"/>
  <c r="L32" i="1"/>
  <c r="L37" i="1"/>
  <c r="L33" i="1"/>
  <c r="L36" i="1"/>
  <c r="L35" i="1"/>
  <c r="L34" i="1"/>
  <c r="L31" i="1"/>
  <c r="L30" i="1"/>
  <c r="G17" i="3"/>
  <c r="H7" i="3"/>
  <c r="G16" i="3"/>
  <c r="H6" i="3"/>
  <c r="G18" i="3"/>
  <c r="H8" i="3"/>
  <c r="G19" i="3"/>
  <c r="H9" i="3"/>
  <c r="H30" i="3" l="1"/>
  <c r="G40" i="3"/>
  <c r="G50" i="3" s="1"/>
  <c r="N43" i="1"/>
  <c r="N47" i="1"/>
  <c r="N41" i="1"/>
  <c r="N45" i="1"/>
  <c r="N44" i="1"/>
  <c r="N42" i="1"/>
  <c r="N46" i="1"/>
  <c r="G25" i="3"/>
  <c r="N30" i="1"/>
  <c r="N34" i="1"/>
  <c r="N29" i="1"/>
  <c r="N31" i="1"/>
  <c r="N35" i="1"/>
  <c r="N33" i="1"/>
  <c r="N37" i="1"/>
  <c r="N32" i="1"/>
  <c r="N36" i="1"/>
  <c r="Q5" i="3" a="1"/>
  <c r="G26" i="3"/>
  <c r="G36" i="3" s="1"/>
  <c r="G46" i="3" s="1"/>
  <c r="G56" i="3" s="1"/>
  <c r="G66" i="3" s="1"/>
  <c r="G76" i="3" s="1"/>
  <c r="G86" i="3" s="1"/>
  <c r="H16" i="3"/>
  <c r="G28" i="3"/>
  <c r="G38" i="3" s="1"/>
  <c r="G48" i="3" s="1"/>
  <c r="G58" i="3" s="1"/>
  <c r="H18" i="3"/>
  <c r="G29" i="3"/>
  <c r="G39" i="3" s="1"/>
  <c r="G49" i="3" s="1"/>
  <c r="G59" i="3" s="1"/>
  <c r="G69" i="3" s="1"/>
  <c r="G79" i="3" s="1"/>
  <c r="G89" i="3" s="1"/>
  <c r="H19" i="3"/>
  <c r="G27" i="3"/>
  <c r="G37" i="3" s="1"/>
  <c r="G47" i="3" s="1"/>
  <c r="H17" i="3"/>
  <c r="H40" i="3" l="1"/>
  <c r="H25" i="3"/>
  <c r="G35" i="3"/>
  <c r="G45" i="3" s="1"/>
  <c r="G55" i="3" s="1"/>
  <c r="G65" i="3" s="1"/>
  <c r="G75" i="3" s="1"/>
  <c r="G85" i="3" s="1"/>
  <c r="G60" i="3"/>
  <c r="Q15" i="3" a="1"/>
  <c r="Q15" i="3" s="1"/>
  <c r="Q5" i="3"/>
  <c r="M9" i="3" s="1"/>
  <c r="N9" i="3" s="1"/>
  <c r="AF6" i="3"/>
  <c r="R10" i="3"/>
  <c r="AF5" i="3"/>
  <c r="AF8" i="3" s="1"/>
  <c r="H50" i="3"/>
  <c r="H29" i="3"/>
  <c r="H28" i="3"/>
  <c r="H27" i="3"/>
  <c r="H26" i="3"/>
  <c r="H35" i="3" l="1"/>
  <c r="R20" i="3"/>
  <c r="Q25" i="3" a="1"/>
  <c r="Q25" i="3" s="1"/>
  <c r="M6" i="3"/>
  <c r="N6" i="3" s="1"/>
  <c r="AF7" i="3"/>
  <c r="M20" i="3"/>
  <c r="N20" i="3" s="1"/>
  <c r="AG6" i="3"/>
  <c r="H60" i="3"/>
  <c r="G70" i="3"/>
  <c r="G80" i="3" s="1"/>
  <c r="G90" i="3" s="1"/>
  <c r="M7" i="3"/>
  <c r="N7" i="3" s="1"/>
  <c r="AG5" i="3"/>
  <c r="AG8" i="3" s="1"/>
  <c r="M5" i="3"/>
  <c r="N5" i="3" s="1"/>
  <c r="M8" i="3"/>
  <c r="N8" i="3" s="1"/>
  <c r="M15" i="3"/>
  <c r="N15" i="3" s="1"/>
  <c r="H45" i="3"/>
  <c r="H39" i="3"/>
  <c r="H38" i="3"/>
  <c r="H36" i="3"/>
  <c r="H37" i="3"/>
  <c r="M16" i="3"/>
  <c r="N16" i="3" s="1"/>
  <c r="Q35" i="3" l="1" a="1"/>
  <c r="Q35" i="3" s="1"/>
  <c r="M29" i="3"/>
  <c r="N29" i="3" s="1"/>
  <c r="R30" i="3"/>
  <c r="AH6" i="3"/>
  <c r="AG7" i="3"/>
  <c r="M28" i="3"/>
  <c r="N28" i="3" s="1"/>
  <c r="AH5" i="3"/>
  <c r="H70" i="3"/>
  <c r="M19" i="3"/>
  <c r="N19" i="3" s="1"/>
  <c r="M18" i="3"/>
  <c r="N18" i="3" s="1"/>
  <c r="M17" i="3"/>
  <c r="N17" i="3" s="1"/>
  <c r="H46" i="3"/>
  <c r="H49" i="3"/>
  <c r="G57" i="3"/>
  <c r="G67" i="3" s="1"/>
  <c r="H47" i="3"/>
  <c r="H48" i="3"/>
  <c r="H55" i="3"/>
  <c r="T27" i="1"/>
  <c r="S15" i="1" a="1"/>
  <c r="S15" i="1" s="1"/>
  <c r="R40" i="3" l="1"/>
  <c r="AH7" i="3"/>
  <c r="AH8" i="3"/>
  <c r="M40" i="3"/>
  <c r="N40" i="3" s="1"/>
  <c r="AI6" i="3"/>
  <c r="M30" i="3"/>
  <c r="N30" i="3" s="1"/>
  <c r="Q45" i="3" a="1"/>
  <c r="R50" i="3" s="1"/>
  <c r="AI5" i="3"/>
  <c r="AI8" i="3" s="1"/>
  <c r="H90" i="3"/>
  <c r="H79" i="3"/>
  <c r="M27" i="3"/>
  <c r="N27" i="3" s="1"/>
  <c r="M25" i="3"/>
  <c r="N25" i="3" s="1"/>
  <c r="M26" i="3"/>
  <c r="N26" i="3" s="1"/>
  <c r="M35" i="3"/>
  <c r="N35" i="3" s="1"/>
  <c r="G68" i="3"/>
  <c r="G78" i="3" s="1"/>
  <c r="G88" i="3" s="1"/>
  <c r="H58" i="3"/>
  <c r="H59" i="3"/>
  <c r="H65" i="3"/>
  <c r="H57" i="3"/>
  <c r="H56" i="3"/>
  <c r="Q55" i="3" l="1" a="1"/>
  <c r="AI7" i="3"/>
  <c r="Q45" i="3"/>
  <c r="M50" i="3" s="1"/>
  <c r="N50" i="3" s="1"/>
  <c r="AJ6" i="3"/>
  <c r="AJ5" i="3"/>
  <c r="M37" i="3"/>
  <c r="N37" i="3" s="1"/>
  <c r="M36" i="3"/>
  <c r="N36" i="3" s="1"/>
  <c r="M38" i="3"/>
  <c r="N38" i="3" s="1"/>
  <c r="M39" i="3"/>
  <c r="N39" i="3" s="1"/>
  <c r="H68" i="3"/>
  <c r="G77" i="3"/>
  <c r="G87" i="3" s="1"/>
  <c r="H67" i="3"/>
  <c r="H66" i="3"/>
  <c r="H75" i="3"/>
  <c r="H69" i="3"/>
  <c r="AJ8" i="3" l="1"/>
  <c r="AJ7" i="3"/>
  <c r="Q55" i="3"/>
  <c r="M58" i="3" s="1"/>
  <c r="N58" i="3" s="1"/>
  <c r="R60" i="3"/>
  <c r="M45" i="3"/>
  <c r="N45" i="3" s="1"/>
  <c r="AK5" i="3"/>
  <c r="AK8" i="3" s="1"/>
  <c r="AK6" i="3"/>
  <c r="Q65" i="3" a="1"/>
  <c r="R70" i="3" s="1"/>
  <c r="M48" i="3"/>
  <c r="N48" i="3" s="1"/>
  <c r="M49" i="3"/>
  <c r="N49" i="3" s="1"/>
  <c r="M47" i="3"/>
  <c r="N47" i="3" s="1"/>
  <c r="M46" i="3"/>
  <c r="N46" i="3" s="1"/>
  <c r="H80" i="3"/>
  <c r="H77" i="3"/>
  <c r="H85" i="3"/>
  <c r="H76" i="3"/>
  <c r="H78" i="3"/>
  <c r="M59" i="3" l="1"/>
  <c r="N59" i="3" s="1"/>
  <c r="M57" i="3"/>
  <c r="N57" i="3" s="1"/>
  <c r="M55" i="3"/>
  <c r="N55" i="3" s="1"/>
  <c r="M60" i="3"/>
  <c r="N60" i="3" s="1"/>
  <c r="M56" i="3"/>
  <c r="N56" i="3" s="1"/>
  <c r="AK7" i="3"/>
  <c r="Q75" i="3" a="1"/>
  <c r="R80" i="3" s="1"/>
  <c r="Q65" i="3"/>
  <c r="M70" i="3" s="1"/>
  <c r="N70" i="3" s="1"/>
  <c r="AL6" i="3"/>
  <c r="AL5" i="3"/>
  <c r="H88" i="3"/>
  <c r="H86" i="3"/>
  <c r="H87" i="3"/>
  <c r="H89" i="3"/>
  <c r="T86" i="1"/>
  <c r="T70" i="1"/>
  <c r="T19" i="1"/>
  <c r="S5" i="1" a="1"/>
  <c r="S5" i="1" s="1"/>
  <c r="AL7" i="3" l="1"/>
  <c r="AL8" i="3"/>
  <c r="M69" i="3"/>
  <c r="N69" i="3" s="1"/>
  <c r="Q75" i="3"/>
  <c r="M79" i="3" s="1"/>
  <c r="N79" i="3" s="1"/>
  <c r="AM6" i="3"/>
  <c r="Q85" i="3" a="1"/>
  <c r="R90" i="3" s="1"/>
  <c r="AM5" i="3"/>
  <c r="AM8" i="3" s="1"/>
  <c r="M67" i="3"/>
  <c r="N67" i="3" s="1"/>
  <c r="M65" i="3"/>
  <c r="N65" i="3" s="1"/>
  <c r="M66" i="3"/>
  <c r="N66" i="3" s="1"/>
  <c r="M68" i="3"/>
  <c r="N68" i="3" s="1"/>
  <c r="T41" i="1"/>
  <c r="T59" i="1"/>
  <c r="T77" i="1"/>
  <c r="T58" i="1"/>
  <c r="T74" i="1"/>
  <c r="T56" i="1"/>
  <c r="T73" i="1"/>
  <c r="T93" i="1"/>
  <c r="T78" i="1"/>
  <c r="T89" i="1"/>
  <c r="T95" i="1"/>
  <c r="T92" i="1"/>
  <c r="T88" i="1"/>
  <c r="T80" i="1"/>
  <c r="T76" i="1"/>
  <c r="T72" i="1"/>
  <c r="T87" i="1"/>
  <c r="T57" i="1"/>
  <c r="T79" i="1"/>
  <c r="T75" i="1"/>
  <c r="T71" i="1"/>
  <c r="T94" i="1"/>
  <c r="T90" i="1"/>
  <c r="T18" i="1"/>
  <c r="T30" i="1"/>
  <c r="T35" i="1"/>
  <c r="T32" i="1"/>
  <c r="T28" i="1"/>
  <c r="T21" i="1"/>
  <c r="T17" i="1"/>
  <c r="T15" i="1"/>
  <c r="T20" i="1"/>
  <c r="T16" i="1"/>
  <c r="T31" i="1"/>
  <c r="T34" i="1"/>
  <c r="T29" i="1"/>
  <c r="T33" i="1"/>
  <c r="T5" i="1"/>
  <c r="T7" i="1"/>
  <c r="T8" i="1"/>
  <c r="T6" i="1"/>
  <c r="T9" i="1"/>
  <c r="M77" i="3" l="1"/>
  <c r="N77" i="3" s="1"/>
  <c r="AM7" i="3"/>
  <c r="Q85" i="3"/>
  <c r="M90" i="3" s="1"/>
  <c r="N90" i="3" s="1"/>
  <c r="AN6" i="3"/>
  <c r="AN5" i="3"/>
  <c r="AH31" i="3" s="1"/>
  <c r="M78" i="3"/>
  <c r="N78" i="3" s="1"/>
  <c r="M87" i="3"/>
  <c r="N87" i="3" s="1"/>
  <c r="M76" i="3"/>
  <c r="N76" i="3" s="1"/>
  <c r="M80" i="3"/>
  <c r="N80" i="3" s="1"/>
  <c r="M75" i="3"/>
  <c r="N75" i="3" s="1"/>
  <c r="T49" i="1"/>
  <c r="T45" i="1"/>
  <c r="T47" i="1"/>
  <c r="T46" i="1"/>
  <c r="T42" i="1"/>
  <c r="T48" i="1"/>
  <c r="T43" i="1"/>
  <c r="T44" i="1"/>
  <c r="AH29" i="3" l="1"/>
  <c r="AH30" i="3" s="1"/>
  <c r="AN7" i="3"/>
  <c r="AD30" i="3"/>
  <c r="AD33" i="3"/>
  <c r="F37" i="1"/>
  <c r="I37" i="1" s="1"/>
  <c r="F30" i="1"/>
  <c r="I30" i="1" s="1"/>
  <c r="F29" i="1"/>
  <c r="I29" i="1" s="1"/>
  <c r="F35" i="1"/>
  <c r="I35" i="1" s="1"/>
  <c r="F31" i="1"/>
  <c r="F33" i="1"/>
  <c r="I33" i="1" s="1"/>
  <c r="F32" i="1"/>
  <c r="F34" i="1"/>
  <c r="I34" i="1" s="1"/>
  <c r="F36" i="1"/>
  <c r="I36" i="1" s="1"/>
  <c r="AN8" i="3"/>
  <c r="M85" i="3"/>
  <c r="N85" i="3" s="1"/>
  <c r="M88" i="3"/>
  <c r="N88" i="3" s="1"/>
  <c r="M89" i="3"/>
  <c r="N89" i="3" s="1"/>
  <c r="M86" i="3"/>
  <c r="N86" i="3" s="1"/>
  <c r="K8" i="2"/>
  <c r="L8" i="2" s="1"/>
  <c r="K11" i="2"/>
  <c r="L11" i="2" s="1"/>
  <c r="K14" i="2"/>
  <c r="L14" i="2" s="1"/>
  <c r="K18" i="2"/>
  <c r="L18" i="2" s="1"/>
  <c r="K22" i="2"/>
  <c r="L22" i="2" s="1"/>
  <c r="K26" i="2"/>
  <c r="L26" i="2" s="1"/>
  <c r="K30" i="2"/>
  <c r="L30" i="2" s="1"/>
  <c r="K34" i="2"/>
  <c r="L34" i="2" s="1"/>
  <c r="K38" i="2"/>
  <c r="L38" i="2" s="1"/>
  <c r="K13" i="2"/>
  <c r="L13" i="2" s="1"/>
  <c r="K24" i="2"/>
  <c r="L24" i="2" s="1"/>
  <c r="K32" i="2"/>
  <c r="L32" i="2" s="1"/>
  <c r="K40" i="2"/>
  <c r="L40" i="2" s="1"/>
  <c r="K10" i="2"/>
  <c r="L10" i="2" s="1"/>
  <c r="K17" i="2"/>
  <c r="L17" i="2" s="1"/>
  <c r="K25" i="2"/>
  <c r="L25" i="2" s="1"/>
  <c r="K33" i="2"/>
  <c r="L33" i="2" s="1"/>
  <c r="K41" i="2"/>
  <c r="L41" i="2" s="1"/>
  <c r="K12" i="2"/>
  <c r="L12" i="2" s="1"/>
  <c r="K15" i="2"/>
  <c r="L15" i="2" s="1"/>
  <c r="K19" i="2"/>
  <c r="L19" i="2" s="1"/>
  <c r="K23" i="2"/>
  <c r="L23" i="2" s="1"/>
  <c r="K27" i="2"/>
  <c r="L27" i="2" s="1"/>
  <c r="K31" i="2"/>
  <c r="L31" i="2" s="1"/>
  <c r="K35" i="2"/>
  <c r="L35" i="2" s="1"/>
  <c r="K39" i="2"/>
  <c r="L39" i="2" s="1"/>
  <c r="K9" i="2"/>
  <c r="L9" i="2" s="1"/>
  <c r="K16" i="2"/>
  <c r="L16" i="2" s="1"/>
  <c r="K20" i="2"/>
  <c r="L20" i="2" s="1"/>
  <c r="K28" i="2"/>
  <c r="L28" i="2" s="1"/>
  <c r="K36" i="2"/>
  <c r="L36" i="2" s="1"/>
  <c r="K42" i="2"/>
  <c r="L42" i="2" s="1"/>
  <c r="K21" i="2"/>
  <c r="L21" i="2" s="1"/>
  <c r="K29" i="2"/>
  <c r="L29" i="2" s="1"/>
  <c r="K37" i="2"/>
  <c r="L37" i="2" s="1"/>
  <c r="C48" i="1" l="1"/>
  <c r="C49" i="1" s="1"/>
  <c r="AG2" i="3"/>
  <c r="AJ2" i="3"/>
  <c r="G37" i="1"/>
  <c r="H37" i="1" s="1"/>
  <c r="AM2" i="3"/>
  <c r="G30" i="1"/>
  <c r="H30" i="1" s="1"/>
  <c r="AL2" i="3"/>
  <c r="AN2" i="3"/>
  <c r="G36" i="1"/>
  <c r="H36" i="1" s="1"/>
  <c r="G33" i="1"/>
  <c r="H33" i="1" s="1"/>
  <c r="AK2" i="3"/>
  <c r="G35" i="1"/>
  <c r="H35" i="1" s="1"/>
  <c r="AI2" i="3"/>
  <c r="AH2" i="3"/>
  <c r="G34" i="1"/>
  <c r="H34" i="1" s="1"/>
  <c r="G29" i="1"/>
  <c r="H29" i="1" s="1"/>
  <c r="G32" i="1"/>
  <c r="H32" i="1" s="1"/>
  <c r="G31" i="1"/>
  <c r="H31" i="1" s="1"/>
  <c r="AF2" i="3"/>
  <c r="AD31" i="3"/>
  <c r="J30" i="1"/>
  <c r="K29" i="1"/>
  <c r="J29" i="1"/>
  <c r="K34" i="1"/>
  <c r="J32" i="1"/>
  <c r="J37" i="1"/>
  <c r="J35" i="1"/>
  <c r="K36" i="1"/>
  <c r="J36" i="1"/>
  <c r="J34" i="1"/>
  <c r="K30" i="1"/>
  <c r="K32" i="1"/>
  <c r="J31" i="1"/>
  <c r="K37" i="1"/>
  <c r="K31" i="1"/>
  <c r="K33" i="1"/>
  <c r="K35" i="1"/>
  <c r="J33" i="1"/>
  <c r="I32" i="1"/>
  <c r="I31" i="1"/>
  <c r="AL1" i="3"/>
  <c r="AG1" i="3"/>
  <c r="AI1" i="3"/>
  <c r="AH1" i="3"/>
  <c r="AF1" i="3"/>
  <c r="AM1" i="3"/>
  <c r="AJ1" i="3"/>
  <c r="AK1" i="3"/>
  <c r="AN1" i="3"/>
  <c r="AD3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<sst xmlns="http://schemas.openxmlformats.org/spreadsheetml/2006/main" count="316" uniqueCount="103">
  <si>
    <t>Tubo</t>
  </si>
  <si>
    <t>l1 (mm)</t>
  </si>
  <si>
    <t>l2 (mm)</t>
  </si>
  <si>
    <t>l3 (mm)</t>
  </si>
  <si>
    <t>l4 (mm)</t>
  </si>
  <si>
    <t>l5 (mm)</t>
  </si>
  <si>
    <t>l (mm)</t>
  </si>
  <si>
    <t>u(l) (mm)</t>
  </si>
  <si>
    <t>D1 (mm)</t>
  </si>
  <si>
    <t>D2 (mm)</t>
  </si>
  <si>
    <t>D3 (mm)</t>
  </si>
  <si>
    <t>D4 (mm)</t>
  </si>
  <si>
    <t>D5 (mm)</t>
  </si>
  <si>
    <t>D (mm)</t>
  </si>
  <si>
    <t>u(D) (mm)</t>
  </si>
  <si>
    <r>
      <t>l</t>
    </r>
    <r>
      <rPr>
        <vertAlign val="subscript"/>
        <sz val="12"/>
        <color theme="1"/>
        <rFont val="Calibri (corpo)"/>
      </rPr>
      <t>craveira</t>
    </r>
    <r>
      <rPr>
        <sz val="12"/>
        <color theme="1"/>
        <rFont val="Calibri"/>
        <family val="2"/>
        <scheme val="minor"/>
      </rPr>
      <t xml:space="preserve"> (±0,05) mm</t>
    </r>
  </si>
  <si>
    <r>
      <t>l</t>
    </r>
    <r>
      <rPr>
        <vertAlign val="subscript"/>
        <sz val="12"/>
        <color theme="1"/>
        <rFont val="Calibri (corpo)"/>
      </rPr>
      <t xml:space="preserve">régua </t>
    </r>
    <r>
      <rPr>
        <sz val="12"/>
        <color theme="1"/>
        <rFont val="Calibri (corpo)"/>
      </rPr>
      <t>(±1)mm</t>
    </r>
  </si>
  <si>
    <t>l (m)</t>
  </si>
  <si>
    <t>u(l) (m)</t>
  </si>
  <si>
    <t xml:space="preserve">D (m) </t>
  </si>
  <si>
    <t>u(D) (m)</t>
  </si>
  <si>
    <t>n</t>
  </si>
  <si>
    <t>f(Hz)</t>
  </si>
  <si>
    <t>ajus.(Hz)</t>
  </si>
  <si>
    <t>res. (Hz)</t>
  </si>
  <si>
    <t>m</t>
  </si>
  <si>
    <t>b</t>
  </si>
  <si>
    <t>s(m)</t>
  </si>
  <si>
    <t>s(b)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</si>
  <si>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</si>
  <si>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s(y)</t>
  </si>
  <si>
    <t>u(y)</t>
  </si>
  <si>
    <t>nº tubo</t>
  </si>
  <si>
    <t>T(ºC)</t>
  </si>
  <si>
    <t>p(mmg)</t>
  </si>
  <si>
    <t>u(p)</t>
  </si>
  <si>
    <t>v ref</t>
  </si>
  <si>
    <t>u(v ref)</t>
  </si>
  <si>
    <t>u(v ref)%</t>
  </si>
  <si>
    <t>v y</t>
  </si>
  <si>
    <t>u(v)</t>
  </si>
  <si>
    <t>u(v)%</t>
  </si>
  <si>
    <t>Er(%)</t>
  </si>
  <si>
    <t>v média</t>
  </si>
  <si>
    <t>u(v média)</t>
  </si>
  <si>
    <t>v ref média</t>
  </si>
  <si>
    <t>v exp</t>
  </si>
  <si>
    <t xml:space="preserve">variação </t>
  </si>
  <si>
    <t>média</t>
  </si>
  <si>
    <r>
      <t>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</si>
  <si>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</si>
  <si>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)(%)</t>
    </r>
  </si>
  <si>
    <r>
      <t>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</si>
  <si>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</si>
  <si>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)(%)</t>
    </r>
  </si>
  <si>
    <t>v(acrilico)</t>
  </si>
  <si>
    <t>D médio</t>
  </si>
  <si>
    <t>n=1</t>
  </si>
  <si>
    <t>∆y Ref</t>
  </si>
  <si>
    <t>l(cm)</t>
  </si>
  <si>
    <t>1/f (s)</t>
  </si>
  <si>
    <r>
      <t>1/f (x10</t>
    </r>
    <r>
      <rPr>
        <b/>
        <vertAlign val="superscript"/>
        <sz val="11"/>
        <color theme="1"/>
        <rFont val="Calibri (corpo)"/>
      </rPr>
      <t>-4</t>
    </r>
    <r>
      <rPr>
        <b/>
        <sz val="11"/>
        <color theme="1"/>
        <rFont val="Calibri"/>
        <family val="2"/>
        <scheme val="minor"/>
      </rPr>
      <t xml:space="preserve"> Hz</t>
    </r>
    <r>
      <rPr>
        <b/>
        <vertAlign val="superscript"/>
        <sz val="11"/>
        <color theme="1"/>
        <rFont val="Calibri (corpo)"/>
      </rPr>
      <t>-1</t>
    </r>
    <r>
      <rPr>
        <b/>
        <sz val="11"/>
        <color theme="1"/>
        <rFont val="Calibri"/>
        <family val="2"/>
        <scheme val="minor"/>
      </rPr>
      <t>)</t>
    </r>
  </si>
  <si>
    <t>u(1/f) (s)</t>
  </si>
  <si>
    <t>l aj. (cm)</t>
  </si>
  <si>
    <t>Resíduos (cm)</t>
  </si>
  <si>
    <t>∆y exp</t>
  </si>
  <si>
    <t>u(∆y)</t>
  </si>
  <si>
    <t>u(∆y) (%)</t>
  </si>
  <si>
    <t>n=2</t>
  </si>
  <si>
    <t>l aj. (m)</t>
  </si>
  <si>
    <t>Resíduos (m)</t>
  </si>
  <si>
    <t>n=3</t>
  </si>
  <si>
    <r>
      <t>∆y</t>
    </r>
    <r>
      <rPr>
        <vertAlign val="subscript"/>
        <sz val="12"/>
        <color theme="1"/>
        <rFont val="Calibri (corpo)"/>
      </rPr>
      <t xml:space="preserve">ref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</si>
  <si>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</si>
  <si>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(%)</t>
    </r>
  </si>
  <si>
    <r>
      <t>∆y</t>
    </r>
    <r>
      <rPr>
        <vertAlign val="subscript"/>
        <sz val="12"/>
        <color theme="1"/>
        <rFont val="Calibri (corpo)"/>
      </rPr>
      <t xml:space="preserve">exp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</si>
  <si>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</si>
  <si>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 (corpo)"/>
      </rPr>
      <t>) (%)</t>
    </r>
  </si>
  <si>
    <t>n=4</t>
  </si>
  <si>
    <t>n=5</t>
  </si>
  <si>
    <t>n=6</t>
  </si>
  <si>
    <t>n=7</t>
  </si>
  <si>
    <t>n=8</t>
  </si>
  <si>
    <t>n=9</t>
  </si>
  <si>
    <t>l (cm)</t>
  </si>
  <si>
    <t>u(l) (cm)</t>
  </si>
  <si>
    <t>u(D) (cm)</t>
  </si>
  <si>
    <t>Δy (m)</t>
  </si>
  <si>
    <r>
      <t>T (</t>
    </r>
    <r>
      <rPr>
        <b/>
        <sz val="11"/>
        <color theme="1"/>
        <rFont val="Calibri"/>
        <family val="2"/>
      </rPr>
      <t>°C)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</si>
  <si>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H2O</t>
    </r>
    <r>
      <rPr>
        <b/>
        <sz val="11"/>
        <color theme="1"/>
        <rFont val="Calibri"/>
        <family val="2"/>
        <scheme val="minor"/>
      </rPr>
      <t xml:space="preserve"> (mmHg)</t>
    </r>
  </si>
  <si>
    <t>u(pH2O)(mmHg)</t>
  </si>
  <si>
    <t>aj lin (Hz)</t>
  </si>
  <si>
    <t>Res. (Hz)</t>
  </si>
  <si>
    <r>
      <t>v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</si>
  <si>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</si>
  <si>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t>u(v)(%)</t>
  </si>
  <si>
    <r>
      <t>u(p</t>
    </r>
    <r>
      <rPr>
        <b/>
        <vertAlign val="subscript"/>
        <sz val="11"/>
        <color theme="1"/>
        <rFont val="Calibri (corpo)"/>
      </rPr>
      <t>H2O</t>
    </r>
    <r>
      <rPr>
        <b/>
        <sz val="11"/>
        <color theme="1"/>
        <rFont val="Calibri"/>
        <family val="2"/>
        <scheme val="minor"/>
      </rPr>
      <t>)(mmHg)</t>
    </r>
  </si>
  <si>
    <t>u(m)</t>
  </si>
  <si>
    <t>u(b)</t>
  </si>
  <si>
    <r>
      <t>r</t>
    </r>
    <r>
      <rPr>
        <vertAlign val="superscript"/>
        <sz val="11"/>
        <color rgb="FF000000"/>
        <rFont val="Calibri"/>
        <family val="2"/>
      </rPr>
      <t>2</t>
    </r>
  </si>
  <si>
    <t>V</t>
  </si>
  <si>
    <t>R41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</si>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</sst>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000"/>
    <numFmt numFmtId="166" formatCode="0.0E+00"/>
    <numFmt numFmtId="167" formatCode="0E+00"/>
    <numFmt numFmtId="168" formatCode="0.00000"/>
    <numFmt numFmtId="169" formatCode="0.0000"/>
    <numFmt numFmtId="170" formatCode="0.000"/>
    <numFmt numFmtId="171" formatCode="0.000E+00"/>
    <numFmt numFmtId="172" formatCode="0.0000E+00"/>
  </numFmts>
  <fonts count="15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40"/>
      <color theme="1"/>
      <name val="Calibri (corpo)"/>
    </font>
    <font>
      <vertAlign val="subscript"/>
      <sz val="12"/>
      <color theme="1"/>
      <name val="Calibri (corpo)"/>
    </font>
    <font>
      <sz val="12"/>
      <color theme="1"/>
      <name val="Calibri (corpo)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 (corpo)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2"/>
      <color theme="1"/>
      <name val="Calibri (corpo)"/>
    </font>
    <font>
      <b/>
      <vertAlign val="subscript"/>
      <sz val="11"/>
      <color theme="1"/>
      <name val="Calibri (corpo)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E7E6E6"/>
      </patternFill>
    </fill>
    <fill>
      <patternFill patternType="solid">
        <fgColor theme="5" tint="0.59999389629810485"/>
        <bgColor rgb="FFE7E6E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70" fontId="0" fillId="8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95D9"/>
      <color rgb="FF487BD9"/>
      <color rgb="FFA993D9"/>
      <color rgb="FFC25C5B"/>
      <color rgb="FF6DEA56"/>
      <color rgb="FF64D8C9"/>
      <color rgb="FF82EA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42590211980724"/>
          <c:y val="5.2992602657520226E-2"/>
          <c:w val="0.83664769726271959"/>
          <c:h val="0.79591582341209155"/>
        </c:manualLayout>
      </c:layout>
      <c:scatterChart>
        <c:scatterStyle val="lineMarker"/>
        <c:varyColors val="0"/>
        <c:ser>
          <c:idx val="0"/>
          <c:order val="0"/>
          <c:tx>
            <c:v>Tubo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(v)'!$R$5:$R$9</c:f>
              <c:numCache>
                <c:formatCode>General</c:formatCode>
                <c:ptCount val="5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3-8142-98DF-87D0373E9CC2}"/>
            </c:ext>
          </c:extLst>
        </c:ser>
        <c:ser>
          <c:idx val="1"/>
          <c:order val="1"/>
          <c:tx>
            <c:v>Aj lin (1)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(v)'!$S$5:$S$9</c:f>
              <c:numCache>
                <c:formatCode>General</c:formatCode>
                <c:ptCount val="5"/>
                <c:pt idx="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  <c:pt idx="4">
                  <c:v>12222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A3-8142-98DF-87D0373E9CC2}"/>
            </c:ext>
          </c:extLst>
        </c:ser>
        <c:ser>
          <c:idx val="2"/>
          <c:order val="2"/>
          <c:tx>
            <c:v>Tubo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(v)'!$R$15:$R$21</c:f>
              <c:numCache>
                <c:formatCode>General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A3-8142-98DF-87D0373E9CC2}"/>
            </c:ext>
          </c:extLst>
        </c:ser>
        <c:ser>
          <c:idx val="3"/>
          <c:order val="3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(v)'!$S$15:$S$21</c:f>
              <c:numCache>
                <c:formatCode>General</c:formatCode>
                <c:ptCount val="7"/>
                <c:pt idx="0">
                  <c:v>683.60714285714403</c:v>
                </c:pt>
                <c:pt idx="1">
                  <c:v>2092.5000000000009</c:v>
                </c:pt>
                <c:pt idx="2">
                  <c:v>3501.3928571428578</c:v>
                </c:pt>
                <c:pt idx="3">
                  <c:v>4910.2857142857147</c:v>
                </c:pt>
                <c:pt idx="4">
                  <c:v>6319.1785714285716</c:v>
                </c:pt>
                <c:pt idx="5">
                  <c:v>7728.0714285714284</c:v>
                </c:pt>
                <c:pt idx="6">
                  <c:v>9136.9642857142862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A3-8142-98DF-87D0373E9CC2}"/>
            </c:ext>
          </c:extLst>
        </c:ser>
        <c:ser>
          <c:idx val="4"/>
          <c:order val="4"/>
          <c:tx>
            <c:v>Tubo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(v)'!$R$27:$R$34</c:f>
              <c:numCache>
                <c:formatCode>General</c:formatCode>
                <c:ptCount val="8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2A3-8142-98DF-87D0373E9CC2}"/>
            </c:ext>
          </c:extLst>
        </c:ser>
        <c:ser>
          <c:idx val="5"/>
          <c:order val="5"/>
          <c:tx>
            <c:v>Aj lin (3)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(v)'!$S$27:$S$34</c:f>
              <c:numCache>
                <c:formatCode>General</c:formatCode>
                <c:ptCount val="8"/>
                <c:pt idx="0" formatCode="0.00E+00">
                  <c:v>641.21428571428646</c:v>
                </c:pt>
                <c:pt idx="1">
                  <c:v>1934.428571428572</c:v>
                </c:pt>
                <c:pt idx="2">
                  <c:v>3227.6428571428578</c:v>
                </c:pt>
                <c:pt idx="3">
                  <c:v>4520.8571428571431</c:v>
                </c:pt>
                <c:pt idx="4">
                  <c:v>5814.0714285714284</c:v>
                </c:pt>
                <c:pt idx="5">
                  <c:v>7107.2857142857147</c:v>
                </c:pt>
                <c:pt idx="6">
                  <c:v>8400.5</c:v>
                </c:pt>
                <c:pt idx="7">
                  <c:v>9693.7142857142862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A3-8142-98DF-87D0373E9CC2}"/>
            </c:ext>
          </c:extLst>
        </c:ser>
        <c:ser>
          <c:idx val="6"/>
          <c:order val="6"/>
          <c:tx>
            <c:v>Tubo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(v)'!$R$41:$R$49</c:f>
              <c:numCache>
                <c:formatCode>General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A3-8142-98DF-87D0373E9CC2}"/>
            </c:ext>
          </c:extLst>
        </c:ser>
        <c:ser>
          <c:idx val="7"/>
          <c:order val="7"/>
          <c:tx>
            <c:v>Aj lin (4)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(v)'!$S$41:$S$49</c:f>
              <c:numCache>
                <c:formatCode>General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2A3-8142-98DF-87D0373E9CC2}"/>
            </c:ext>
          </c:extLst>
        </c:ser>
        <c:ser>
          <c:idx val="8"/>
          <c:order val="8"/>
          <c:tx>
            <c:v>Tubo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(v)'!$R$55:$R$64</c:f>
              <c:numCache>
                <c:formatCode>General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2A3-8142-98DF-87D0373E9CC2}"/>
            </c:ext>
          </c:extLst>
        </c:ser>
        <c:ser>
          <c:idx val="9"/>
          <c:order val="9"/>
          <c:tx>
            <c:v>Aj lin (5)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(v)'!$S$55:$S$64</c:f>
              <c:numCache>
                <c:formatCode>General</c:formatCode>
                <c:ptCount val="10"/>
                <c:pt idx="0">
                  <c:v>510.945454545453</c:v>
                </c:pt>
                <c:pt idx="1">
                  <c:v>1652.8242424242412</c:v>
                </c:pt>
                <c:pt idx="2">
                  <c:v>2794.7030303030297</c:v>
                </c:pt>
                <c:pt idx="3">
                  <c:v>3936.5818181818177</c:v>
                </c:pt>
                <c:pt idx="4">
                  <c:v>5078.4606060606056</c:v>
                </c:pt>
                <c:pt idx="5">
                  <c:v>6220.3393939393945</c:v>
                </c:pt>
                <c:pt idx="6">
                  <c:v>7362.2181818181825</c:v>
                </c:pt>
                <c:pt idx="7">
                  <c:v>8504.0969696969696</c:v>
                </c:pt>
                <c:pt idx="8">
                  <c:v>9645.9757575757576</c:v>
                </c:pt>
                <c:pt idx="9">
                  <c:v>10787.854545454546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2A3-8142-98DF-87D0373E9CC2}"/>
            </c:ext>
          </c:extLst>
        </c:ser>
        <c:ser>
          <c:idx val="10"/>
          <c:order val="10"/>
          <c:tx>
            <c:v>Tubo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(v)'!$R$70:$R$80</c:f>
              <c:numCache>
                <c:formatCode>General</c:formatCode>
                <c:ptCount val="11"/>
                <c:pt idx="0">
                  <c:v>1443</c:v>
                </c:pt>
                <c:pt idx="1">
                  <c:v>2477</c:v>
                </c:pt>
                <c:pt idx="2">
                  <c:v>3470</c:v>
                </c:pt>
                <c:pt idx="3">
                  <c:v>4438</c:v>
                </c:pt>
                <c:pt idx="4">
                  <c:v>5423</c:v>
                </c:pt>
                <c:pt idx="5">
                  <c:v>6453</c:v>
                </c:pt>
                <c:pt idx="6">
                  <c:v>7292</c:v>
                </c:pt>
                <c:pt idx="7">
                  <c:v>8481</c:v>
                </c:pt>
                <c:pt idx="8">
                  <c:v>9509</c:v>
                </c:pt>
                <c:pt idx="9">
                  <c:v>10446</c:v>
                </c:pt>
                <c:pt idx="10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2A3-8142-98DF-87D0373E9CC2}"/>
            </c:ext>
          </c:extLst>
        </c:ser>
        <c:ser>
          <c:idx val="11"/>
          <c:order val="11"/>
          <c:tx>
            <c:v>Aj lin (6)</c:v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(v)'!$S$70:$S$80</c:f>
              <c:numCache>
                <c:formatCode>General</c:formatCode>
                <c:ptCount val="11"/>
                <c:pt idx="0">
                  <c:v>1450.454545454545</c:v>
                </c:pt>
                <c:pt idx="1">
                  <c:v>2448.3454545454542</c:v>
                </c:pt>
                <c:pt idx="2">
                  <c:v>3446.2363636363634</c:v>
                </c:pt>
                <c:pt idx="3">
                  <c:v>4444.1272727272726</c:v>
                </c:pt>
                <c:pt idx="4">
                  <c:v>5442.0181818181818</c:v>
                </c:pt>
                <c:pt idx="5">
                  <c:v>6439.909090909091</c:v>
                </c:pt>
                <c:pt idx="6">
                  <c:v>7437.8</c:v>
                </c:pt>
                <c:pt idx="7">
                  <c:v>8435.6909090909103</c:v>
                </c:pt>
                <c:pt idx="8">
                  <c:v>9433.5818181818177</c:v>
                </c:pt>
                <c:pt idx="9">
                  <c:v>10431.472727272729</c:v>
                </c:pt>
                <c:pt idx="10">
                  <c:v>11429.363636363636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2A3-8142-98DF-87D0373E9CC2}"/>
            </c:ext>
          </c:extLst>
        </c:ser>
        <c:ser>
          <c:idx val="12"/>
          <c:order val="12"/>
          <c:tx>
            <c:v>Tubo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(v)'!$Q$86:$Q$95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(v)'!$R$86:$R$95</c:f>
              <c:numCache>
                <c:formatCode>General</c:formatCode>
                <c:ptCount val="10"/>
                <c:pt idx="0">
                  <c:v>1376</c:v>
                </c:pt>
                <c:pt idx="1">
                  <c:v>2324</c:v>
                </c:pt>
                <c:pt idx="2">
                  <c:v>3269</c:v>
                </c:pt>
                <c:pt idx="3">
                  <c:v>4199</c:v>
                </c:pt>
                <c:pt idx="4">
                  <c:v>5139</c:v>
                </c:pt>
                <c:pt idx="5">
                  <c:v>6066</c:v>
                </c:pt>
                <c:pt idx="6">
                  <c:v>7000</c:v>
                </c:pt>
                <c:pt idx="7">
                  <c:v>7969</c:v>
                </c:pt>
                <c:pt idx="8">
                  <c:v>8866</c:v>
                </c:pt>
                <c:pt idx="9">
                  <c:v>9771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2A3-8142-98DF-87D0373E9CC2}"/>
            </c:ext>
          </c:extLst>
        </c:ser>
        <c:ser>
          <c:idx val="13"/>
          <c:order val="13"/>
          <c:tx>
            <c:v>Aj lin (7)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(v)'!$Q$86:$Q$95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(v)'!$S$86:$S$95</c:f>
              <c:numCache>
                <c:formatCode>General</c:formatCode>
                <c:ptCount val="10"/>
                <c:pt idx="0">
                  <c:v>1391.4090909090912</c:v>
                </c:pt>
                <c:pt idx="1">
                  <c:v>2326.3636363636365</c:v>
                </c:pt>
                <c:pt idx="2">
                  <c:v>3261.318181818182</c:v>
                </c:pt>
                <c:pt idx="3">
                  <c:v>4196.272727272727</c:v>
                </c:pt>
                <c:pt idx="4">
                  <c:v>5131.2272727272721</c:v>
                </c:pt>
                <c:pt idx="5">
                  <c:v>6066.181818181818</c:v>
                </c:pt>
                <c:pt idx="6">
                  <c:v>7001.1363636363631</c:v>
                </c:pt>
                <c:pt idx="7">
                  <c:v>7936.0909090909081</c:v>
                </c:pt>
                <c:pt idx="8">
                  <c:v>8871.045454545454</c:v>
                </c:pt>
                <c:pt idx="9">
                  <c:v>9805.9999999999982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2A3-8142-98DF-87D0373E9CC2}"/>
            </c:ext>
          </c:extLst>
        </c:ser>
        <c:ser>
          <c:idx val="14"/>
          <c:order val="14"/>
          <c:tx>
            <c:v>Tubo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(v)'!$R$102:$R$114</c:f>
              <c:numCache>
                <c:formatCode>General</c:formatCode>
                <c:ptCount val="13"/>
                <c:pt idx="0">
                  <c:v>1149</c:v>
                </c:pt>
                <c:pt idx="1">
                  <c:v>1930</c:v>
                </c:pt>
                <c:pt idx="2">
                  <c:v>2697</c:v>
                </c:pt>
                <c:pt idx="3">
                  <c:v>3476</c:v>
                </c:pt>
                <c:pt idx="4">
                  <c:v>4216</c:v>
                </c:pt>
                <c:pt idx="5">
                  <c:v>5023</c:v>
                </c:pt>
                <c:pt idx="6">
                  <c:v>5813</c:v>
                </c:pt>
                <c:pt idx="7">
                  <c:v>6593</c:v>
                </c:pt>
                <c:pt idx="8">
                  <c:v>7267</c:v>
                </c:pt>
                <c:pt idx="9">
                  <c:v>8081</c:v>
                </c:pt>
                <c:pt idx="10">
                  <c:v>8755</c:v>
                </c:pt>
                <c:pt idx="11">
                  <c:v>9645</c:v>
                </c:pt>
                <c:pt idx="12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E-194A-A551-C4F5A1E63A16}"/>
            </c:ext>
          </c:extLst>
        </c:ser>
        <c:ser>
          <c:idx val="15"/>
          <c:order val="15"/>
          <c:tx>
            <c:v>Aj lin (8)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(v)'!$S$102:$S$114</c:f>
              <c:numCache>
                <c:formatCode>General</c:formatCode>
                <c:ptCount val="13"/>
                <c:pt idx="0">
                  <c:v>1162.2087912087904</c:v>
                </c:pt>
                <c:pt idx="1">
                  <c:v>1930.8021978021973</c:v>
                </c:pt>
                <c:pt idx="2">
                  <c:v>2699.3956043956041</c:v>
                </c:pt>
                <c:pt idx="3">
                  <c:v>3467.9890109890107</c:v>
                </c:pt>
                <c:pt idx="4">
                  <c:v>4236.5824175824173</c:v>
                </c:pt>
                <c:pt idx="5">
                  <c:v>5005.1758241758243</c:v>
                </c:pt>
                <c:pt idx="6">
                  <c:v>5773.7692307692305</c:v>
                </c:pt>
                <c:pt idx="7">
                  <c:v>6542.3626373626375</c:v>
                </c:pt>
                <c:pt idx="8">
                  <c:v>7310.9560439560446</c:v>
                </c:pt>
                <c:pt idx="9">
                  <c:v>8079.5494505494507</c:v>
                </c:pt>
                <c:pt idx="10">
                  <c:v>8848.1428571428587</c:v>
                </c:pt>
                <c:pt idx="11">
                  <c:v>9616.7362637362639</c:v>
                </c:pt>
                <c:pt idx="12">
                  <c:v>10385.329670329673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E-194A-A551-C4F5A1E63A16}"/>
            </c:ext>
          </c:extLst>
        </c:ser>
        <c:ser>
          <c:idx val="16"/>
          <c:order val="16"/>
          <c:tx>
            <c:v>Tubo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(v)'!$R$120:$R$133</c:f>
              <c:numCache>
                <c:formatCode>General</c:formatCode>
                <c:ptCount val="14"/>
                <c:pt idx="0">
                  <c:v>964</c:v>
                </c:pt>
                <c:pt idx="1">
                  <c:v>1616</c:v>
                </c:pt>
                <c:pt idx="2">
                  <c:v>2272</c:v>
                </c:pt>
                <c:pt idx="3">
                  <c:v>2927</c:v>
                </c:pt>
                <c:pt idx="4">
                  <c:v>3575</c:v>
                </c:pt>
                <c:pt idx="5">
                  <c:v>4236</c:v>
                </c:pt>
                <c:pt idx="6">
                  <c:v>4878</c:v>
                </c:pt>
                <c:pt idx="7">
                  <c:v>5588</c:v>
                </c:pt>
                <c:pt idx="8">
                  <c:v>6149</c:v>
                </c:pt>
                <c:pt idx="9">
                  <c:v>6866</c:v>
                </c:pt>
                <c:pt idx="10">
                  <c:v>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E-194A-A551-C4F5A1E63A16}"/>
            </c:ext>
          </c:extLst>
        </c:ser>
        <c:ser>
          <c:idx val="17"/>
          <c:order val="17"/>
          <c:tx>
            <c:v>Aj lin (9)</c:v>
          </c:tx>
          <c:spPr>
            <a:ln w="12700" cap="rnd">
              <a:solidFill>
                <a:srgbClr val="C25C5B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(v)'!$S$120:$S$133</c:f>
              <c:numCache>
                <c:formatCode>0.0</c:formatCode>
                <c:ptCount val="14"/>
                <c:pt idx="0" formatCode="0">
                  <c:v>961.72727272727343</c:v>
                </c:pt>
                <c:pt idx="1">
                  <c:v>1616.4181818181823</c:v>
                </c:pt>
                <c:pt idx="2" formatCode="0">
                  <c:v>2271.1090909090913</c:v>
                </c:pt>
                <c:pt idx="3" formatCode="0">
                  <c:v>2925.8</c:v>
                </c:pt>
                <c:pt idx="4" formatCode="0">
                  <c:v>3580.4909090909091</c:v>
                </c:pt>
                <c:pt idx="5" formatCode="0">
                  <c:v>4235.181818181818</c:v>
                </c:pt>
                <c:pt idx="6" formatCode="0">
                  <c:v>4889.8727272727274</c:v>
                </c:pt>
                <c:pt idx="7" formatCode="0">
                  <c:v>5544.5636363636359</c:v>
                </c:pt>
                <c:pt idx="8" formatCode="0">
                  <c:v>6199.2545454545443</c:v>
                </c:pt>
                <c:pt idx="9" formatCode="0">
                  <c:v>6853.9454545454537</c:v>
                </c:pt>
                <c:pt idx="10" formatCode="0">
                  <c:v>7508.6363636363631</c:v>
                </c:pt>
                <c:pt idx="11" formatCode="0">
                  <c:v>8163.3272727272715</c:v>
                </c:pt>
                <c:pt idx="12" formatCode="0">
                  <c:v>8818.0181818181809</c:v>
                </c:pt>
                <c:pt idx="13" formatCode="0">
                  <c:v>9472.7090909090912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7E-194A-A551-C4F5A1E6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95296"/>
        <c:axId val="251844320"/>
      </c:scatterChart>
      <c:valAx>
        <c:axId val="1919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1844320"/>
        <c:crosses val="autoZero"/>
        <c:crossBetween val="midCat"/>
      </c:valAx>
      <c:valAx>
        <c:axId val="2518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(kHz)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99529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79236089232266"/>
          <c:y val="0.48111933353876618"/>
          <c:w val="0.24857154971311302"/>
          <c:h val="0.356361368796576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22010639585305"/>
          <c:y val="4.6879414869734286E-2"/>
          <c:w val="0.82391323214605372"/>
          <c:h val="0.7894899506239289"/>
        </c:manualLayout>
      </c:layout>
      <c:scatterChart>
        <c:scatterStyle val="lineMarker"/>
        <c:varyColors val="0"/>
        <c:ser>
          <c:idx val="0"/>
          <c:order val="0"/>
          <c:tx>
            <c:v>Res.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(v)'!$T$5:$T$9</c:f>
              <c:numCache>
                <c:formatCode>General</c:formatCode>
                <c:ptCount val="5"/>
                <c:pt idx="0">
                  <c:v>1302.8000000000006</c:v>
                </c:pt>
                <c:pt idx="1">
                  <c:v>17.600000000000364</c:v>
                </c:pt>
                <c:pt idx="2">
                  <c:v>46.400000000000546</c:v>
                </c:pt>
                <c:pt idx="3">
                  <c:v>-36.799999999999272</c:v>
                </c:pt>
                <c:pt idx="4">
                  <c:v>12222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6-7649-B8D2-581987F9DCD6}"/>
            </c:ext>
          </c:extLst>
        </c:ser>
        <c:ser>
          <c:idx val="1"/>
          <c:order val="1"/>
          <c:tx>
            <c:v>Res. de f - 2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(v)'!$T$15:$T$21</c:f>
              <c:numCache>
                <c:formatCode>General</c:formatCode>
                <c:ptCount val="7"/>
                <c:pt idx="0">
                  <c:v>-4.3928571428559735</c:v>
                </c:pt>
                <c:pt idx="1">
                  <c:v>-29.499999999999091</c:v>
                </c:pt>
                <c:pt idx="2">
                  <c:v>-1.6071428571422075</c:v>
                </c:pt>
                <c:pt idx="3">
                  <c:v>50.285714285714675</c:v>
                </c:pt>
                <c:pt idx="4">
                  <c:v>22.178571428571558</c:v>
                </c:pt>
                <c:pt idx="5">
                  <c:v>-14.928571428571558</c:v>
                </c:pt>
                <c:pt idx="6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46-7649-B8D2-581987F9DCD6}"/>
            </c:ext>
          </c:extLst>
        </c:ser>
        <c:ser>
          <c:idx val="2"/>
          <c:order val="2"/>
          <c:tx>
            <c:v>Res. de f - 3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(v)'!$T$27:$T$34</c:f>
              <c:numCache>
                <c:formatCode>General</c:formatCode>
                <c:ptCount val="8"/>
                <c:pt idx="0">
                  <c:v>4.2142857142864614</c:v>
                </c:pt>
                <c:pt idx="1">
                  <c:v>7.4285714285720132</c:v>
                </c:pt>
                <c:pt idx="2">
                  <c:v>4.6428571428577925</c:v>
                </c:pt>
                <c:pt idx="3">
                  <c:v>-24.142857142856883</c:v>
                </c:pt>
                <c:pt idx="4">
                  <c:v>-23.928571428571558</c:v>
                </c:pt>
                <c:pt idx="5">
                  <c:v>39.285714285714675</c:v>
                </c:pt>
                <c:pt idx="6">
                  <c:v>-7.5</c:v>
                </c:pt>
                <c:pt idx="7">
                  <c:v>9693.7142857142862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46-7649-B8D2-581987F9DCD6}"/>
            </c:ext>
          </c:extLst>
        </c:ser>
        <c:ser>
          <c:idx val="3"/>
          <c:order val="3"/>
          <c:tx>
            <c:v>Res. de f - 4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(v)'!$T$41:$T$49</c:f>
              <c:numCache>
                <c:formatCode>General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646-7649-B8D2-581987F9DCD6}"/>
            </c:ext>
          </c:extLst>
        </c:ser>
        <c:ser>
          <c:idx val="4"/>
          <c:order val="4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(v)'!$T$55:$T$64</c:f>
              <c:numCache>
                <c:formatCode>General</c:formatCode>
                <c:ptCount val="10"/>
                <c:pt idx="0">
                  <c:v>-43.054545454546997</c:v>
                </c:pt>
                <c:pt idx="1">
                  <c:v>-14.17575757575878</c:v>
                </c:pt>
                <c:pt idx="2">
                  <c:v>16.703030303029664</c:v>
                </c:pt>
                <c:pt idx="3">
                  <c:v>20.581818181817653</c:v>
                </c:pt>
                <c:pt idx="4">
                  <c:v>61.460606060605642</c:v>
                </c:pt>
                <c:pt idx="5">
                  <c:v>-4.6606060606054598</c:v>
                </c:pt>
                <c:pt idx="6">
                  <c:v>13.218181818182529</c:v>
                </c:pt>
                <c:pt idx="7">
                  <c:v>-16.903030303030391</c:v>
                </c:pt>
                <c:pt idx="8">
                  <c:v>-34.024242424242402</c:v>
                </c:pt>
                <c:pt idx="9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646-7649-B8D2-581987F9DCD6}"/>
            </c:ext>
          </c:extLst>
        </c:ser>
        <c:ser>
          <c:idx val="5"/>
          <c:order val="5"/>
          <c:tx>
            <c:v>Res. de f - 6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(v)'!$T$70:$T$80</c:f>
              <c:numCache>
                <c:formatCode>General</c:formatCode>
                <c:ptCount val="11"/>
                <c:pt idx="0">
                  <c:v>7.4545454545450411</c:v>
                </c:pt>
                <c:pt idx="1">
                  <c:v>-28.654545454545769</c:v>
                </c:pt>
                <c:pt idx="2">
                  <c:v>-23.763636363636579</c:v>
                </c:pt>
                <c:pt idx="3">
                  <c:v>6.1272727272726115</c:v>
                </c:pt>
                <c:pt idx="4">
                  <c:v>19.018181818181802</c:v>
                </c:pt>
                <c:pt idx="5">
                  <c:v>-13.090909090909008</c:v>
                </c:pt>
                <c:pt idx="6">
                  <c:v>145.80000000000018</c:v>
                </c:pt>
                <c:pt idx="7">
                  <c:v>-45.309090909089718</c:v>
                </c:pt>
                <c:pt idx="8">
                  <c:v>-75.418181818182347</c:v>
                </c:pt>
                <c:pt idx="9">
                  <c:v>-14.527272727271338</c:v>
                </c:pt>
                <c:pt idx="10">
                  <c:v>22.363636363636033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646-7649-B8D2-581987F9DCD6}"/>
            </c:ext>
          </c:extLst>
        </c:ser>
        <c:ser>
          <c:idx val="6"/>
          <c:order val="6"/>
          <c:tx>
            <c:v>Res. de f - 7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(v)'!$Q$86:$Q$95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(v)'!$T$86:$T$95</c:f>
              <c:numCache>
                <c:formatCode>General</c:formatCode>
                <c:ptCount val="10"/>
                <c:pt idx="0">
                  <c:v>15.409090909091219</c:v>
                </c:pt>
                <c:pt idx="1">
                  <c:v>2.3636363636364877</c:v>
                </c:pt>
                <c:pt idx="2">
                  <c:v>-7.6818181818180165</c:v>
                </c:pt>
                <c:pt idx="3">
                  <c:v>-2.7272727272729753</c:v>
                </c:pt>
                <c:pt idx="4">
                  <c:v>-7.7727272727279342</c:v>
                </c:pt>
                <c:pt idx="5">
                  <c:v>0.18181818181801646</c:v>
                </c:pt>
                <c:pt idx="6">
                  <c:v>1.1363636363630576</c:v>
                </c:pt>
                <c:pt idx="7">
                  <c:v>-32.909090909091901</c:v>
                </c:pt>
                <c:pt idx="8">
                  <c:v>5.0454545454540494</c:v>
                </c:pt>
                <c:pt idx="9">
                  <c:v>34.999999999998181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646-7649-B8D2-581987F9DCD6}"/>
            </c:ext>
          </c:extLst>
        </c:ser>
        <c:ser>
          <c:idx val="7"/>
          <c:order val="7"/>
          <c:tx>
            <c:v>Res. de f - 8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(v)'!$T$102:$T$114</c:f>
              <c:numCache>
                <c:formatCode>0.00000</c:formatCode>
                <c:ptCount val="13"/>
                <c:pt idx="0">
                  <c:v>13.208791208790444</c:v>
                </c:pt>
                <c:pt idx="1">
                  <c:v>0.80219780219726999</c:v>
                </c:pt>
                <c:pt idx="2">
                  <c:v>2.3956043956040958</c:v>
                </c:pt>
                <c:pt idx="3">
                  <c:v>-8.0109890109893058</c:v>
                </c:pt>
                <c:pt idx="4">
                  <c:v>20.582417582417293</c:v>
                </c:pt>
                <c:pt idx="5">
                  <c:v>-17.824175824175654</c:v>
                </c:pt>
                <c:pt idx="6">
                  <c:v>-39.230769230769511</c:v>
                </c:pt>
                <c:pt idx="7">
                  <c:v>-50.637362637362457</c:v>
                </c:pt>
                <c:pt idx="8">
                  <c:v>43.956043956044596</c:v>
                </c:pt>
                <c:pt idx="9">
                  <c:v>-1.4505494505492607</c:v>
                </c:pt>
                <c:pt idx="10">
                  <c:v>93.142857142858702</c:v>
                </c:pt>
                <c:pt idx="11">
                  <c:v>-28.263736263736064</c:v>
                </c:pt>
                <c:pt idx="12">
                  <c:v>-28.670329670327192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EF-614C-9C43-8BBE2391B7BA}"/>
            </c:ext>
          </c:extLst>
        </c:ser>
        <c:ser>
          <c:idx val="8"/>
          <c:order val="8"/>
          <c:tx>
            <c:v>Res. de f - 9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(v)'!$T$120:$T$133</c:f>
              <c:numCache>
                <c:formatCode>0.0</c:formatCode>
                <c:ptCount val="14"/>
                <c:pt idx="0" formatCode="0">
                  <c:v>-2.2727272727265699</c:v>
                </c:pt>
                <c:pt idx="1">
                  <c:v>0.41818181818234734</c:v>
                </c:pt>
                <c:pt idx="2" formatCode="0">
                  <c:v>-0.89090909090873538</c:v>
                </c:pt>
                <c:pt idx="3" formatCode="0">
                  <c:v>-1.1999999999998181</c:v>
                </c:pt>
                <c:pt idx="4" formatCode="0">
                  <c:v>5.4909090909090992</c:v>
                </c:pt>
                <c:pt idx="5" formatCode="0">
                  <c:v>-0.81818181818198354</c:v>
                </c:pt>
                <c:pt idx="6" formatCode="0">
                  <c:v>11.872727272727388</c:v>
                </c:pt>
                <c:pt idx="7" formatCode="0">
                  <c:v>-43.436363636364149</c:v>
                </c:pt>
                <c:pt idx="8" formatCode="0">
                  <c:v>50.254545454544314</c:v>
                </c:pt>
                <c:pt idx="9" formatCode="0">
                  <c:v>-12.054545454546314</c:v>
                </c:pt>
                <c:pt idx="10" formatCode="0">
                  <c:v>-7.3636363636369424</c:v>
                </c:pt>
                <c:pt idx="11" formatCode="0">
                  <c:v>8163.3272727272715</c:v>
                </c:pt>
                <c:pt idx="12" formatCode="0">
                  <c:v>8818.0181818181809</c:v>
                </c:pt>
                <c:pt idx="13" formatCode="0">
                  <c:v>9472.7090909090912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EF-614C-9C43-8BBE2391B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82752"/>
        <c:axId val="1892812719"/>
      </c:scatterChart>
      <c:valAx>
        <c:axId val="720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2812719"/>
        <c:crossesAt val="-999990"/>
        <c:crossBetween val="midCat"/>
      </c:valAx>
      <c:valAx>
        <c:axId val="18928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208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27188471762245"/>
          <c:y val="0.44069300996716093"/>
          <c:w val="0.14946746698814842"/>
          <c:h val="0.3828434093314532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6382768667678"/>
          <c:y val="7.0268837405354612E-2"/>
          <c:w val="0.76647794312408202"/>
          <c:h val="0.7419005985174633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(v)'!$Q$5:$Q$8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(v)'!$R$5:$R$8</c:f>
              <c:numCache>
                <c:formatCode>General</c:formatCode>
                <c:ptCount val="4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D-1948-8A96-3B759460E462}"/>
            </c:ext>
          </c:extLst>
        </c:ser>
        <c:ser>
          <c:idx val="1"/>
          <c:order val="1"/>
          <c:tx>
            <c:v>Aj lin (1)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(v)'!$S$5:$S$9</c:f>
              <c:numCache>
                <c:formatCode>General</c:formatCode>
                <c:ptCount val="5"/>
                <c:pt idx="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  <c:pt idx="4">
                  <c:v>12222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D-1948-8A96-3B759460E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503407"/>
        <c:axId val="572505039"/>
      </c:scatterChart>
      <c:valAx>
        <c:axId val="57250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505039"/>
        <c:crosses val="autoZero"/>
        <c:crossBetween val="midCat"/>
      </c:valAx>
      <c:valAx>
        <c:axId val="572505039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50340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73089888993238"/>
          <c:y val="0.57743692932858459"/>
          <c:w val="0.2848105929547487"/>
          <c:h val="0.196195632782225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10487954804906"/>
          <c:y val="7.2131147540983612E-2"/>
          <c:w val="0.7737329859789831"/>
          <c:h val="0.748175035497612"/>
        </c:manualLayout>
      </c:layout>
      <c:scatterChart>
        <c:scatterStyle val="lineMarker"/>
        <c:varyColors val="0"/>
        <c:ser>
          <c:idx val="0"/>
          <c:order val="0"/>
          <c:tx>
            <c:v>Res.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(v)'!$T$5:$T$9</c:f>
              <c:numCache>
                <c:formatCode>General</c:formatCode>
                <c:ptCount val="5"/>
                <c:pt idx="0">
                  <c:v>1302.8000000000006</c:v>
                </c:pt>
                <c:pt idx="1">
                  <c:v>17.600000000000364</c:v>
                </c:pt>
                <c:pt idx="2">
                  <c:v>46.400000000000546</c:v>
                </c:pt>
                <c:pt idx="3">
                  <c:v>-36.799999999999272</c:v>
                </c:pt>
                <c:pt idx="4">
                  <c:v>12222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F-4748-85B5-EF06D99F4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78335"/>
        <c:axId val="471461023"/>
      </c:scatterChart>
      <c:valAx>
        <c:axId val="57237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461023"/>
        <c:crossesAt val="-99999"/>
        <c:crossBetween val="midCat"/>
      </c:valAx>
      <c:valAx>
        <c:axId val="4714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37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525505606358309"/>
          <c:y val="0.14380022796651254"/>
          <c:w val="0.19485992411311023"/>
          <c:h val="0.10072258652555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0311818770194"/>
          <c:y val="5.0914863933032919E-2"/>
          <c:w val="0.80280386029973061"/>
          <c:h val="0.79535856467473087"/>
        </c:manualLayout>
      </c:layout>
      <c:scatterChart>
        <c:scatterStyle val="lineMarker"/>
        <c:varyColors val="0"/>
        <c:ser>
          <c:idx val="0"/>
          <c:order val="0"/>
          <c:tx>
            <c:v>DadosExp. (2)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(v)'!$R$15:$R$21</c:f>
              <c:numCache>
                <c:formatCode>General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5-4E48-828D-6295D1AC82D9}"/>
            </c:ext>
          </c:extLst>
        </c:ser>
        <c:ser>
          <c:idx val="1"/>
          <c:order val="1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(v)'!$S$15:$S$21</c:f>
              <c:numCache>
                <c:formatCode>General</c:formatCode>
                <c:ptCount val="7"/>
                <c:pt idx="0">
                  <c:v>683.60714285714403</c:v>
                </c:pt>
                <c:pt idx="1">
                  <c:v>2092.5000000000009</c:v>
                </c:pt>
                <c:pt idx="2">
                  <c:v>3501.3928571428578</c:v>
                </c:pt>
                <c:pt idx="3">
                  <c:v>4910.2857142857147</c:v>
                </c:pt>
                <c:pt idx="4">
                  <c:v>6319.1785714285716</c:v>
                </c:pt>
                <c:pt idx="5">
                  <c:v>7728.0714285714284</c:v>
                </c:pt>
                <c:pt idx="6">
                  <c:v>9136.9642857142862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A5-4E48-828D-6295D1AC82D9}"/>
            </c:ext>
          </c:extLst>
        </c:ser>
        <c:ser>
          <c:idx val="2"/>
          <c:order val="2"/>
          <c:tx>
            <c:v>Pto.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(v)'!$Q$21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'1ª Parte (v)'!$R$21</c:f>
              <c:numCache>
                <c:formatCode>General</c:formatCode>
                <c:ptCount val="1"/>
                <c:pt idx="0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A5-4E48-828D-6295D1AC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88959"/>
        <c:axId val="560198847"/>
      </c:scatterChart>
      <c:valAx>
        <c:axId val="54258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198847"/>
        <c:crossesAt val="0"/>
        <c:crossBetween val="midCat"/>
      </c:valAx>
      <c:valAx>
        <c:axId val="560198847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2588959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15034608943777"/>
          <c:y val="0.64811115484979587"/>
          <c:w val="0.28206094598777537"/>
          <c:h val="0.174928148875254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08459180699054"/>
          <c:y val="6.719001451535174E-2"/>
          <c:w val="0.74788402707644475"/>
          <c:h val="0.74715151853280493"/>
        </c:manualLayout>
      </c:layout>
      <c:scatterChart>
        <c:scatterStyle val="lineMarker"/>
        <c:varyColors val="0"/>
        <c:ser>
          <c:idx val="0"/>
          <c:order val="0"/>
          <c:tx>
            <c:v>Res. de f - 2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(v)'!$T$15:$T$21</c:f>
              <c:numCache>
                <c:formatCode>General</c:formatCode>
                <c:ptCount val="7"/>
                <c:pt idx="0">
                  <c:v>-4.3928571428559735</c:v>
                </c:pt>
                <c:pt idx="1">
                  <c:v>-29.499999999999091</c:v>
                </c:pt>
                <c:pt idx="2">
                  <c:v>-1.6071428571422075</c:v>
                </c:pt>
                <c:pt idx="3">
                  <c:v>50.285714285714675</c:v>
                </c:pt>
                <c:pt idx="4">
                  <c:v>22.178571428571558</c:v>
                </c:pt>
                <c:pt idx="5">
                  <c:v>-14.928571428571558</c:v>
                </c:pt>
                <c:pt idx="6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3-CF41-8DC6-74E9907E21D1}"/>
            </c:ext>
          </c:extLst>
        </c:ser>
        <c:ser>
          <c:idx val="1"/>
          <c:order val="1"/>
          <c:tx>
            <c:v>Pto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(v)'!$Q$21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'1ª Parte (v)'!$T$21</c:f>
              <c:numCache>
                <c:formatCode>General</c:formatCode>
                <c:ptCount val="1"/>
                <c:pt idx="0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83-CF41-8DC6-74E9907E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6911"/>
        <c:axId val="93018479"/>
      </c:scatterChart>
      <c:valAx>
        <c:axId val="475376911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018479"/>
        <c:crossesAt val="-9990"/>
        <c:crossBetween val="midCat"/>
        <c:majorUnit val="1"/>
      </c:valAx>
      <c:valAx>
        <c:axId val="93018479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5376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245890517197488"/>
          <c:y val="9.3095240241572411E-2"/>
          <c:w val="0.24925522110761386"/>
          <c:h val="0.1633357028594954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(v)'!$Q$27:$Q$33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(v)'!$R$27:$R$33</c:f>
              <c:numCache>
                <c:formatCode>General</c:formatCode>
                <c:ptCount val="7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E-BD44-82E8-F9BF83E418EC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(v)'!$Q$27:$Q$33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(v)'!$S$27:$S$33</c:f>
              <c:numCache>
                <c:formatCode>General</c:formatCode>
                <c:ptCount val="7"/>
                <c:pt idx="0" formatCode="0.00E+00">
                  <c:v>641.21428571428646</c:v>
                </c:pt>
                <c:pt idx="1">
                  <c:v>1934.428571428572</c:v>
                </c:pt>
                <c:pt idx="2">
                  <c:v>3227.6428571428578</c:v>
                </c:pt>
                <c:pt idx="3">
                  <c:v>4520.8571428571431</c:v>
                </c:pt>
                <c:pt idx="4">
                  <c:v>5814.0714285714284</c:v>
                </c:pt>
                <c:pt idx="5">
                  <c:v>7107.2857142857147</c:v>
                </c:pt>
                <c:pt idx="6">
                  <c:v>8400.5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6E-BD44-82E8-F9BF83E41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84468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3530147803752"/>
          <c:y val="0.56383098409771049"/>
          <c:w val="0.28285277591997465"/>
          <c:h val="0.21896310976218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1766117669978"/>
          <c:y val="5.6856961803273286E-2"/>
          <c:w val="0.77520935792209433"/>
          <c:h val="0.80225591322087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(v)'!$Q$27:$Q$33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(v)'!$T$27:$T$33</c:f>
              <c:numCache>
                <c:formatCode>General</c:formatCode>
                <c:ptCount val="7"/>
                <c:pt idx="0">
                  <c:v>4.2142857142864614</c:v>
                </c:pt>
                <c:pt idx="1">
                  <c:v>7.4285714285720132</c:v>
                </c:pt>
                <c:pt idx="2">
                  <c:v>4.6428571428577925</c:v>
                </c:pt>
                <c:pt idx="3">
                  <c:v>-24.142857142856883</c:v>
                </c:pt>
                <c:pt idx="4">
                  <c:v>-23.928571428571558</c:v>
                </c:pt>
                <c:pt idx="5">
                  <c:v>39.285714285714675</c:v>
                </c:pt>
                <c:pt idx="6">
                  <c:v>-7.5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3-F647-849D-FC60F743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86271"/>
        <c:axId val="116125887"/>
      </c:scatterChart>
      <c:valAx>
        <c:axId val="1114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6125887"/>
        <c:crossesAt val="-9990"/>
        <c:crossBetween val="midCat"/>
      </c:valAx>
      <c:valAx>
        <c:axId val="1161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48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629892086309991"/>
          <c:y val="8.1996529975258858E-2"/>
          <c:w val="0.23846250957155987"/>
          <c:h val="0.177687029921635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78629899387576541"/>
          <c:h val="0.80372666958296879"/>
        </c:manualLayout>
      </c:layout>
      <c:scatterChart>
        <c:scatterStyle val="lineMarker"/>
        <c:varyColors val="0"/>
        <c:ser>
          <c:idx val="0"/>
          <c:order val="0"/>
          <c:tx>
            <c:v>Res. de f - 4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(v)'!$T$41:$T$49</c:f>
              <c:numCache>
                <c:formatCode>General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6-A64E-9087-056FA9D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5151"/>
        <c:axId val="118567983"/>
      </c:scatterChart>
      <c:valAx>
        <c:axId val="7711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567983"/>
        <c:crossesAt val="-90"/>
        <c:crossBetween val="midCat"/>
      </c:valAx>
      <c:valAx>
        <c:axId val="1185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711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859040173714398"/>
          <c:y val="0.73030656644474179"/>
          <c:w val="0.21047854399448768"/>
          <c:h val="9.1338738433021302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2"/>
          <c:order val="0"/>
          <c:tx>
            <c:v>Dados Exp. (4)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(v)'!$R$41:$R$49</c:f>
              <c:numCache>
                <c:formatCode>General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50A-D247-908B-04F897FD6BEA}"/>
            </c:ext>
          </c:extLst>
        </c:ser>
        <c:ser>
          <c:idx val="3"/>
          <c:order val="1"/>
          <c:tx>
            <c:v>Aj lin. (4)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(v)'!$S$41:$S$49</c:f>
              <c:numCache>
                <c:formatCode>General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50A-D247-908B-04F897FD6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  <c:max val="11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844687"/>
        <c:crosses val="autoZero"/>
        <c:crossBetween val="midCat"/>
        <c:majorUnit val="1000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3742827773314659"/>
          <c:y val="0.62853208646539283"/>
          <c:w val="0.28433561330641083"/>
          <c:h val="0.1797254776626594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63535989785083"/>
          <c:y val="5.9900779953605841E-2"/>
          <c:w val="0.76449086247144604"/>
          <c:h val="0.7483892821768382"/>
        </c:manualLayout>
      </c:layout>
      <c:scatterChart>
        <c:scatterStyle val="lineMarker"/>
        <c:varyColors val="0"/>
        <c:ser>
          <c:idx val="0"/>
          <c:order val="0"/>
          <c:tx>
            <c:v>Res. de f - 5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3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3BE-7F41-8C80-511B4147B6FD}"/>
              </c:ext>
            </c:extLst>
          </c:dPt>
          <c:dPt>
            <c:idx val="8"/>
            <c:marker>
              <c:symbol val="circle"/>
              <c:size val="3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3BE-7F41-8C80-511B4147B6FD}"/>
              </c:ext>
            </c:extLst>
          </c:dPt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(v)'!$T$55:$T$64</c:f>
              <c:numCache>
                <c:formatCode>General</c:formatCode>
                <c:ptCount val="10"/>
                <c:pt idx="0">
                  <c:v>-43.054545454546997</c:v>
                </c:pt>
                <c:pt idx="1">
                  <c:v>-14.17575757575878</c:v>
                </c:pt>
                <c:pt idx="2">
                  <c:v>16.703030303029664</c:v>
                </c:pt>
                <c:pt idx="3">
                  <c:v>20.581818181817653</c:v>
                </c:pt>
                <c:pt idx="4">
                  <c:v>61.460606060605642</c:v>
                </c:pt>
                <c:pt idx="5">
                  <c:v>-4.6606060606054598</c:v>
                </c:pt>
                <c:pt idx="6">
                  <c:v>13.218181818182529</c:v>
                </c:pt>
                <c:pt idx="7">
                  <c:v>-16.903030303030391</c:v>
                </c:pt>
                <c:pt idx="8">
                  <c:v>-34.024242424242402</c:v>
                </c:pt>
                <c:pt idx="9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61-CE45-99BA-467F085245C8}"/>
            </c:ext>
          </c:extLst>
        </c:ser>
        <c:ser>
          <c:idx val="1"/>
          <c:order val="1"/>
          <c:tx>
            <c:v>Pto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(v)'!$Q$64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'1ª Parte (v)'!$T$64</c:f>
              <c:numCache>
                <c:formatCode>General</c:formatCode>
                <c:ptCount val="1"/>
                <c:pt idx="0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61-CE45-99BA-467F08524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71391"/>
        <c:axId val="107183471"/>
      </c:scatterChart>
      <c:valAx>
        <c:axId val="126171391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7183471"/>
        <c:crossesAt val="-90"/>
        <c:crossBetween val="midCat"/>
        <c:majorUnit val="1"/>
      </c:valAx>
      <c:valAx>
        <c:axId val="107183471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Resíduos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17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10832519645715"/>
          <c:y val="8.6975931003937829E-2"/>
          <c:w val="0.19655923499155256"/>
          <c:h val="0.1718133419825061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11073209172944"/>
          <c:y val="5.6773616727287507E-2"/>
          <c:w val="0.75026340632127742"/>
          <c:h val="0.79667283034970438"/>
        </c:manualLayout>
      </c:layout>
      <c:scatterChart>
        <c:scatterStyle val="lineMarker"/>
        <c:varyColors val="0"/>
        <c:ser>
          <c:idx val="0"/>
          <c:order val="0"/>
          <c:tx>
            <c:v>Dados Exp. (5)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C4E-3C48-9F33-7BDEB4E81E02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C4E-3C48-9F33-7BDEB4E81E02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xVal>
            <c:numRef>
              <c:f>'1ª Parte (v)'!$Q$55:$Q$63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(v)'!$R$55:$R$64</c:f>
              <c:numCache>
                <c:formatCode>General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B-444B-AA96-E9470EA3E0C5}"/>
            </c:ext>
          </c:extLst>
        </c:ser>
        <c:ser>
          <c:idx val="1"/>
          <c:order val="1"/>
          <c:tx>
            <c:v>Aj. lin. (5)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6787-BB46-9F4A-54C5F49DD2CE}"/>
              </c:ext>
            </c:extLst>
          </c:dPt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(v)'!$S$55:$S$64</c:f>
              <c:numCache>
                <c:formatCode>General</c:formatCode>
                <c:ptCount val="10"/>
                <c:pt idx="0">
                  <c:v>510.945454545453</c:v>
                </c:pt>
                <c:pt idx="1">
                  <c:v>1652.8242424242412</c:v>
                </c:pt>
                <c:pt idx="2">
                  <c:v>2794.7030303030297</c:v>
                </c:pt>
                <c:pt idx="3">
                  <c:v>3936.5818181818177</c:v>
                </c:pt>
                <c:pt idx="4">
                  <c:v>5078.4606060606056</c:v>
                </c:pt>
                <c:pt idx="5">
                  <c:v>6220.3393939393945</c:v>
                </c:pt>
                <c:pt idx="6">
                  <c:v>7362.2181818181825</c:v>
                </c:pt>
                <c:pt idx="7">
                  <c:v>8504.0969696969696</c:v>
                </c:pt>
                <c:pt idx="8">
                  <c:v>9645.9757575757576</c:v>
                </c:pt>
                <c:pt idx="9">
                  <c:v>10787.854545454546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EB-444B-AA96-E9470EA3E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85967"/>
        <c:axId val="160539967"/>
      </c:scatterChart>
      <c:valAx>
        <c:axId val="15288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0539967"/>
        <c:crosses val="autoZero"/>
        <c:crossBetween val="midCat"/>
        <c:majorUnit val="1"/>
      </c:valAx>
      <c:valAx>
        <c:axId val="1605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(Hz) x 103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8596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779726578593828"/>
          <c:y val="0.61949483795639182"/>
          <c:w val="0.30771810768491348"/>
          <c:h val="0.2110979248030286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1048009623797024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(v)'!$T$70:$T$80</c:f>
              <c:numCache>
                <c:formatCode>General</c:formatCode>
                <c:ptCount val="11"/>
                <c:pt idx="0">
                  <c:v>7.4545454545450411</c:v>
                </c:pt>
                <c:pt idx="1">
                  <c:v>-28.654545454545769</c:v>
                </c:pt>
                <c:pt idx="2">
                  <c:v>-23.763636363636579</c:v>
                </c:pt>
                <c:pt idx="3">
                  <c:v>6.1272727272726115</c:v>
                </c:pt>
                <c:pt idx="4">
                  <c:v>19.018181818181802</c:v>
                </c:pt>
                <c:pt idx="5">
                  <c:v>-13.090909090909008</c:v>
                </c:pt>
                <c:pt idx="6">
                  <c:v>145.80000000000018</c:v>
                </c:pt>
                <c:pt idx="7">
                  <c:v>-45.309090909089718</c:v>
                </c:pt>
                <c:pt idx="8">
                  <c:v>-75.418181818182347</c:v>
                </c:pt>
                <c:pt idx="9">
                  <c:v>-14.527272727271338</c:v>
                </c:pt>
                <c:pt idx="10">
                  <c:v>22.363636363636033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4-8B40-B440-D3057182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986854768153982"/>
          <c:y val="8.5948527267424912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21190354121318"/>
          <c:y val="6.638377137752266E-2"/>
          <c:w val="0.82917894200185949"/>
          <c:h val="0.7680093706072344"/>
        </c:manualLayout>
      </c:layout>
      <c:scatterChart>
        <c:scatterStyle val="lineMarker"/>
        <c:varyColors val="0"/>
        <c:ser>
          <c:idx val="0"/>
          <c:order val="0"/>
          <c:tx>
            <c:v>Dados Exp. (6)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(v)'!$R$70:$R$80</c:f>
              <c:numCache>
                <c:formatCode>General</c:formatCode>
                <c:ptCount val="11"/>
                <c:pt idx="0">
                  <c:v>1443</c:v>
                </c:pt>
                <c:pt idx="1">
                  <c:v>2477</c:v>
                </c:pt>
                <c:pt idx="2">
                  <c:v>3470</c:v>
                </c:pt>
                <c:pt idx="3">
                  <c:v>4438</c:v>
                </c:pt>
                <c:pt idx="4">
                  <c:v>5423</c:v>
                </c:pt>
                <c:pt idx="5">
                  <c:v>6453</c:v>
                </c:pt>
                <c:pt idx="6">
                  <c:v>7292</c:v>
                </c:pt>
                <c:pt idx="7">
                  <c:v>8481</c:v>
                </c:pt>
                <c:pt idx="8">
                  <c:v>9509</c:v>
                </c:pt>
                <c:pt idx="9">
                  <c:v>10446</c:v>
                </c:pt>
                <c:pt idx="10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E-A647-9B36-7BADAC322A8C}"/>
            </c:ext>
          </c:extLst>
        </c:ser>
        <c:ser>
          <c:idx val="1"/>
          <c:order val="1"/>
          <c:tx>
            <c:v>Aj lin (6)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(v)'!$S$70:$S$80</c:f>
              <c:numCache>
                <c:formatCode>General</c:formatCode>
                <c:ptCount val="11"/>
                <c:pt idx="0">
                  <c:v>1450.454545454545</c:v>
                </c:pt>
                <c:pt idx="1">
                  <c:v>2448.3454545454542</c:v>
                </c:pt>
                <c:pt idx="2">
                  <c:v>3446.2363636363634</c:v>
                </c:pt>
                <c:pt idx="3">
                  <c:v>4444.1272727272726</c:v>
                </c:pt>
                <c:pt idx="4">
                  <c:v>5442.0181818181818</c:v>
                </c:pt>
                <c:pt idx="5">
                  <c:v>6439.909090909091</c:v>
                </c:pt>
                <c:pt idx="6">
                  <c:v>7437.8</c:v>
                </c:pt>
                <c:pt idx="7">
                  <c:v>8435.6909090909103</c:v>
                </c:pt>
                <c:pt idx="8">
                  <c:v>9433.5818181818177</c:v>
                </c:pt>
                <c:pt idx="9">
                  <c:v>10431.472727272729</c:v>
                </c:pt>
                <c:pt idx="10">
                  <c:v>11429.363636363636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EE-A647-9B36-7BADAC32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18031"/>
        <c:axId val="157901183"/>
      </c:scatterChart>
      <c:valAx>
        <c:axId val="15731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901183"/>
        <c:crosses val="autoZero"/>
        <c:crossBetween val="midCat"/>
      </c:valAx>
      <c:valAx>
        <c:axId val="1579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31803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527264759145631"/>
          <c:y val="8.4516283261734049E-2"/>
          <c:w val="0.2690858189449461"/>
          <c:h val="0.20473499338487355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28449284187577"/>
          <c:y val="6.3165167191008398E-2"/>
          <c:w val="0.79157597448058348"/>
          <c:h val="0.7565554772835994"/>
        </c:manualLayout>
      </c:layout>
      <c:scatterChart>
        <c:scatterStyle val="lineMarker"/>
        <c:varyColors val="0"/>
        <c:ser>
          <c:idx val="0"/>
          <c:order val="0"/>
          <c:tx>
            <c:v>Res. de f - 7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(v)'!$Q$86:$Q$96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(v)'!$T$86:$T$96</c:f>
              <c:numCache>
                <c:formatCode>General</c:formatCode>
                <c:ptCount val="11"/>
                <c:pt idx="0">
                  <c:v>15.409090909091219</c:v>
                </c:pt>
                <c:pt idx="1">
                  <c:v>2.3636363636364877</c:v>
                </c:pt>
                <c:pt idx="2">
                  <c:v>-7.6818181818180165</c:v>
                </c:pt>
                <c:pt idx="3">
                  <c:v>-2.7272727272729753</c:v>
                </c:pt>
                <c:pt idx="4">
                  <c:v>-7.7727272727279342</c:v>
                </c:pt>
                <c:pt idx="5">
                  <c:v>0.18181818181801646</c:v>
                </c:pt>
                <c:pt idx="6">
                  <c:v>1.1363636363630576</c:v>
                </c:pt>
                <c:pt idx="7">
                  <c:v>-32.909090909091901</c:v>
                </c:pt>
                <c:pt idx="8">
                  <c:v>5.0454545454540494</c:v>
                </c:pt>
                <c:pt idx="9">
                  <c:v>34.999999999998181</c:v>
                </c:pt>
                <c:pt idx="10">
                  <c:v>-8.0454545454558684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1-D24C-84BF-D9F3B53A8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2815"/>
        <c:axId val="126125727"/>
      </c:scatterChart>
      <c:valAx>
        <c:axId val="17533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125727"/>
        <c:crossesAt val="-90"/>
        <c:crossBetween val="midCat"/>
      </c:valAx>
      <c:valAx>
        <c:axId val="12612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533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72806335548103"/>
          <c:y val="8.9798983750681585E-2"/>
          <c:w val="0.1919040925506576"/>
          <c:h val="9.605529146512430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6978007059461"/>
          <c:y val="6.3680737511373195E-2"/>
          <c:w val="0.80423431984795002"/>
          <c:h val="0.75456842055360751"/>
        </c:manualLayout>
      </c:layout>
      <c:scatterChart>
        <c:scatterStyle val="lineMarker"/>
        <c:varyColors val="0"/>
        <c:ser>
          <c:idx val="0"/>
          <c:order val="0"/>
          <c:tx>
            <c:v>Dados Exp. (7)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(v)'!$Q$86:$Q$96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(v)'!$R$86:$R$96</c:f>
              <c:numCache>
                <c:formatCode>General</c:formatCode>
                <c:ptCount val="11"/>
                <c:pt idx="0">
                  <c:v>1376</c:v>
                </c:pt>
                <c:pt idx="1">
                  <c:v>2324</c:v>
                </c:pt>
                <c:pt idx="2">
                  <c:v>3269</c:v>
                </c:pt>
                <c:pt idx="3">
                  <c:v>4199</c:v>
                </c:pt>
                <c:pt idx="4">
                  <c:v>5139</c:v>
                </c:pt>
                <c:pt idx="5">
                  <c:v>6066</c:v>
                </c:pt>
                <c:pt idx="6">
                  <c:v>7000</c:v>
                </c:pt>
                <c:pt idx="7">
                  <c:v>7969</c:v>
                </c:pt>
                <c:pt idx="8">
                  <c:v>8866</c:v>
                </c:pt>
                <c:pt idx="9">
                  <c:v>9771</c:v>
                </c:pt>
                <c:pt idx="10">
                  <c:v>10749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E-CA46-8E57-666D4B9E87D4}"/>
            </c:ext>
          </c:extLst>
        </c:ser>
        <c:ser>
          <c:idx val="1"/>
          <c:order val="1"/>
          <c:tx>
            <c:v>Aj lin (7)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(v)'!$Q$86:$Q$96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(v)'!$S$86:$S$96</c:f>
              <c:numCache>
                <c:formatCode>General</c:formatCode>
                <c:ptCount val="11"/>
                <c:pt idx="0">
                  <c:v>1391.4090909090912</c:v>
                </c:pt>
                <c:pt idx="1">
                  <c:v>2326.3636363636365</c:v>
                </c:pt>
                <c:pt idx="2">
                  <c:v>3261.318181818182</c:v>
                </c:pt>
                <c:pt idx="3">
                  <c:v>4196.272727272727</c:v>
                </c:pt>
                <c:pt idx="4">
                  <c:v>5131.2272727272721</c:v>
                </c:pt>
                <c:pt idx="5">
                  <c:v>6066.181818181818</c:v>
                </c:pt>
                <c:pt idx="6">
                  <c:v>7001.1363636363631</c:v>
                </c:pt>
                <c:pt idx="7">
                  <c:v>7936.0909090909081</c:v>
                </c:pt>
                <c:pt idx="8">
                  <c:v>8871.045454545454</c:v>
                </c:pt>
                <c:pt idx="9">
                  <c:v>9805.9999999999982</c:v>
                </c:pt>
                <c:pt idx="10">
                  <c:v>10740.954545454544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8E-CA46-8E57-666D4B9E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61695"/>
        <c:axId val="450294367"/>
      </c:scatterChart>
      <c:valAx>
        <c:axId val="13316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0294367"/>
        <c:crosses val="autoZero"/>
        <c:crossBetween val="midCat"/>
      </c:valAx>
      <c:valAx>
        <c:axId val="45029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16169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298308794142223"/>
          <c:y val="0.5874045999452322"/>
          <c:w val="0.28095174805871398"/>
          <c:h val="0.1926922430067084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9940945892393"/>
          <c:y val="5.9067519629274153E-2"/>
          <c:w val="0.79868986532131714"/>
          <c:h val="0.78317369344904364"/>
        </c:manualLayout>
      </c:layout>
      <c:scatterChart>
        <c:scatterStyle val="lineMarker"/>
        <c:varyColors val="0"/>
        <c:ser>
          <c:idx val="0"/>
          <c:order val="0"/>
          <c:tx>
            <c:v>Dados Exp (8)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(v)'!$R$102:$R$114</c:f>
              <c:numCache>
                <c:formatCode>General</c:formatCode>
                <c:ptCount val="13"/>
                <c:pt idx="0">
                  <c:v>1149</c:v>
                </c:pt>
                <c:pt idx="1">
                  <c:v>1930</c:v>
                </c:pt>
                <c:pt idx="2">
                  <c:v>2697</c:v>
                </c:pt>
                <c:pt idx="3">
                  <c:v>3476</c:v>
                </c:pt>
                <c:pt idx="4">
                  <c:v>4216</c:v>
                </c:pt>
                <c:pt idx="5">
                  <c:v>5023</c:v>
                </c:pt>
                <c:pt idx="6">
                  <c:v>5813</c:v>
                </c:pt>
                <c:pt idx="7">
                  <c:v>6593</c:v>
                </c:pt>
                <c:pt idx="8">
                  <c:v>7267</c:v>
                </c:pt>
                <c:pt idx="9">
                  <c:v>8081</c:v>
                </c:pt>
                <c:pt idx="10">
                  <c:v>8755</c:v>
                </c:pt>
                <c:pt idx="11">
                  <c:v>9645</c:v>
                </c:pt>
                <c:pt idx="12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5-7C46-98A2-40C8488AE7DA}"/>
            </c:ext>
          </c:extLst>
        </c:ser>
        <c:ser>
          <c:idx val="1"/>
          <c:order val="1"/>
          <c:tx>
            <c:v>Aj. lin (8)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(v)'!$S$102:$S$114</c:f>
              <c:numCache>
                <c:formatCode>General</c:formatCode>
                <c:ptCount val="13"/>
                <c:pt idx="0">
                  <c:v>1162.2087912087904</c:v>
                </c:pt>
                <c:pt idx="1">
                  <c:v>1930.8021978021973</c:v>
                </c:pt>
                <c:pt idx="2">
                  <c:v>2699.3956043956041</c:v>
                </c:pt>
                <c:pt idx="3">
                  <c:v>3467.9890109890107</c:v>
                </c:pt>
                <c:pt idx="4">
                  <c:v>4236.5824175824173</c:v>
                </c:pt>
                <c:pt idx="5">
                  <c:v>5005.1758241758243</c:v>
                </c:pt>
                <c:pt idx="6">
                  <c:v>5773.7692307692305</c:v>
                </c:pt>
                <c:pt idx="7">
                  <c:v>6542.3626373626375</c:v>
                </c:pt>
                <c:pt idx="8">
                  <c:v>7310.9560439560446</c:v>
                </c:pt>
                <c:pt idx="9">
                  <c:v>8079.5494505494507</c:v>
                </c:pt>
                <c:pt idx="10">
                  <c:v>8848.1428571428587</c:v>
                </c:pt>
                <c:pt idx="11">
                  <c:v>9616.7362637362639</c:v>
                </c:pt>
                <c:pt idx="12">
                  <c:v>10385.329670329673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A5-7C46-98A2-40C8488AE7DA}"/>
            </c:ext>
          </c:extLst>
        </c:ser>
        <c:ser>
          <c:idx val="2"/>
          <c:order val="2"/>
          <c:tx>
            <c:v>Ptos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(v)'!$Q$112:$Q$114</c:f>
              <c:numCache>
                <c:formatCode>General</c:formatCode>
                <c:ptCount val="3"/>
                <c:pt idx="0">
                  <c:v>11</c:v>
                </c:pt>
                <c:pt idx="1">
                  <c:v>12</c:v>
                </c:pt>
                <c:pt idx="2">
                  <c:v>13</c:v>
                </c:pt>
              </c:numCache>
            </c:numRef>
          </c:xVal>
          <c:yVal>
            <c:numRef>
              <c:f>'1ª Parte (v)'!$R$112:$R$114</c:f>
              <c:numCache>
                <c:formatCode>General</c:formatCode>
                <c:ptCount val="3"/>
                <c:pt idx="0">
                  <c:v>8755</c:v>
                </c:pt>
                <c:pt idx="1">
                  <c:v>9645</c:v>
                </c:pt>
                <c:pt idx="2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A5-7C46-98A2-40C8488AE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171727"/>
        <c:axId val="121496975"/>
      </c:scatterChart>
      <c:valAx>
        <c:axId val="56917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496975"/>
        <c:crosses val="autoZero"/>
        <c:crossBetween val="midCat"/>
      </c:valAx>
      <c:valAx>
        <c:axId val="1214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917172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37963649918474"/>
          <c:y val="7.4148129669484031E-2"/>
          <c:w val="0.26748319886071981"/>
          <c:h val="0.2395494463212816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97578543976335"/>
          <c:y val="5.6685960993404221E-2"/>
          <c:w val="0.7735925513666051"/>
          <c:h val="0.7712204118151883"/>
        </c:manualLayout>
      </c:layout>
      <c:scatterChart>
        <c:scatterStyle val="lineMarker"/>
        <c:varyColors val="0"/>
        <c:ser>
          <c:idx val="0"/>
          <c:order val="0"/>
          <c:tx>
            <c:v>Res. de f - 8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(v)'!$T$102:$T$114</c:f>
              <c:numCache>
                <c:formatCode>0.00000</c:formatCode>
                <c:ptCount val="13"/>
                <c:pt idx="0">
                  <c:v>13.208791208790444</c:v>
                </c:pt>
                <c:pt idx="1">
                  <c:v>0.80219780219726999</c:v>
                </c:pt>
                <c:pt idx="2">
                  <c:v>2.3956043956040958</c:v>
                </c:pt>
                <c:pt idx="3">
                  <c:v>-8.0109890109893058</c:v>
                </c:pt>
                <c:pt idx="4">
                  <c:v>20.582417582417293</c:v>
                </c:pt>
                <c:pt idx="5">
                  <c:v>-17.824175824175654</c:v>
                </c:pt>
                <c:pt idx="6">
                  <c:v>-39.230769230769511</c:v>
                </c:pt>
                <c:pt idx="7">
                  <c:v>-50.637362637362457</c:v>
                </c:pt>
                <c:pt idx="8">
                  <c:v>43.956043956044596</c:v>
                </c:pt>
                <c:pt idx="9">
                  <c:v>-1.4505494505492607</c:v>
                </c:pt>
                <c:pt idx="10">
                  <c:v>93.142857142858702</c:v>
                </c:pt>
                <c:pt idx="11">
                  <c:v>-28.263736263736064</c:v>
                </c:pt>
                <c:pt idx="12">
                  <c:v>-28.670329670327192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5-FF4A-A6A9-EEAECCE69A7F}"/>
            </c:ext>
          </c:extLst>
        </c:ser>
        <c:ser>
          <c:idx val="1"/>
          <c:order val="1"/>
          <c:tx>
            <c:v>Ptos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(v)'!$Q$112:$Q$114</c:f>
              <c:numCache>
                <c:formatCode>General</c:formatCode>
                <c:ptCount val="3"/>
                <c:pt idx="0">
                  <c:v>11</c:v>
                </c:pt>
                <c:pt idx="1">
                  <c:v>12</c:v>
                </c:pt>
                <c:pt idx="2">
                  <c:v>13</c:v>
                </c:pt>
              </c:numCache>
            </c:numRef>
          </c:xVal>
          <c:yVal>
            <c:numRef>
              <c:f>'1ª Parte (v)'!$T$112:$T$114</c:f>
              <c:numCache>
                <c:formatCode>0.00000</c:formatCode>
                <c:ptCount val="3"/>
                <c:pt idx="0">
                  <c:v>93.142857142858702</c:v>
                </c:pt>
                <c:pt idx="1">
                  <c:v>-28.263736263736064</c:v>
                </c:pt>
                <c:pt idx="2">
                  <c:v>-28.670329670327192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75-FF4A-A6A9-EEAECCE69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65471"/>
        <c:axId val="138560175"/>
      </c:scatterChart>
      <c:valAx>
        <c:axId val="18336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8560175"/>
        <c:crossesAt val="-99990"/>
        <c:crossBetween val="midCat"/>
      </c:valAx>
      <c:valAx>
        <c:axId val="138560175"/>
        <c:scaling>
          <c:orientation val="minMax"/>
          <c:max val="20"/>
          <c:min val="-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365471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05420404410975"/>
          <c:y val="0.62434696515050991"/>
          <c:w val="0.22809550859229796"/>
          <c:h val="0.17241040777799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332974053485378"/>
          <c:h val="0.78979475312098568"/>
        </c:manualLayout>
      </c:layout>
      <c:scatterChart>
        <c:scatterStyle val="lineMarker"/>
        <c:varyColors val="0"/>
        <c:ser>
          <c:idx val="0"/>
          <c:order val="0"/>
          <c:tx>
            <c:v>Res. de f - 9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(v)'!$T$120:$T$133</c:f>
              <c:numCache>
                <c:formatCode>0.0</c:formatCode>
                <c:ptCount val="14"/>
                <c:pt idx="0" formatCode="0">
                  <c:v>-2.2727272727265699</c:v>
                </c:pt>
                <c:pt idx="1">
                  <c:v>0.41818181818234734</c:v>
                </c:pt>
                <c:pt idx="2" formatCode="0">
                  <c:v>-0.89090909090873538</c:v>
                </c:pt>
                <c:pt idx="3" formatCode="0">
                  <c:v>-1.1999999999998181</c:v>
                </c:pt>
                <c:pt idx="4" formatCode="0">
                  <c:v>5.4909090909090992</c:v>
                </c:pt>
                <c:pt idx="5" formatCode="0">
                  <c:v>-0.81818181818198354</c:v>
                </c:pt>
                <c:pt idx="6" formatCode="0">
                  <c:v>11.872727272727388</c:v>
                </c:pt>
                <c:pt idx="7" formatCode="0">
                  <c:v>-43.436363636364149</c:v>
                </c:pt>
                <c:pt idx="8" formatCode="0">
                  <c:v>50.254545454544314</c:v>
                </c:pt>
                <c:pt idx="9" formatCode="0">
                  <c:v>-12.054545454546314</c:v>
                </c:pt>
                <c:pt idx="10" formatCode="0">
                  <c:v>-7.3636363636369424</c:v>
                </c:pt>
                <c:pt idx="11" formatCode="0">
                  <c:v>8163.3272727272715</c:v>
                </c:pt>
                <c:pt idx="12" formatCode="0">
                  <c:v>8818.0181818181809</c:v>
                </c:pt>
                <c:pt idx="13" formatCode="0">
                  <c:v>9472.7090909090912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1-874A-85B7-143591490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48959"/>
        <c:axId val="219104575"/>
      </c:scatterChart>
      <c:valAx>
        <c:axId val="206548959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9104575"/>
        <c:crossesAt val="-9990"/>
        <c:crossBetween val="midCat"/>
        <c:majorUnit val="2"/>
      </c:valAx>
      <c:valAx>
        <c:axId val="219104575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5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31299212598426"/>
          <c:y val="8.5948527267424912E-2"/>
          <c:w val="0.18557502855698535"/>
          <c:h val="8.163924743986664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870816279891"/>
          <c:y val="5.0925925925925923E-2"/>
          <c:w val="0.805176282384227"/>
          <c:h val="0.7944674103237094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(v)'!$Q$120:$Q$130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(v)'!$R$120:$R$130</c:f>
              <c:numCache>
                <c:formatCode>General</c:formatCode>
                <c:ptCount val="11"/>
                <c:pt idx="0">
                  <c:v>964</c:v>
                </c:pt>
                <c:pt idx="1">
                  <c:v>1616</c:v>
                </c:pt>
                <c:pt idx="2">
                  <c:v>2272</c:v>
                </c:pt>
                <c:pt idx="3">
                  <c:v>2927</c:v>
                </c:pt>
                <c:pt idx="4">
                  <c:v>3575</c:v>
                </c:pt>
                <c:pt idx="5">
                  <c:v>4236</c:v>
                </c:pt>
                <c:pt idx="6">
                  <c:v>4878</c:v>
                </c:pt>
                <c:pt idx="7">
                  <c:v>5588</c:v>
                </c:pt>
                <c:pt idx="8">
                  <c:v>6149</c:v>
                </c:pt>
                <c:pt idx="9">
                  <c:v>6866</c:v>
                </c:pt>
                <c:pt idx="10">
                  <c:v>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E-9349-8EA7-E4006A4A5FDB}"/>
            </c:ext>
          </c:extLst>
        </c:ser>
        <c:ser>
          <c:idx val="1"/>
          <c:order val="1"/>
          <c:tx>
            <c:v>Aj lin (9)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(v)'!$S$120:$S$133</c:f>
              <c:numCache>
                <c:formatCode>0.0</c:formatCode>
                <c:ptCount val="14"/>
                <c:pt idx="0" formatCode="0">
                  <c:v>961.72727272727343</c:v>
                </c:pt>
                <c:pt idx="1">
                  <c:v>1616.4181818181823</c:v>
                </c:pt>
                <c:pt idx="2" formatCode="0">
                  <c:v>2271.1090909090913</c:v>
                </c:pt>
                <c:pt idx="3" formatCode="0">
                  <c:v>2925.8</c:v>
                </c:pt>
                <c:pt idx="4" formatCode="0">
                  <c:v>3580.4909090909091</c:v>
                </c:pt>
                <c:pt idx="5" formatCode="0">
                  <c:v>4235.181818181818</c:v>
                </c:pt>
                <c:pt idx="6" formatCode="0">
                  <c:v>4889.8727272727274</c:v>
                </c:pt>
                <c:pt idx="7" formatCode="0">
                  <c:v>5544.5636363636359</c:v>
                </c:pt>
                <c:pt idx="8" formatCode="0">
                  <c:v>6199.2545454545443</c:v>
                </c:pt>
                <c:pt idx="9" formatCode="0">
                  <c:v>6853.9454545454537</c:v>
                </c:pt>
                <c:pt idx="10" formatCode="0">
                  <c:v>7508.6363636363631</c:v>
                </c:pt>
                <c:pt idx="11" formatCode="0">
                  <c:v>8163.3272727272715</c:v>
                </c:pt>
                <c:pt idx="12" formatCode="0">
                  <c:v>8818.0181818181809</c:v>
                </c:pt>
                <c:pt idx="13" formatCode="0">
                  <c:v>9472.7090909090912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DE-9349-8EA7-E4006A4A5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58511"/>
        <c:axId val="177046543"/>
      </c:scatterChart>
      <c:valAx>
        <c:axId val="21785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046543"/>
        <c:crosses val="autoZero"/>
        <c:crossBetween val="midCat"/>
        <c:majorUnit val="2"/>
      </c:valAx>
      <c:valAx>
        <c:axId val="177046543"/>
        <c:scaling>
          <c:orientation val="minMax"/>
          <c:max val="11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785851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95119772297594"/>
          <c:y val="0.64856885492863692"/>
          <c:w val="0.27090150123522638"/>
          <c:h val="0.1638574709514198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56144105216939"/>
          <c:y val="3.5818571882515082E-2"/>
          <c:w val="0.78531589320870632"/>
          <c:h val="0.80221186967545599"/>
        </c:manualLayout>
      </c:layout>
      <c:scatterChart>
        <c:scatterStyle val="lineMarker"/>
        <c:varyColors val="0"/>
        <c:ser>
          <c:idx val="0"/>
          <c:order val="0"/>
          <c:tx>
            <c:v>Variação temp.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5.00000000000000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'1ª Parte (v)'!$B$15:$B$23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(v)'!$C$15:$C$23</c:f>
              <c:numCache>
                <c:formatCode>0.0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DF-4B43-A779-77DA8591B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693263"/>
        <c:axId val="286022879"/>
      </c:scatterChart>
      <c:valAx>
        <c:axId val="26869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tubo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6022879"/>
        <c:crosses val="autoZero"/>
        <c:crossBetween val="midCat"/>
      </c:valAx>
      <c:valAx>
        <c:axId val="286022879"/>
        <c:scaling>
          <c:orientation val="minMax"/>
          <c:max val="21.5"/>
          <c:min val="2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T(</a:t>
                </a:r>
                <a:r>
                  <a:rPr lang="pt-PT" sz="1000" b="0" i="0" u="none" strike="noStrike" baseline="0">
                    <a:effectLst/>
                  </a:rPr>
                  <a:t>°</a:t>
                </a:r>
                <a:r>
                  <a:rPr lang="pt-PT" sz="1000" b="0" i="0" u="none" strike="noStrike" baseline="0"/>
                  <a:t>C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8693263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255165164523344"/>
          <c:y val="0.70787819013483722"/>
          <c:w val="0.24846942924845278"/>
          <c:h val="9.757683791146983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8072707932004"/>
          <c:y val="5.0940205970542198E-2"/>
          <c:w val="0.81124355355017641"/>
          <c:h val="0.78514792167970682"/>
        </c:manualLayout>
      </c:layout>
      <c:scatterChart>
        <c:scatterStyle val="lineMarker"/>
        <c:varyColors val="0"/>
        <c:ser>
          <c:idx val="4"/>
          <c:order val="0"/>
          <c:tx>
            <c:v>v(média)</c:v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(v)'!$B$30:$B$37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'1ª Parte (v)'!$N$30:$N$37</c:f>
              <c:numCache>
                <c:formatCode>0.0</c:formatCode>
                <c:ptCount val="8"/>
                <c:pt idx="0">
                  <c:v>34.53951974415493</c:v>
                </c:pt>
                <c:pt idx="1">
                  <c:v>34.53951974415493</c:v>
                </c:pt>
                <c:pt idx="2">
                  <c:v>34.53951974415493</c:v>
                </c:pt>
                <c:pt idx="3">
                  <c:v>34.53951974415493</c:v>
                </c:pt>
                <c:pt idx="4">
                  <c:v>34.53951974415493</c:v>
                </c:pt>
                <c:pt idx="5">
                  <c:v>34.53951974415493</c:v>
                </c:pt>
                <c:pt idx="6">
                  <c:v>34.53951974415493</c:v>
                </c:pt>
                <c:pt idx="7">
                  <c:v>34.53951974415493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8E-3B45-9BCD-E0D77E27A6DA}"/>
            </c:ext>
          </c:extLst>
        </c:ser>
        <c:ser>
          <c:idx val="1"/>
          <c:order val="1"/>
          <c:tx>
            <c:v>v (Δy méd.)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(v)'!$B$30:$B$37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'1ª Parte (v)'!$J$30:$J$37</c:f>
              <c:numCache>
                <c:formatCode>0.00E+00</c:formatCode>
                <c:ptCount val="8"/>
                <c:pt idx="0">
                  <c:v>30.674663368434651</c:v>
                </c:pt>
                <c:pt idx="1">
                  <c:v>30.674663368434651</c:v>
                </c:pt>
                <c:pt idx="2">
                  <c:v>30.674663368434651</c:v>
                </c:pt>
                <c:pt idx="3">
                  <c:v>30.674663368434651</c:v>
                </c:pt>
                <c:pt idx="4">
                  <c:v>30.674663368434651</c:v>
                </c:pt>
                <c:pt idx="5">
                  <c:v>30.674663368434651</c:v>
                </c:pt>
                <c:pt idx="6">
                  <c:v>30.674663368434651</c:v>
                </c:pt>
                <c:pt idx="7">
                  <c:v>30.674663368434651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B5-2F41-89ED-E6683CC9873E}"/>
            </c:ext>
          </c:extLst>
        </c:ser>
        <c:ser>
          <c:idx val="2"/>
          <c:order val="2"/>
          <c:tx>
            <c:v>v (ref)</c:v>
          </c:tx>
          <c:spPr>
            <a:ln w="158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(v)'!$B$30:$B$37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'1ª Parte (v)'!$L$30:$L$37</c:f>
              <c:numCache>
                <c:formatCode>0.0E+00</c:formatCode>
                <c:ptCount val="8"/>
                <c:pt idx="0">
                  <c:v>331.81807999999995</c:v>
                </c:pt>
                <c:pt idx="1">
                  <c:v>331.81807999999995</c:v>
                </c:pt>
                <c:pt idx="2">
                  <c:v>331.81807999999995</c:v>
                </c:pt>
                <c:pt idx="3">
                  <c:v>331.81807999999995</c:v>
                </c:pt>
                <c:pt idx="4">
                  <c:v>331.81807999999995</c:v>
                </c:pt>
                <c:pt idx="5">
                  <c:v>331.81807999999995</c:v>
                </c:pt>
                <c:pt idx="6">
                  <c:v>331.81807999999995</c:v>
                </c:pt>
                <c:pt idx="7">
                  <c:v>331.81807999999995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79-7849-8339-DF22DA5B0C6F}"/>
            </c:ext>
          </c:extLst>
        </c:ser>
        <c:ser>
          <c:idx val="5"/>
          <c:order val="3"/>
          <c:tx>
            <c:v>v(acrílico)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(v)'!$B$30:$B$37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'1ª Parte (v)'!$P$30:$P$37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8E-3B45-9BCD-E0D77E27A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170304"/>
        <c:axId val="2091082528"/>
      </c:scatterChart>
      <c:valAx>
        <c:axId val="2075170304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tubo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1082528"/>
        <c:crosses val="autoZero"/>
        <c:crossBetween val="midCat"/>
        <c:majorUnit val="1"/>
      </c:valAx>
      <c:valAx>
        <c:axId val="2091082528"/>
        <c:scaling>
          <c:orientation val="minMax"/>
          <c:min val="34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 (ms</a:t>
                </a:r>
                <a:r>
                  <a:rPr lang="pt-PT" baseline="30000"/>
                  <a:t>-1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517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58921196164738"/>
          <c:y val="0.64880513057159561"/>
          <c:w val="0.21102072645260037"/>
          <c:h val="0.1761710090115009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39548193257"/>
          <c:y val="5.1912957169394917E-2"/>
          <c:w val="0.82136634494297778"/>
          <c:h val="0.81842969481349759"/>
        </c:manualLayout>
      </c:layout>
      <c:scatterChart>
        <c:scatterStyle val="lineMarker"/>
        <c:varyColors val="0"/>
        <c:ser>
          <c:idx val="0"/>
          <c:order val="0"/>
          <c:tx>
            <c:v>v (ref)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'1ª Parte (v)'!$D$29:$D$37</c:f>
                <c:numCache>
                  <c:formatCode>General</c:formatCode>
                  <c:ptCount val="9"/>
                  <c:pt idx="0">
                    <c:v>6.0701594707223305E-2</c:v>
                  </c:pt>
                  <c:pt idx="1">
                    <c:v>6.0701594707223305E-2</c:v>
                  </c:pt>
                  <c:pt idx="2">
                    <c:v>6.0701594707223305E-2</c:v>
                  </c:pt>
                  <c:pt idx="3">
                    <c:v>6.0701594707223305E-2</c:v>
                  </c:pt>
                  <c:pt idx="4">
                    <c:v>6.0701594707223305E-2</c:v>
                  </c:pt>
                  <c:pt idx="5">
                    <c:v>6.0701594707223305E-2</c:v>
                  </c:pt>
                  <c:pt idx="6">
                    <c:v>6.0701594707223305E-2</c:v>
                  </c:pt>
                  <c:pt idx="7">
                    <c:v>6.0701594707223305E-2</c:v>
                  </c:pt>
                  <c:pt idx="8">
                    <c:v>6.0701594707223305E-2</c:v>
                  </c:pt>
                </c:numCache>
              </c:numRef>
            </c:plus>
            <c:minus>
              <c:numRef>
                <c:f>'1ª Parte (v)'!$D$29:$D$37</c:f>
                <c:numCache>
                  <c:formatCode>General</c:formatCode>
                  <c:ptCount val="9"/>
                  <c:pt idx="0">
                    <c:v>6.0701594707223305E-2</c:v>
                  </c:pt>
                  <c:pt idx="1">
                    <c:v>6.0701594707223305E-2</c:v>
                  </c:pt>
                  <c:pt idx="2">
                    <c:v>6.0701594707223305E-2</c:v>
                  </c:pt>
                  <c:pt idx="3">
                    <c:v>6.0701594707223305E-2</c:v>
                  </c:pt>
                  <c:pt idx="4">
                    <c:v>6.0701594707223305E-2</c:v>
                  </c:pt>
                  <c:pt idx="5">
                    <c:v>6.0701594707223305E-2</c:v>
                  </c:pt>
                  <c:pt idx="6">
                    <c:v>6.0701594707223305E-2</c:v>
                  </c:pt>
                  <c:pt idx="7">
                    <c:v>6.0701594707223305E-2</c:v>
                  </c:pt>
                  <c:pt idx="8">
                    <c:v>6.0701594707223305E-2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'1ª Parte (v)'!$B$29:$B$37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(v)'!$C$29:$C$37</c:f>
              <c:numCache>
                <c:formatCode>0.00</c:formatCode>
                <c:ptCount val="9"/>
                <c:pt idx="0">
                  <c:v>331.81807999999995</c:v>
                </c:pt>
                <c:pt idx="1">
                  <c:v>331.81807999999995</c:v>
                </c:pt>
                <c:pt idx="2">
                  <c:v>331.81807999999995</c:v>
                </c:pt>
                <c:pt idx="3">
                  <c:v>331.81807999999995</c:v>
                </c:pt>
                <c:pt idx="4">
                  <c:v>331.81807999999995</c:v>
                </c:pt>
                <c:pt idx="5">
                  <c:v>331.81807999999995</c:v>
                </c:pt>
                <c:pt idx="6">
                  <c:v>331.81807999999995</c:v>
                </c:pt>
                <c:pt idx="7">
                  <c:v>331.81807999999995</c:v>
                </c:pt>
                <c:pt idx="8">
                  <c:v>331.81807999999995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69-E24D-8BE5-0DBF00F44002}"/>
            </c:ext>
          </c:extLst>
        </c:ser>
        <c:ser>
          <c:idx val="1"/>
          <c:order val="1"/>
          <c:tx>
            <c:v>v(ref media)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(v)'!$B$29:$B$37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(v)'!$L$29:$L$37</c:f>
              <c:numCache>
                <c:formatCode>0.0E+00</c:formatCode>
                <c:ptCount val="9"/>
                <c:pt idx="0">
                  <c:v>331.81807999999995</c:v>
                </c:pt>
                <c:pt idx="1">
                  <c:v>331.81807999999995</c:v>
                </c:pt>
                <c:pt idx="2">
                  <c:v>331.81807999999995</c:v>
                </c:pt>
                <c:pt idx="3">
                  <c:v>331.81807999999995</c:v>
                </c:pt>
                <c:pt idx="4">
                  <c:v>331.81807999999995</c:v>
                </c:pt>
                <c:pt idx="5">
                  <c:v>331.81807999999995</c:v>
                </c:pt>
                <c:pt idx="6">
                  <c:v>331.81807999999995</c:v>
                </c:pt>
                <c:pt idx="7">
                  <c:v>331.81807999999995</c:v>
                </c:pt>
                <c:pt idx="8">
                  <c:v>331.81807999999995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69-E24D-8BE5-0DBF00F44002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'1ª Parte (v)'!$B$30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'1ª Parte (v)'!$C$30</c:f>
              <c:numCache>
                <c:formatCode>0.00</c:formatCode>
                <c:ptCount val="1"/>
                <c:pt idx="0">
                  <c:v>331.81807999999995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69-E24D-8BE5-0DBF00F44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95775"/>
        <c:axId val="1772465903"/>
      </c:scatterChart>
      <c:valAx>
        <c:axId val="182139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tubo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2465903"/>
        <c:crosses val="autoZero"/>
        <c:crossBetween val="midCat"/>
      </c:valAx>
      <c:valAx>
        <c:axId val="1772465903"/>
        <c:scaling>
          <c:orientation val="minMax"/>
          <c:min val="34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v</a:t>
                </a:r>
                <a:r>
                  <a:rPr lang="pt-PT" sz="1000" b="0" i="0" baseline="-25000">
                    <a:effectLst/>
                  </a:rPr>
                  <a:t>ref</a:t>
                </a:r>
                <a:r>
                  <a:rPr lang="pt-PT" sz="1000" b="0" i="0" baseline="0">
                    <a:effectLst/>
                  </a:rPr>
                  <a:t> (ms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21395775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75168423023519"/>
          <c:y val="0.69210751713581331"/>
          <c:w val="0.19833848838917556"/>
          <c:h val="0.1651868810717628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69092637969499"/>
          <c:y val="6.6183845172440428E-2"/>
          <c:w val="0.63967354533152909"/>
          <c:h val="0.70280421473128274"/>
        </c:manualLayout>
      </c:layout>
      <c:scatterChart>
        <c:scatterStyle val="lineMarker"/>
        <c:varyColors val="0"/>
        <c:ser>
          <c:idx val="0"/>
          <c:order val="0"/>
          <c:tx>
            <c:v>Res. de l (n=1)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Δy!$K$5:$K$10</c:f>
              <c:numCache>
                <c:formatCode>General</c:formatCode>
                <c:ptCount val="6"/>
                <c:pt idx="0">
                  <c:v>16.863406408094434</c:v>
                </c:pt>
                <c:pt idx="1">
                  <c:v>18.050541516245488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</c:numCache>
            </c:numRef>
          </c:xVal>
          <c:yVal>
            <c:numRef>
              <c:f>Δy!$N$5:$N$10</c:f>
              <c:numCache>
                <c:formatCode>0.0E+00</c:formatCode>
                <c:ptCount val="6"/>
                <c:pt idx="0">
                  <c:v>0.10187504486012888</c:v>
                </c:pt>
                <c:pt idx="1">
                  <c:v>-3.5469852822367143E-2</c:v>
                </c:pt>
                <c:pt idx="2">
                  <c:v>0.20670883697213305</c:v>
                </c:pt>
                <c:pt idx="3">
                  <c:v>9.2794529179381691E-2</c:v>
                </c:pt>
                <c:pt idx="4">
                  <c:v>-0.36590855818927626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B-6543-B2A4-C16FBAC5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85119"/>
        <c:axId val="4894623"/>
      </c:scatterChart>
      <c:valAx>
        <c:axId val="311285119"/>
        <c:scaling>
          <c:orientation val="minMax"/>
          <c:max val="10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894623"/>
        <c:crossesAt val="-90"/>
        <c:crossBetween val="midCat"/>
      </c:valAx>
      <c:valAx>
        <c:axId val="4894623"/>
        <c:scaling>
          <c:orientation val="minMax"/>
          <c:max val="6.0000000000000012E-2"/>
          <c:min val="-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128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679247137451477"/>
          <c:y val="0.61866658548797626"/>
          <c:w val="0.24125292467782208"/>
          <c:h val="9.734718338720509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3062886022143"/>
          <c:y val="5.2240977119424298E-2"/>
          <c:w val="0.79407264064548966"/>
          <c:h val="0.76537481498766324"/>
        </c:manualLayout>
      </c:layout>
      <c:scatterChart>
        <c:scatterStyle val="lineMarker"/>
        <c:varyColors val="0"/>
        <c:ser>
          <c:idx val="0"/>
          <c:order val="0"/>
          <c:tx>
            <c:v>Δy (Exp)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9AC-8240-9E43-A8BFAE95C0D8}"/>
              </c:ext>
            </c:extLst>
          </c:dPt>
          <c:dPt>
            <c:idx val="5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9AC-8240-9E43-A8BFAE95C0D8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Δy!$AF$6:$AO$6</c:f>
                <c:numCache>
                  <c:formatCode>General</c:formatCode>
                  <c:ptCount val="10"/>
                  <c:pt idx="0">
                    <c:v>2.9547149544582431E-3</c:v>
                  </c:pt>
                  <c:pt idx="1">
                    <c:v>1.0231930061265201E-2</c:v>
                  </c:pt>
                  <c:pt idx="2">
                    <c:v>4.2899999256917612E-3</c:v>
                  </c:pt>
                  <c:pt idx="3">
                    <c:v>4.0174800859874059E-3</c:v>
                  </c:pt>
                  <c:pt idx="4">
                    <c:v>3.5414860133685419E-3</c:v>
                  </c:pt>
                  <c:pt idx="5">
                    <c:v>2.6180397903728682E-3</c:v>
                  </c:pt>
                  <c:pt idx="6">
                    <c:v>2.718282420539106E-3</c:v>
                  </c:pt>
                  <c:pt idx="7">
                    <c:v>3.7584246849494602E-3</c:v>
                  </c:pt>
                  <c:pt idx="8">
                    <c:v>2.0409539115546537E-3</c:v>
                  </c:pt>
                </c:numCache>
              </c:numRef>
            </c:plus>
            <c:minus>
              <c:numRef>
                <c:f>Δy!$AF$6:$AO$6</c:f>
                <c:numCache>
                  <c:formatCode>General</c:formatCode>
                  <c:ptCount val="10"/>
                  <c:pt idx="0">
                    <c:v>2.9547149544582431E-3</c:v>
                  </c:pt>
                  <c:pt idx="1">
                    <c:v>1.0231930061265201E-2</c:v>
                  </c:pt>
                  <c:pt idx="2">
                    <c:v>4.2899999256917612E-3</c:v>
                  </c:pt>
                  <c:pt idx="3">
                    <c:v>4.0174800859874059E-3</c:v>
                  </c:pt>
                  <c:pt idx="4">
                    <c:v>3.5414860133685419E-3</c:v>
                  </c:pt>
                  <c:pt idx="5">
                    <c:v>2.6180397903728682E-3</c:v>
                  </c:pt>
                  <c:pt idx="6">
                    <c:v>2.718282420539106E-3</c:v>
                  </c:pt>
                  <c:pt idx="7">
                    <c:v>3.7584246849494602E-3</c:v>
                  </c:pt>
                  <c:pt idx="8">
                    <c:v>2.0409539115546537E-3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Δy!$AF$3:$AO$3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Δy!$AF$5:$AO$5</c:f>
              <c:numCache>
                <c:formatCode>General</c:formatCode>
                <c:ptCount val="10"/>
                <c:pt idx="0" formatCode="0.0000">
                  <c:v>-2.1842564119396845E-2</c:v>
                </c:pt>
                <c:pt idx="1">
                  <c:v>-2.3662389542940837E-2</c:v>
                </c:pt>
                <c:pt idx="2">
                  <c:v>-8.7974239543794873E-3</c:v>
                </c:pt>
                <c:pt idx="3">
                  <c:v>-4.8393186078960768E-3</c:v>
                </c:pt>
                <c:pt idx="4">
                  <c:v>-3.3246491582403317E-3</c:v>
                </c:pt>
                <c:pt idx="5">
                  <c:v>-6.9269496667136799E-3</c:v>
                </c:pt>
                <c:pt idx="6">
                  <c:v>-1.7321152239249415E-3</c:v>
                </c:pt>
                <c:pt idx="7">
                  <c:v>6.2948935055858815E-3</c:v>
                </c:pt>
                <c:pt idx="8">
                  <c:v>-1.0357708047699422E-3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F-B94C-81C4-1BA1ABE5C518}"/>
            </c:ext>
          </c:extLst>
        </c:ser>
        <c:ser>
          <c:idx val="2"/>
          <c:order val="1"/>
          <c:tx>
            <c:v>Δy (média)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Δy!$AF$3:$AN$3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Δy!$AF$1:$AN$1</c:f>
              <c:numCache>
                <c:formatCode>0.0000</c:formatCode>
                <c:ptCount val="9"/>
                <c:pt idx="0">
                  <c:v>-1.7190131271457641E-3</c:v>
                </c:pt>
                <c:pt idx="1">
                  <c:v>-1.7190131271457641E-3</c:v>
                </c:pt>
                <c:pt idx="2">
                  <c:v>-1.7190131271457641E-3</c:v>
                </c:pt>
                <c:pt idx="3">
                  <c:v>-1.7190131271457641E-3</c:v>
                </c:pt>
                <c:pt idx="4">
                  <c:v>-1.7190131271457641E-3</c:v>
                </c:pt>
                <c:pt idx="5">
                  <c:v>-1.7190131271457641E-3</c:v>
                </c:pt>
                <c:pt idx="6">
                  <c:v>-1.7190131271457641E-3</c:v>
                </c:pt>
                <c:pt idx="7">
                  <c:v>-1.7190131271457641E-3</c:v>
                </c:pt>
                <c:pt idx="8">
                  <c:v>-1.7190131271457641E-3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AC-8240-9E43-A8BFAE95C0D8}"/>
            </c:ext>
          </c:extLst>
        </c:ser>
        <c:ser>
          <c:idx val="1"/>
          <c:order val="2"/>
          <c:tx>
            <c:v>Δy (ref)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Δy!$AF$3:$AO$3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Δy!$AF$4:$AO$4</c:f>
              <c:numCache>
                <c:formatCode>0.000E+00</c:formatCode>
                <c:ptCount val="10"/>
                <c:pt idx="0">
                  <c:v>3.1394412499999996E-4</c:v>
                </c:pt>
                <c:pt idx="1">
                  <c:v>3.1394412499999996E-4</c:v>
                </c:pt>
                <c:pt idx="2">
                  <c:v>3.1394412499999996E-4</c:v>
                </c:pt>
                <c:pt idx="3">
                  <c:v>3.1394412499999996E-4</c:v>
                </c:pt>
                <c:pt idx="4">
                  <c:v>3.1394412499999996E-4</c:v>
                </c:pt>
                <c:pt idx="5">
                  <c:v>3.1394412499999996E-4</c:v>
                </c:pt>
                <c:pt idx="6">
                  <c:v>3.1394412499999996E-4</c:v>
                </c:pt>
                <c:pt idx="7">
                  <c:v>3.1394412499999996E-4</c:v>
                </c:pt>
                <c:pt idx="8">
                  <c:v>3.1394412499999996E-4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EF-B94C-81C4-1BA1ABE5C518}"/>
            </c:ext>
          </c:extLst>
        </c:ser>
        <c:ser>
          <c:idx val="3"/>
          <c:order val="3"/>
          <c:tx>
            <c:v>Ptos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Δy!$AF$3:$AG$3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Δy!$AF$5:$AG$5</c:f>
              <c:numCache>
                <c:formatCode>General</c:formatCode>
                <c:ptCount val="2"/>
                <c:pt idx="0" formatCode="0.0000">
                  <c:v>-2.1842564119396845E-2</c:v>
                </c:pt>
                <c:pt idx="1">
                  <c:v>-2.3662389542940837E-2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C-8240-9E43-A8BFAE95C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821792"/>
        <c:axId val="224248799"/>
      </c:scatterChart>
      <c:valAx>
        <c:axId val="17068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248799"/>
        <c:crosses val="autoZero"/>
        <c:crossBetween val="midCat"/>
      </c:valAx>
      <c:valAx>
        <c:axId val="2242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y</a:t>
                </a:r>
                <a:r>
                  <a:rPr lang="pt-PT" baseline="0"/>
                  <a:t>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682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71822040103962"/>
          <c:y val="2.3596972168282351E-2"/>
          <c:w val="0.25801529235050513"/>
          <c:h val="0.246376151022429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10.37344398340249</c:v>
                </c:pt>
              </c:numCache>
            </c:numRef>
          </c:xVal>
          <c:yVal>
            <c:numRef>
              <c:f>Δy!$N$15:$N$20</c:f>
              <c:numCache>
                <c:formatCode>0.0E+00</c:formatCode>
                <c:ptCount val="6"/>
                <c:pt idx="0">
                  <c:v>0.24061012679769767</c:v>
                </c:pt>
                <c:pt idx="1">
                  <c:v>9.907919740383675E-2</c:v>
                </c:pt>
                <c:pt idx="2">
                  <c:v>0.14779336901510032</c:v>
                </c:pt>
                <c:pt idx="3">
                  <c:v>1.3261624373239522E-2</c:v>
                </c:pt>
                <c:pt idx="4">
                  <c:v>-0.50074431758987514</c:v>
                </c:pt>
                <c:pt idx="5">
                  <c:v>-1.5753080526935117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5-4549-8537-E73A2ED9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81808"/>
        <c:axId val="224647775"/>
      </c:scatterChart>
      <c:valAx>
        <c:axId val="1714481808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47775"/>
        <c:crossesAt val="-990"/>
        <c:crossBetween val="midCat"/>
      </c:valAx>
      <c:valAx>
        <c:axId val="22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448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6.1881188118811883</c:v>
                </c:pt>
              </c:numCache>
            </c:numRef>
          </c:xVal>
          <c:yVal>
            <c:numRef>
              <c:f>Δy!$N$25:$N$30</c:f>
              <c:numCache>
                <c:formatCode>General</c:formatCode>
                <c:ptCount val="6"/>
                <c:pt idx="0">
                  <c:v>0.4016990254351267</c:v>
                </c:pt>
                <c:pt idx="1">
                  <c:v>0.3847977098625508</c:v>
                </c:pt>
                <c:pt idx="2">
                  <c:v>-1.8195914800799518E-2</c:v>
                </c:pt>
                <c:pt idx="3">
                  <c:v>-6.9279793772346832E-2</c:v>
                </c:pt>
                <c:pt idx="4">
                  <c:v>-0.28991319838053631</c:v>
                </c:pt>
                <c:pt idx="5">
                  <c:v>-7.4088029088676954E-3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A-1945-9EAA-A592089B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482704"/>
        <c:axId val="1709796592"/>
      </c:scatterChart>
      <c:valAx>
        <c:axId val="172048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9796592"/>
        <c:crosses val="autoZero"/>
        <c:crossBetween val="midCat"/>
      </c:valAx>
      <c:valAx>
        <c:axId val="17097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48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(n=4)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4.401408450704225</c:v>
                </c:pt>
              </c:numCache>
            </c:numRef>
          </c:xVal>
          <c:yVal>
            <c:numRef>
              <c:f>Δy!$N$35:$N$40</c:f>
              <c:numCache>
                <c:formatCode>General</c:formatCode>
                <c:ptCount val="6"/>
                <c:pt idx="0">
                  <c:v>0.25758434823815612</c:v>
                </c:pt>
                <c:pt idx="1">
                  <c:v>0.2458714254212957</c:v>
                </c:pt>
                <c:pt idx="2">
                  <c:v>-0.10538221422217919</c:v>
                </c:pt>
                <c:pt idx="3">
                  <c:v>-0.14256384411687262</c:v>
                </c:pt>
                <c:pt idx="4">
                  <c:v>-0.29959445247342686</c:v>
                </c:pt>
                <c:pt idx="5">
                  <c:v>4.4084737153027298E-2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4-C040-9990-09D6054CD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74991"/>
        <c:axId val="300437999"/>
      </c:scatterChart>
      <c:valAx>
        <c:axId val="4716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(x10-4 Hz-1)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0437999"/>
        <c:crosses val="autoZero"/>
        <c:crossBetween val="midCat"/>
      </c:valAx>
      <c:valAx>
        <c:axId val="30043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674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07228579168309E-2"/>
          <c:y val="6.519656252897553E-2"/>
          <c:w val="0.82602186665052946"/>
          <c:h val="0.76547890163013277"/>
        </c:manualLayout>
      </c:layout>
      <c:scatterChart>
        <c:scatterStyle val="lineMarker"/>
        <c:varyColors val="0"/>
        <c:ser>
          <c:idx val="0"/>
          <c:order val="0"/>
          <c:tx>
            <c:v>n=1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</c:numCache>
            </c:numRef>
          </c:xVal>
          <c:yVal>
            <c:numRef>
              <c:f>Δy!$H$5:$H$9</c:f>
              <c:numCache>
                <c:formatCode>General</c:formatCode>
                <c:ptCount val="5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5-9A4D-989D-116BF8153058}"/>
            </c:ext>
          </c:extLst>
        </c:ser>
        <c:ser>
          <c:idx val="1"/>
          <c:order val="1"/>
          <c:tx>
            <c:v>n=2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10.37344398340249</c:v>
                </c:pt>
              </c:numCache>
            </c:numRef>
          </c:xVal>
          <c:yVal>
            <c:numRef>
              <c:f>Δy!$H$15:$H$20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95-9A4D-989D-116BF8153058}"/>
            </c:ext>
          </c:extLst>
        </c:ser>
        <c:ser>
          <c:idx val="2"/>
          <c:order val="2"/>
          <c:tx>
            <c:v>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6.1881188118811883</c:v>
                </c:pt>
              </c:numCache>
            </c:numRef>
          </c:xVal>
          <c:yVal>
            <c:numRef>
              <c:f>Δy!$H$25:$H$30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95-9A4D-989D-116BF8153058}"/>
            </c:ext>
          </c:extLst>
        </c:ser>
        <c:ser>
          <c:idx val="3"/>
          <c:order val="3"/>
          <c:tx>
            <c:v>n=4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4.401408450704225</c:v>
                </c:pt>
              </c:numCache>
            </c:numRef>
          </c:xVal>
          <c:yVal>
            <c:numRef>
              <c:f>Δy!$H$35:$H$40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95-9A4D-989D-116BF8153058}"/>
            </c:ext>
          </c:extLst>
        </c:ser>
        <c:ser>
          <c:idx val="4"/>
          <c:order val="4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3.4164673727365904</c:v>
                </c:pt>
              </c:numCache>
            </c:numRef>
          </c:xVal>
          <c:yVal>
            <c:numRef>
              <c:f>Δy!$H$45:$H$50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95-9A4D-989D-116BF8153058}"/>
            </c:ext>
          </c:extLst>
        </c:ser>
        <c:ser>
          <c:idx val="5"/>
          <c:order val="5"/>
          <c:tx>
            <c:v>n=6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0.92704180958561233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2.7972027972027971</c:v>
                </c:pt>
              </c:numCache>
            </c:numRef>
          </c:xVal>
          <c:yVal>
            <c:numRef>
              <c:f>Δy!$H$55:$H$60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95-9A4D-989D-116BF8153058}"/>
            </c:ext>
          </c:extLst>
        </c:ser>
        <c:ser>
          <c:idx val="6"/>
          <c:order val="6"/>
          <c:tx>
            <c:v>n=7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2.3607176581680833</c:v>
                </c:pt>
              </c:numCache>
            </c:numRef>
          </c:xVal>
          <c:yVal>
            <c:numRef>
              <c:f>Δy!$H$65:$H$70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95-9A4D-989D-116BF8153058}"/>
            </c:ext>
          </c:extLst>
        </c:ser>
        <c:ser>
          <c:idx val="7"/>
          <c:order val="7"/>
          <c:tx>
            <c:v>n=8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Δy!$K$75:$K$79</c:f>
              <c:numCache>
                <c:formatCode>General</c:formatCode>
                <c:ptCount val="5"/>
                <c:pt idx="0">
                  <c:v>1.1116051578479325</c:v>
                </c:pt>
                <c:pt idx="1">
                  <c:v>1.1735711770918906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</c:numCache>
            </c:numRef>
          </c:xVal>
          <c:yVal>
            <c:numRef>
              <c:f>Δy!$H$75:$H$79</c:f>
              <c:numCache>
                <c:formatCode>General</c:formatCode>
                <c:ptCount val="5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95-9A4D-989D-116BF8153058}"/>
            </c:ext>
          </c:extLst>
        </c:ser>
        <c:ser>
          <c:idx val="8"/>
          <c:order val="8"/>
          <c:tx>
            <c:v>n=9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1.0516352928804291</c:v>
                </c:pt>
                <c:pt idx="3">
                  <c:v>1.1279043537108053</c:v>
                </c:pt>
                <c:pt idx="4">
                  <c:v>1.376083665886886</c:v>
                </c:pt>
                <c:pt idx="5">
                  <c:v>1.7895490336435218</c:v>
                </c:pt>
              </c:numCache>
            </c:numRef>
          </c:xVal>
          <c:yVal>
            <c:numRef>
              <c:f>Δy!$H$85:$H$90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A95-9A4D-989D-116BF8153058}"/>
            </c:ext>
          </c:extLst>
        </c:ser>
        <c:ser>
          <c:idx val="10"/>
          <c:order val="9"/>
          <c:tx>
            <c:v>Aj lin (n=1)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</c:numCache>
            </c:numRef>
          </c:xVal>
          <c:yVal>
            <c:numRef>
              <c:f>Δy!$M$5:$M$9</c:f>
              <c:numCache>
                <c:formatCode>0.0E+00</c:formatCode>
                <c:ptCount val="5"/>
                <c:pt idx="0">
                  <c:v>1.5088750448601289</c:v>
                </c:pt>
                <c:pt idx="1">
                  <c:v>1.461330147177633</c:v>
                </c:pt>
                <c:pt idx="2">
                  <c:v>1.9067088369721332</c:v>
                </c:pt>
                <c:pt idx="3">
                  <c:v>1.8931945291793819</c:v>
                </c:pt>
                <c:pt idx="4">
                  <c:v>1.8356914418107233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A95-9A4D-989D-116BF8153058}"/>
            </c:ext>
          </c:extLst>
        </c:ser>
        <c:ser>
          <c:idx val="11"/>
          <c:order val="10"/>
          <c:tx>
            <c:v>Aj lin (n=2)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10.37344398340249</c:v>
                </c:pt>
              </c:numCache>
            </c:numRef>
          </c:xVal>
          <c:yVal>
            <c:numRef>
              <c:f>Δy!$M$15:$M$20</c:f>
              <c:numCache>
                <c:formatCode>0.0E+00</c:formatCode>
                <c:ptCount val="6"/>
                <c:pt idx="0">
                  <c:v>1.6476101267976977</c:v>
                </c:pt>
                <c:pt idx="1">
                  <c:v>1.5958791974038369</c:v>
                </c:pt>
                <c:pt idx="2">
                  <c:v>1.8477933690151005</c:v>
                </c:pt>
                <c:pt idx="3">
                  <c:v>1.8136616243732397</c:v>
                </c:pt>
                <c:pt idx="4">
                  <c:v>1.7008556824101244</c:v>
                </c:pt>
                <c:pt idx="5">
                  <c:v>1.0340919473064887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A95-9A4D-989D-116BF8153058}"/>
            </c:ext>
          </c:extLst>
        </c:ser>
        <c:ser>
          <c:idx val="12"/>
          <c:order val="11"/>
          <c:tx>
            <c:v>Aj lin (n=3)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6.1881188118811883</c:v>
                </c:pt>
              </c:numCache>
            </c:numRef>
          </c:xVal>
          <c:yVal>
            <c:numRef>
              <c:f>Δy!$M$25:$M$30</c:f>
              <c:numCache>
                <c:formatCode>General</c:formatCode>
                <c:ptCount val="6"/>
                <c:pt idx="0">
                  <c:v>1.8086990254351267</c:v>
                </c:pt>
                <c:pt idx="1">
                  <c:v>1.8815977098625509</c:v>
                </c:pt>
                <c:pt idx="2">
                  <c:v>1.6818040851992007</c:v>
                </c:pt>
                <c:pt idx="3">
                  <c:v>1.7311202062276534</c:v>
                </c:pt>
                <c:pt idx="4">
                  <c:v>1.9116868016194632</c:v>
                </c:pt>
                <c:pt idx="5">
                  <c:v>2.6019911970911327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A95-9A4D-989D-116BF8153058}"/>
            </c:ext>
          </c:extLst>
        </c:ser>
        <c:ser>
          <c:idx val="13"/>
          <c:order val="12"/>
          <c:tx>
            <c:v>Aj lin (n=4)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4.401408450704225</c:v>
                </c:pt>
              </c:numCache>
            </c:numRef>
          </c:xVal>
          <c:yVal>
            <c:numRef>
              <c:f>Δy!$M$35:$M$40</c:f>
              <c:numCache>
                <c:formatCode>General</c:formatCode>
                <c:ptCount val="6"/>
                <c:pt idx="0">
                  <c:v>1.6645843482381562</c:v>
                </c:pt>
                <c:pt idx="1">
                  <c:v>1.7426714254212958</c:v>
                </c:pt>
                <c:pt idx="2">
                  <c:v>1.594617785777821</c:v>
                </c:pt>
                <c:pt idx="3">
                  <c:v>1.6578361558831276</c:v>
                </c:pt>
                <c:pt idx="4">
                  <c:v>1.9020055475265727</c:v>
                </c:pt>
                <c:pt idx="5">
                  <c:v>2.6534847371530277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A95-9A4D-989D-116BF8153058}"/>
            </c:ext>
          </c:extLst>
        </c:ser>
        <c:ser>
          <c:idx val="14"/>
          <c:order val="13"/>
          <c:tx>
            <c:v>Aj lin (n=5)</c:v>
          </c:tx>
          <c:spPr>
            <a:ln w="12700" cap="rnd">
              <a:solidFill>
                <a:srgbClr val="5895D9"/>
              </a:solidFill>
              <a:round/>
            </a:ln>
            <a:effectLst/>
          </c:spPr>
          <c:marker>
            <c:symbol val="none"/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3.4164673727365904</c:v>
                </c:pt>
              </c:numCache>
            </c:numRef>
          </c:xVal>
          <c:yVal>
            <c:numRef>
              <c:f>Δy!$M$45:$M$50</c:f>
              <c:numCache>
                <c:formatCode>General</c:formatCode>
                <c:ptCount val="6"/>
                <c:pt idx="0">
                  <c:v>1.6116358683901908</c:v>
                </c:pt>
                <c:pt idx="1">
                  <c:v>1.7003644893774388</c:v>
                </c:pt>
                <c:pt idx="2">
                  <c:v>1.5979548956354725</c:v>
                </c:pt>
                <c:pt idx="3">
                  <c:v>1.6678905162360658</c:v>
                </c:pt>
                <c:pt idx="4">
                  <c:v>1.9602524301782638</c:v>
                </c:pt>
                <c:pt idx="5">
                  <c:v>2.6771018001825695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A95-9A4D-989D-116BF8153058}"/>
            </c:ext>
          </c:extLst>
        </c:ser>
        <c:ser>
          <c:idx val="15"/>
          <c:order val="14"/>
          <c:tx>
            <c:v>Aj lin (n=6)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0.92704180958561233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2.7972027972027971</c:v>
                </c:pt>
              </c:numCache>
            </c:numRef>
          </c:xVal>
          <c:yVal>
            <c:numRef>
              <c:f>Δy!$M$55:$M$60</c:f>
              <c:numCache>
                <c:formatCode>General</c:formatCode>
                <c:ptCount val="6"/>
                <c:pt idx="0">
                  <c:v>1.7211008017523584</c:v>
                </c:pt>
                <c:pt idx="1">
                  <c:v>1.3199205149236937</c:v>
                </c:pt>
                <c:pt idx="2">
                  <c:v>1.7411812504150277</c:v>
                </c:pt>
                <c:pt idx="3">
                  <c:v>1.8080728085767153</c:v>
                </c:pt>
                <c:pt idx="4">
                  <c:v>2.039675255143961</c:v>
                </c:pt>
                <c:pt idx="5">
                  <c:v>2.5852493691882454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A95-9A4D-989D-116BF8153058}"/>
            </c:ext>
          </c:extLst>
        </c:ser>
        <c:ser>
          <c:idx val="16"/>
          <c:order val="15"/>
          <c:tx>
            <c:v>Aj lin (n=7)</c:v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2.3607176581680833</c:v>
                </c:pt>
              </c:numCache>
            </c:numRef>
          </c:xVal>
          <c:yVal>
            <c:numRef>
              <c:f>Δy!$M$65:$M$70</c:f>
              <c:numCache>
                <c:formatCode>General</c:formatCode>
                <c:ptCount val="6"/>
                <c:pt idx="0">
                  <c:v>1.5416951161407806</c:v>
                </c:pt>
                <c:pt idx="1">
                  <c:v>1.6273533625857679</c:v>
                </c:pt>
                <c:pt idx="2">
                  <c:v>1.6387200774638557</c:v>
                </c:pt>
                <c:pt idx="3">
                  <c:v>1.6998527200468325</c:v>
                </c:pt>
                <c:pt idx="4">
                  <c:v>2.0115890182776424</c:v>
                </c:pt>
                <c:pt idx="5">
                  <c:v>2.6959897054851218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A95-9A4D-989D-116BF8153058}"/>
            </c:ext>
          </c:extLst>
        </c:ser>
        <c:ser>
          <c:idx val="17"/>
          <c:order val="16"/>
          <c:tx>
            <c:v>Aj lin (n=8)</c:v>
          </c:tx>
          <c:spPr>
            <a:ln w="127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Δy!$K$75:$K$79</c:f>
              <c:numCache>
                <c:formatCode>General</c:formatCode>
                <c:ptCount val="5"/>
                <c:pt idx="0">
                  <c:v>1.1116051578479325</c:v>
                </c:pt>
                <c:pt idx="1">
                  <c:v>1.1735711770918906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</c:numCache>
            </c:numRef>
          </c:xVal>
          <c:yVal>
            <c:numRef>
              <c:f>Δy!$M$75:$M$79</c:f>
              <c:numCache>
                <c:formatCode>General</c:formatCode>
                <c:ptCount val="5"/>
                <c:pt idx="0">
                  <c:v>1.4656305954297737</c:v>
                </c:pt>
                <c:pt idx="1">
                  <c:v>1.5824222835349808</c:v>
                </c:pt>
                <c:pt idx="2">
                  <c:v>1.592854598752967</c:v>
                </c:pt>
                <c:pt idx="3">
                  <c:v>1.7356378967887955</c:v>
                </c:pt>
                <c:pt idx="4">
                  <c:v>2.229254625493482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A95-9A4D-989D-116BF8153058}"/>
            </c:ext>
          </c:extLst>
        </c:ser>
        <c:ser>
          <c:idx val="18"/>
          <c:order val="17"/>
          <c:tx>
            <c:v>Aj lin (n=9)</c:v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1.0516352928804291</c:v>
                </c:pt>
                <c:pt idx="3">
                  <c:v>1.1279043537108053</c:v>
                </c:pt>
                <c:pt idx="4">
                  <c:v>1.376083665886886</c:v>
                </c:pt>
                <c:pt idx="5">
                  <c:v>1.7895490336435218</c:v>
                </c:pt>
              </c:numCache>
            </c:numRef>
          </c:xVal>
          <c:yVal>
            <c:numRef>
              <c:f>Δy!$M$85:$M$90</c:f>
              <c:numCache>
                <c:formatCode>General</c:formatCode>
                <c:ptCount val="6"/>
                <c:pt idx="0">
                  <c:v>1.5115152603526927</c:v>
                </c:pt>
                <c:pt idx="1">
                  <c:v>1.5913662996865519</c:v>
                </c:pt>
                <c:pt idx="2">
                  <c:v>1.6181211589235733</c:v>
                </c:pt>
                <c:pt idx="3">
                  <c:v>1.7279623322194395</c:v>
                </c:pt>
                <c:pt idx="4">
                  <c:v>2.0853852051430906</c:v>
                </c:pt>
                <c:pt idx="5">
                  <c:v>2.6808497436746537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A95-9A4D-989D-116BF8153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63232"/>
        <c:axId val="1914112960"/>
      </c:scatterChart>
      <c:valAx>
        <c:axId val="180956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350129950114962"/>
              <c:y val="0.9109187371600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4112960"/>
        <c:crosses val="autoZero"/>
        <c:crossBetween val="midCat"/>
      </c:valAx>
      <c:valAx>
        <c:axId val="1914112960"/>
        <c:scaling>
          <c:orientation val="minMax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956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648367201658101"/>
          <c:y val="2.3408535984093082E-2"/>
          <c:w val="0.28982858294817171"/>
          <c:h val="0.3305390512662391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0.92704180958561233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2.7972027972027971</c:v>
                </c:pt>
              </c:numCache>
            </c:numRef>
          </c:xVal>
          <c:yVal>
            <c:numRef>
              <c:f>Δy!$N$55:$N$60</c:f>
              <c:numCache>
                <c:formatCode>General</c:formatCode>
                <c:ptCount val="6"/>
                <c:pt idx="0">
                  <c:v>0.31410080175235833</c:v>
                </c:pt>
                <c:pt idx="1">
                  <c:v>-0.17687948507630646</c:v>
                </c:pt>
                <c:pt idx="2">
                  <c:v>4.1181250415027515E-2</c:v>
                </c:pt>
                <c:pt idx="3">
                  <c:v>7.67280857671504E-3</c:v>
                </c:pt>
                <c:pt idx="4">
                  <c:v>-0.16192474485603858</c:v>
                </c:pt>
                <c:pt idx="5">
                  <c:v>-2.4150630811754947E-2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A-8444-9487-77D3283B9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906144"/>
        <c:axId val="119535759"/>
      </c:scatterChart>
      <c:valAx>
        <c:axId val="191390614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535759"/>
        <c:crosses val="autoZero"/>
        <c:crossBetween val="midCat"/>
      </c:valAx>
      <c:valAx>
        <c:axId val="1195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39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(n=5)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3.4164673727365904</c:v>
                </c:pt>
              </c:numCache>
            </c:numRef>
          </c:xVal>
          <c:yVal>
            <c:numRef>
              <c:f>Δy!$N$45:$N$50</c:f>
              <c:numCache>
                <c:formatCode>General</c:formatCode>
                <c:ptCount val="6"/>
                <c:pt idx="0">
                  <c:v>0.20463586839019077</c:v>
                </c:pt>
                <c:pt idx="1">
                  <c:v>0.20356448937743865</c:v>
                </c:pt>
                <c:pt idx="2">
                  <c:v>-0.10204510436452763</c:v>
                </c:pt>
                <c:pt idx="3">
                  <c:v>-0.13250948376393445</c:v>
                </c:pt>
                <c:pt idx="4">
                  <c:v>-0.24134756982173577</c:v>
                </c:pt>
                <c:pt idx="5">
                  <c:v>6.7701800182569105E-2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D-5E45-BC45-947DFDEE8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902432"/>
        <c:axId val="1914277136"/>
      </c:scatterChart>
      <c:valAx>
        <c:axId val="171390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4277136"/>
        <c:crosses val="autoZero"/>
        <c:crossBetween val="midCat"/>
      </c:valAx>
      <c:valAx>
        <c:axId val="19142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390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2.3607176581680833</c:v>
                </c:pt>
              </c:numCache>
            </c:numRef>
          </c:xVal>
          <c:yVal>
            <c:numRef>
              <c:f>Δy!$N$65:$N$70</c:f>
              <c:numCache>
                <c:formatCode>General</c:formatCode>
                <c:ptCount val="6"/>
                <c:pt idx="0">
                  <c:v>0.13469511614078056</c:v>
                </c:pt>
                <c:pt idx="1">
                  <c:v>0.13055336258576777</c:v>
                </c:pt>
                <c:pt idx="2">
                  <c:v>-6.1279922536144449E-2</c:v>
                </c:pt>
                <c:pt idx="3">
                  <c:v>-0.1005472799531677</c:v>
                </c:pt>
                <c:pt idx="4">
                  <c:v>-0.1900109817223572</c:v>
                </c:pt>
                <c:pt idx="5">
                  <c:v>8.658970548512146E-2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4-6943-8982-80FDC97F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48112"/>
        <c:axId val="560915295"/>
      </c:scatterChart>
      <c:valAx>
        <c:axId val="179524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915295"/>
        <c:crosses val="autoZero"/>
        <c:crossBetween val="midCat"/>
      </c:valAx>
      <c:valAx>
        <c:axId val="5609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524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Δy!$K$75:$K$79</c:f>
              <c:numCache>
                <c:formatCode>General</c:formatCode>
                <c:ptCount val="5"/>
                <c:pt idx="0">
                  <c:v>1.1116051578479325</c:v>
                </c:pt>
                <c:pt idx="1">
                  <c:v>1.1735711770918906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</c:numCache>
            </c:numRef>
          </c:xVal>
          <c:yVal>
            <c:numRef>
              <c:f>Δy!$N$75:$N$79</c:f>
              <c:numCache>
                <c:formatCode>General</c:formatCode>
                <c:ptCount val="5"/>
                <c:pt idx="0">
                  <c:v>5.8630595429773669E-2</c:v>
                </c:pt>
                <c:pt idx="1">
                  <c:v>8.5622283534980692E-2</c:v>
                </c:pt>
                <c:pt idx="2">
                  <c:v>-0.1071454012470332</c:v>
                </c:pt>
                <c:pt idx="3">
                  <c:v>-6.476210321120468E-2</c:v>
                </c:pt>
                <c:pt idx="4">
                  <c:v>2.765462549348241E-2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FB46-B440-2B17810B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850880"/>
        <c:axId val="1803642016"/>
      </c:scatterChart>
      <c:valAx>
        <c:axId val="19158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3642016"/>
        <c:crosses val="autoZero"/>
        <c:crossBetween val="midCat"/>
      </c:valAx>
      <c:valAx>
        <c:axId val="18036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585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1.0516352928804291</c:v>
                </c:pt>
                <c:pt idx="3">
                  <c:v>1.1279043537108053</c:v>
                </c:pt>
                <c:pt idx="4">
                  <c:v>1.376083665886886</c:v>
                </c:pt>
                <c:pt idx="5">
                  <c:v>1.7895490336435218</c:v>
                </c:pt>
              </c:numCache>
            </c:numRef>
          </c:xVal>
          <c:yVal>
            <c:numRef>
              <c:f>Δy!$N$85:$N$90</c:f>
              <c:numCache>
                <c:formatCode>General</c:formatCode>
                <c:ptCount val="6"/>
                <c:pt idx="0">
                  <c:v>0.10451526035269265</c:v>
                </c:pt>
                <c:pt idx="1">
                  <c:v>9.4566299686551725E-2</c:v>
                </c:pt>
                <c:pt idx="2">
                  <c:v>-8.1878841076426845E-2</c:v>
                </c:pt>
                <c:pt idx="3">
                  <c:v>-7.2437667780560711E-2</c:v>
                </c:pt>
                <c:pt idx="4">
                  <c:v>-0.116214794856909</c:v>
                </c:pt>
                <c:pt idx="5">
                  <c:v>7.1449743674653288E-2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2-A64C-94D2-4E490CD20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257280"/>
        <c:axId val="1783030720"/>
      </c:scatterChart>
      <c:valAx>
        <c:axId val="190525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3030720"/>
        <c:crosses val="autoZero"/>
        <c:crossBetween val="midCat"/>
      </c:valAx>
      <c:valAx>
        <c:axId val="17830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525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9742426828623038E-2"/>
          <c:y val="3.2811334824757642E-2"/>
          <c:w val="0.92937715211031247"/>
          <c:h val="0.8890229996418233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2" cap="rnd">
              <a:noFill/>
              <a:custDash>
                <a:ds d="100000" sp="100000"/>
              </a:custDash>
              <a:round/>
            </a:ln>
          </c:spPr>
          <c:marker>
            <c:symbol val="circle"/>
            <c:size val="3"/>
          </c:marker>
          <c:errBars>
            <c:errDir val="y"/>
            <c:errBarType val="both"/>
            <c:errValType val="cust"/>
            <c:noEndCap val="0"/>
            <c:spPr>
              <a:noFill/>
              <a:ln w="9528" cap="flat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'2ª Parte (v)'!$I$8:$I$49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'2ª Parte (v)'!$J$8:$J$49</c:f>
              <c:numCache>
                <c:formatCode>General</c:formatCode>
                <c:ptCount val="42"/>
                <c:pt idx="0">
                  <c:v>1360</c:v>
                </c:pt>
                <c:pt idx="1">
                  <c:v>1703</c:v>
                </c:pt>
                <c:pt idx="2">
                  <c:v>2048</c:v>
                </c:pt>
                <c:pt idx="3">
                  <c:v>2392</c:v>
                </c:pt>
                <c:pt idx="4">
                  <c:v>2735</c:v>
                </c:pt>
                <c:pt idx="5">
                  <c:v>3077</c:v>
                </c:pt>
                <c:pt idx="6">
                  <c:v>3412</c:v>
                </c:pt>
                <c:pt idx="7">
                  <c:v>3789</c:v>
                </c:pt>
                <c:pt idx="8">
                  <c:v>4141</c:v>
                </c:pt>
                <c:pt idx="9">
                  <c:v>4456</c:v>
                </c:pt>
                <c:pt idx="10">
                  <c:v>4810</c:v>
                </c:pt>
                <c:pt idx="11">
                  <c:v>5123</c:v>
                </c:pt>
                <c:pt idx="12">
                  <c:v>5490</c:v>
                </c:pt>
                <c:pt idx="13">
                  <c:v>5836</c:v>
                </c:pt>
                <c:pt idx="14">
                  <c:v>6181</c:v>
                </c:pt>
                <c:pt idx="15">
                  <c:v>6525</c:v>
                </c:pt>
                <c:pt idx="16">
                  <c:v>6879</c:v>
                </c:pt>
                <c:pt idx="17">
                  <c:v>7224</c:v>
                </c:pt>
                <c:pt idx="18">
                  <c:v>7573</c:v>
                </c:pt>
                <c:pt idx="19">
                  <c:v>7911</c:v>
                </c:pt>
                <c:pt idx="20">
                  <c:v>8253</c:v>
                </c:pt>
                <c:pt idx="21">
                  <c:v>8602</c:v>
                </c:pt>
                <c:pt idx="22">
                  <c:v>8941</c:v>
                </c:pt>
                <c:pt idx="23">
                  <c:v>9285</c:v>
                </c:pt>
                <c:pt idx="24">
                  <c:v>9628</c:v>
                </c:pt>
                <c:pt idx="25">
                  <c:v>9976</c:v>
                </c:pt>
                <c:pt idx="26">
                  <c:v>10318</c:v>
                </c:pt>
                <c:pt idx="27">
                  <c:v>10669</c:v>
                </c:pt>
                <c:pt idx="28">
                  <c:v>11007</c:v>
                </c:pt>
                <c:pt idx="29">
                  <c:v>11361</c:v>
                </c:pt>
                <c:pt idx="30">
                  <c:v>11700</c:v>
                </c:pt>
                <c:pt idx="31">
                  <c:v>12046</c:v>
                </c:pt>
                <c:pt idx="32">
                  <c:v>12395</c:v>
                </c:pt>
                <c:pt idx="33">
                  <c:v>12739</c:v>
                </c:pt>
                <c:pt idx="34">
                  <c:v>13093</c:v>
                </c:pt>
                <c:pt idx="35">
                  <c:v>13343</c:v>
                </c:pt>
                <c:pt idx="36">
                  <c:v>13489</c:v>
                </c:pt>
                <c:pt idx="37">
                  <c:v>13748</c:v>
                </c:pt>
                <c:pt idx="38">
                  <c:v>14089</c:v>
                </c:pt>
                <c:pt idx="39">
                  <c:v>14461</c:v>
                </c:pt>
                <c:pt idx="40">
                  <c:v>14812</c:v>
                </c:pt>
                <c:pt idx="41">
                  <c:v>15144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4-1C42-B419-240B807E8374}"/>
            </c:ext>
          </c:extLst>
        </c:ser>
        <c:ser>
          <c:idx val="2"/>
          <c:order val="1"/>
          <c:tx>
            <c:v>Aj lin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'2ª Parte (v)'!$I$8:$I$49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'2ª Parte (v)'!$K$8:$K$49</c:f>
              <c:numCache>
                <c:formatCode>0.0</c:formatCode>
                <c:ptCount val="42"/>
                <c:pt idx="0">
                  <c:v>1433.3333333333362</c:v>
                </c:pt>
                <c:pt idx="1">
                  <c:v>1771.9674796747995</c:v>
                </c:pt>
                <c:pt idx="2">
                  <c:v>2110.6016260162628</c:v>
                </c:pt>
                <c:pt idx="3">
                  <c:v>2449.2357723577261</c:v>
                </c:pt>
                <c:pt idx="4">
                  <c:v>2787.8699186991894</c:v>
                </c:pt>
                <c:pt idx="5">
                  <c:v>3126.5040650406527</c:v>
                </c:pt>
                <c:pt idx="6">
                  <c:v>3465.138211382116</c:v>
                </c:pt>
                <c:pt idx="7">
                  <c:v>3803.7723577235793</c:v>
                </c:pt>
                <c:pt idx="8">
                  <c:v>4142.4065040650421</c:v>
                </c:pt>
                <c:pt idx="9">
                  <c:v>4481.0406504065058</c:v>
                </c:pt>
                <c:pt idx="10">
                  <c:v>4819.6747967479696</c:v>
                </c:pt>
                <c:pt idx="11">
                  <c:v>5158.3089430894324</c:v>
                </c:pt>
                <c:pt idx="12">
                  <c:v>5496.9430894308953</c:v>
                </c:pt>
                <c:pt idx="13">
                  <c:v>5835.577235772359</c:v>
                </c:pt>
                <c:pt idx="14">
                  <c:v>6174.2113821138228</c:v>
                </c:pt>
                <c:pt idx="15">
                  <c:v>6512.8455284552856</c:v>
                </c:pt>
                <c:pt idx="16">
                  <c:v>6851.4796747967484</c:v>
                </c:pt>
                <c:pt idx="17">
                  <c:v>7190.1138211382122</c:v>
                </c:pt>
                <c:pt idx="18">
                  <c:v>7528.7479674796759</c:v>
                </c:pt>
                <c:pt idx="19">
                  <c:v>7867.3821138211388</c:v>
                </c:pt>
                <c:pt idx="20">
                  <c:v>8206.0162601626016</c:v>
                </c:pt>
                <c:pt idx="21">
                  <c:v>8544.6504065040644</c:v>
                </c:pt>
                <c:pt idx="22">
                  <c:v>8883.2845528455291</c:v>
                </c:pt>
                <c:pt idx="23">
                  <c:v>9221.9186991869919</c:v>
                </c:pt>
                <c:pt idx="24">
                  <c:v>9560.5528455284548</c:v>
                </c:pt>
                <c:pt idx="25">
                  <c:v>9899.1869918699176</c:v>
                </c:pt>
                <c:pt idx="26">
                  <c:v>10237.821138211382</c:v>
                </c:pt>
                <c:pt idx="27">
                  <c:v>10576.455284552845</c:v>
                </c:pt>
                <c:pt idx="28">
                  <c:v>10915.089430894308</c:v>
                </c:pt>
                <c:pt idx="29">
                  <c:v>11253.723577235773</c:v>
                </c:pt>
                <c:pt idx="30">
                  <c:v>11592.357723577235</c:v>
                </c:pt>
                <c:pt idx="31">
                  <c:v>11930.991869918698</c:v>
                </c:pt>
                <c:pt idx="32">
                  <c:v>12269.626016260161</c:v>
                </c:pt>
                <c:pt idx="33">
                  <c:v>12608.260162601624</c:v>
                </c:pt>
                <c:pt idx="34">
                  <c:v>12946.894308943089</c:v>
                </c:pt>
                <c:pt idx="35">
                  <c:v>13285.528455284551</c:v>
                </c:pt>
                <c:pt idx="36">
                  <c:v>13624.162601626014</c:v>
                </c:pt>
                <c:pt idx="37">
                  <c:v>13962.796747967479</c:v>
                </c:pt>
                <c:pt idx="38">
                  <c:v>14301.430894308942</c:v>
                </c:pt>
                <c:pt idx="39">
                  <c:v>14640.065040650405</c:v>
                </c:pt>
                <c:pt idx="40">
                  <c:v>14978.699186991867</c:v>
                </c:pt>
                <c:pt idx="41">
                  <c:v>15317.33333333333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74-1C42-B419-240B807E8374}"/>
            </c:ext>
          </c:extLst>
        </c:ser>
        <c:ser>
          <c:idx val="1"/>
          <c:order val="2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'2ª Parte (v)'!$I$44:$I$47</c:f>
              <c:numCache>
                <c:formatCode>General</c:formatCode>
                <c:ptCount val="4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</c:numCache>
            </c:numRef>
          </c:xVal>
          <c:yVal>
            <c:numRef>
              <c:f>'2ª Parte (v)'!$J$44:$J$47</c:f>
              <c:numCache>
                <c:formatCode>General</c:formatCode>
                <c:ptCount val="4"/>
                <c:pt idx="0">
                  <c:v>13489</c:v>
                </c:pt>
                <c:pt idx="1">
                  <c:v>13748</c:v>
                </c:pt>
                <c:pt idx="2">
                  <c:v>14089</c:v>
                </c:pt>
                <c:pt idx="3">
                  <c:v>14461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5B-3248-9795-1B1B6065F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1455"/>
        <c:axId val="2126809391"/>
      </c:scatterChart>
      <c:valAx>
        <c:axId val="2126809391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f(Hz) x10</a:t>
                </a:r>
                <a:r>
                  <a:rPr lang="pt-PT" sz="1000" b="0" i="0" u="none" strike="noStrike" kern="1200" cap="none" spc="0" baseline="30000">
                    <a:solidFill>
                      <a:srgbClr val="595959"/>
                    </a:solidFill>
                    <a:uFillTx/>
                    <a:latin typeface="Calibri"/>
                  </a:rPr>
                  <a:t>3</a:t>
                </a:r>
                <a:endParaRPr lang="pt-PT" sz="1000" b="0" i="0" u="none" strike="noStrike" kern="1200" cap="none" spc="0" baseline="0">
                  <a:solidFill>
                    <a:srgbClr val="595959"/>
                  </a:solidFill>
                  <a:uFillTx/>
                  <a:latin typeface="Calibri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1455"/>
        <c:crosses val="autoZero"/>
        <c:crossBetween val="midCat"/>
        <c:dispUnits>
          <c:builtInUnit val="thousands"/>
        </c:dispUnits>
      </c:valAx>
      <c:valAx>
        <c:axId val="2126821455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09391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9037077348316509"/>
          <c:y val="0.70415073954681839"/>
          <c:w val="0.16099643570678362"/>
          <c:h val="0.15096408250982049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tx>
            <c:v>Res. de f 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(v)'!$I$8:$I$46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</c:numCache>
            </c:numRef>
          </c:xVal>
          <c:yVal>
            <c:numRef>
              <c:f>'2ª Parte (v)'!$L$8:$L$46</c:f>
              <c:numCache>
                <c:formatCode>0.0</c:formatCode>
                <c:ptCount val="39"/>
                <c:pt idx="0">
                  <c:v>73.333333333336213</c:v>
                </c:pt>
                <c:pt idx="1">
                  <c:v>68.967479674799506</c:v>
                </c:pt>
                <c:pt idx="2">
                  <c:v>62.601626016262799</c:v>
                </c:pt>
                <c:pt idx="3">
                  <c:v>57.235772357726091</c:v>
                </c:pt>
                <c:pt idx="4">
                  <c:v>52.869918699189384</c:v>
                </c:pt>
                <c:pt idx="5">
                  <c:v>49.504065040652677</c:v>
                </c:pt>
                <c:pt idx="6">
                  <c:v>53.138211382115969</c:v>
                </c:pt>
                <c:pt idx="7">
                  <c:v>14.772357723579262</c:v>
                </c:pt>
                <c:pt idx="8">
                  <c:v>1.4065040650420997</c:v>
                </c:pt>
                <c:pt idx="9">
                  <c:v>25.040650406505847</c:v>
                </c:pt>
                <c:pt idx="10">
                  <c:v>9.6747967479695944</c:v>
                </c:pt>
                <c:pt idx="11">
                  <c:v>35.308943089432432</c:v>
                </c:pt>
                <c:pt idx="12">
                  <c:v>6.9430894308952702</c:v>
                </c:pt>
                <c:pt idx="13">
                  <c:v>-0.42276422764098243</c:v>
                </c:pt>
                <c:pt idx="14">
                  <c:v>-6.7886178861772351</c:v>
                </c:pt>
                <c:pt idx="15">
                  <c:v>-12.154471544714397</c:v>
                </c:pt>
                <c:pt idx="16">
                  <c:v>-27.520325203251559</c:v>
                </c:pt>
                <c:pt idx="17">
                  <c:v>-33.886178861787812</c:v>
                </c:pt>
                <c:pt idx="18">
                  <c:v>-44.252032520324065</c:v>
                </c:pt>
                <c:pt idx="19">
                  <c:v>-43.617886178861227</c:v>
                </c:pt>
                <c:pt idx="20">
                  <c:v>-46.983739837398389</c:v>
                </c:pt>
                <c:pt idx="21">
                  <c:v>-57.349593495935551</c:v>
                </c:pt>
                <c:pt idx="22">
                  <c:v>-57.715447154470894</c:v>
                </c:pt>
                <c:pt idx="23">
                  <c:v>-63.081300813008056</c:v>
                </c:pt>
                <c:pt idx="24">
                  <c:v>-67.447154471545218</c:v>
                </c:pt>
                <c:pt idx="25">
                  <c:v>-76.81300813008238</c:v>
                </c:pt>
                <c:pt idx="26">
                  <c:v>-80.178861788617724</c:v>
                </c:pt>
                <c:pt idx="27">
                  <c:v>-92.544715447154886</c:v>
                </c:pt>
                <c:pt idx="28">
                  <c:v>-91.910569105692048</c:v>
                </c:pt>
                <c:pt idx="29">
                  <c:v>-107.27642276422739</c:v>
                </c:pt>
                <c:pt idx="30">
                  <c:v>-107.64227642276455</c:v>
                </c:pt>
                <c:pt idx="31">
                  <c:v>-115.00813008130172</c:v>
                </c:pt>
                <c:pt idx="32">
                  <c:v>-125.37398373983888</c:v>
                </c:pt>
                <c:pt idx="33">
                  <c:v>-130.73983739837604</c:v>
                </c:pt>
                <c:pt idx="34">
                  <c:v>-146.10569105691138</c:v>
                </c:pt>
                <c:pt idx="35">
                  <c:v>-57.471544715448545</c:v>
                </c:pt>
                <c:pt idx="36">
                  <c:v>135.16260162601429</c:v>
                </c:pt>
                <c:pt idx="37">
                  <c:v>214.79674796747895</c:v>
                </c:pt>
                <c:pt idx="38">
                  <c:v>212.43089430894179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C-2047-8985-4ED4605E90DB}"/>
            </c:ext>
          </c:extLst>
        </c:ser>
        <c:ser>
          <c:idx val="1"/>
          <c:order val="1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(v)'!$I$44:$I$47</c:f>
              <c:numCache>
                <c:formatCode>General</c:formatCode>
                <c:ptCount val="4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</c:numCache>
            </c:numRef>
          </c:xVal>
          <c:yVal>
            <c:numRef>
              <c:f>'2ª Parte (v)'!$L$44:$L$47</c:f>
              <c:numCache>
                <c:formatCode>0.0</c:formatCode>
                <c:ptCount val="4"/>
                <c:pt idx="0">
                  <c:v>135.16260162601429</c:v>
                </c:pt>
                <c:pt idx="1">
                  <c:v>214.79674796747895</c:v>
                </c:pt>
                <c:pt idx="2">
                  <c:v>212.43089430894179</c:v>
                </c:pt>
                <c:pt idx="3">
                  <c:v>179.06504065040463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9-C74A-980E-D75973FC4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5.0925925925925923E-2"/>
          <c:w val="0.77133114610673681"/>
          <c:h val="0.79442913385826774"/>
        </c:manualLayout>
      </c:layout>
      <c:scatterChart>
        <c:scatterStyle val="lineMarker"/>
        <c:varyColors val="0"/>
        <c:ser>
          <c:idx val="0"/>
          <c:order val="0"/>
          <c:tx>
            <c:v>P (T)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161020725885169"/>
                  <c:y val="0.14601316007264031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Lit>
              <c:formatCode>General</c:formatCode>
              <c:ptCount val="21"/>
              <c:pt idx="0">
                <c:v>0</c:v>
              </c:pt>
              <c:pt idx="1">
                <c:v>5</c:v>
              </c:pt>
              <c:pt idx="2">
                <c:v>10</c:v>
              </c:pt>
              <c:pt idx="3">
                <c:v>15</c:v>
              </c:pt>
              <c:pt idx="4">
                <c:v>20</c:v>
              </c:pt>
              <c:pt idx="5">
                <c:v>25</c:v>
              </c:pt>
              <c:pt idx="6">
                <c:v>30</c:v>
              </c:pt>
              <c:pt idx="7">
                <c:v>35</c:v>
              </c:pt>
              <c:pt idx="8">
                <c:v>40</c:v>
              </c:pt>
              <c:pt idx="9">
                <c:v>45</c:v>
              </c:pt>
              <c:pt idx="10">
                <c:v>50</c:v>
              </c:pt>
              <c:pt idx="11">
                <c:v>55</c:v>
              </c:pt>
              <c:pt idx="12">
                <c:v>60</c:v>
              </c:pt>
              <c:pt idx="13">
                <c:v>65</c:v>
              </c:pt>
              <c:pt idx="14">
                <c:v>70</c:v>
              </c:pt>
              <c:pt idx="15">
                <c:v>75</c:v>
              </c:pt>
              <c:pt idx="16">
                <c:v>80</c:v>
              </c:pt>
              <c:pt idx="17">
                <c:v>85</c:v>
              </c:pt>
              <c:pt idx="18">
                <c:v>90</c:v>
              </c:pt>
              <c:pt idx="19">
                <c:v>95</c:v>
              </c:pt>
              <c:pt idx="20">
                <c:v>100</c:v>
              </c:pt>
            </c:numLit>
          </c:xVal>
          <c:yVal>
            <c:numLit>
              <c:formatCode>General</c:formatCode>
              <c:ptCount val="21"/>
              <c:pt idx="0">
                <c:v>4.5004</c:v>
              </c:pt>
              <c:pt idx="1">
                <c:v>6.7506000000000004</c:v>
              </c:pt>
              <c:pt idx="2">
                <c:v>9.0007999999999999</c:v>
              </c:pt>
              <c:pt idx="3">
                <c:v>12.751099999999999</c:v>
              </c:pt>
              <c:pt idx="4">
                <c:v>17.2515</c:v>
              </c:pt>
              <c:pt idx="5">
                <c:v>24.001999999999999</c:v>
              </c:pt>
              <c:pt idx="6">
                <c:v>32.252699999999997</c:v>
              </c:pt>
              <c:pt idx="7">
                <c:v>42.003599999999999</c:v>
              </c:pt>
              <c:pt idx="8">
                <c:v>57.754899999999999</c:v>
              </c:pt>
              <c:pt idx="9">
                <c:v>72.006100000000004</c:v>
              </c:pt>
              <c:pt idx="10">
                <c:v>93.757999999999996</c:v>
              </c:pt>
              <c:pt idx="11">
                <c:v>117.76</c:v>
              </c:pt>
              <c:pt idx="12">
                <c:v>150.01</c:v>
              </c:pt>
              <c:pt idx="13">
                <c:v>187.52</c:v>
              </c:pt>
              <c:pt idx="14">
                <c:v>240.77</c:v>
              </c:pt>
              <c:pt idx="15">
                <c:v>289.52</c:v>
              </c:pt>
              <c:pt idx="16">
                <c:v>356.28</c:v>
              </c:pt>
              <c:pt idx="17">
                <c:v>433.54</c:v>
              </c:pt>
              <c:pt idx="18">
                <c:v>525.04</c:v>
              </c:pt>
              <c:pt idx="19">
                <c:v>633.79999999999995</c:v>
              </c:pt>
              <c:pt idx="20">
                <c:v>760.04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6DF-0B45-977C-0A4F1154F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289392"/>
        <c:axId val="473963088"/>
      </c:scatterChart>
      <c:valAx>
        <c:axId val="45428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3963088"/>
        <c:crosses val="autoZero"/>
        <c:crossBetween val="midCat"/>
      </c:valAx>
      <c:valAx>
        <c:axId val="4739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H2O</a:t>
                </a:r>
                <a:r>
                  <a:rPr lang="pt-PT" baseline="0"/>
                  <a:t> (mmHg)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428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257112704086017"/>
          <c:y val="5.7462639019659201E-2"/>
          <c:w val="0.27672497739596269"/>
          <c:h val="0.157698676867233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3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image" Target="../media/image1.emf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12" Type="http://schemas.openxmlformats.org/officeDocument/2006/relationships/image" Target="../media/image2.emf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11" Type="http://schemas.openxmlformats.org/officeDocument/2006/relationships/chart" Target="../charts/chart34.xml"/><Relationship Id="rId5" Type="http://schemas.openxmlformats.org/officeDocument/2006/relationships/chart" Target="../charts/chart28.xml"/><Relationship Id="rId10" Type="http://schemas.openxmlformats.org/officeDocument/2006/relationships/chart" Target="../charts/chart33.xml"/><Relationship Id="rId4" Type="http://schemas.openxmlformats.org/officeDocument/2006/relationships/chart" Target="../charts/chart27.xml"/><Relationship Id="rId9" Type="http://schemas.openxmlformats.org/officeDocument/2006/relationships/chart" Target="../charts/chart3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25400</xdr:colOff>
      <xdr:row>18</xdr:row>
      <xdr:rowOff>57150</xdr:rowOff>
    </xdr:from>
    <xdr:ext cx="65" cy="172098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E51D946-0FB0-5F4C-8BC6-ECFA355C0137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707465</xdr:colOff>
      <xdr:row>1</xdr:row>
      <xdr:rowOff>16933</xdr:rowOff>
    </xdr:from>
    <xdr:to>
      <xdr:col>44</xdr:col>
      <xdr:colOff>698998</xdr:colOff>
      <xdr:row>13</xdr:row>
      <xdr:rowOff>147017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320E79-BB8E-CC44-89FF-A9E173DBD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714550</xdr:colOff>
      <xdr:row>14</xdr:row>
      <xdr:rowOff>46261</xdr:rowOff>
    </xdr:from>
    <xdr:to>
      <xdr:col>44</xdr:col>
      <xdr:colOff>727721</xdr:colOff>
      <xdr:row>28</xdr:row>
      <xdr:rowOff>119358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3AE70D-FFB1-9042-BE37-0431A1B5E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516255</xdr:colOff>
      <xdr:row>1</xdr:row>
      <xdr:rowOff>121709</xdr:rowOff>
    </xdr:from>
    <xdr:to>
      <xdr:col>29</xdr:col>
      <xdr:colOff>536575</xdr:colOff>
      <xdr:row>11</xdr:row>
      <xdr:rowOff>22225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6F52BD-1AA0-2346-A7A5-E2140BA4E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736600</xdr:colOff>
      <xdr:row>1</xdr:row>
      <xdr:rowOff>120650</xdr:rowOff>
    </xdr:from>
    <xdr:to>
      <xdr:col>34</xdr:col>
      <xdr:colOff>25400</xdr:colOff>
      <xdr:row>10</xdr:row>
      <xdr:rowOff>190500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DA2D144-32E6-2D4E-ACEB-2D94C478B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513644</xdr:colOff>
      <xdr:row>11</xdr:row>
      <xdr:rowOff>129822</xdr:rowOff>
    </xdr:from>
    <xdr:to>
      <xdr:col>29</xdr:col>
      <xdr:colOff>550333</xdr:colOff>
      <xdr:row>22</xdr:row>
      <xdr:rowOff>12700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8BDA3A-AE64-6E42-935E-4DFD1A388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765528</xdr:colOff>
      <xdr:row>11</xdr:row>
      <xdr:rowOff>186502</xdr:rowOff>
    </xdr:from>
    <xdr:to>
      <xdr:col>34</xdr:col>
      <xdr:colOff>47038</xdr:colOff>
      <xdr:row>22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576D49D-5281-D249-863F-0D8D3588C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448733</xdr:colOff>
      <xdr:row>23</xdr:row>
      <xdr:rowOff>118533</xdr:rowOff>
    </xdr:from>
    <xdr:to>
      <xdr:col>29</xdr:col>
      <xdr:colOff>728134</xdr:colOff>
      <xdr:row>35</xdr:row>
      <xdr:rowOff>33867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B2C2969-6BD5-5943-A55E-D633FA616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800100</xdr:colOff>
      <xdr:row>23</xdr:row>
      <xdr:rowOff>107950</xdr:rowOff>
    </xdr:from>
    <xdr:to>
      <xdr:col>34</xdr:col>
      <xdr:colOff>93578</xdr:colOff>
      <xdr:row>35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673F3F0-3409-ED4D-B09A-B57A09AEE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5773</xdr:colOff>
      <xdr:row>37</xdr:row>
      <xdr:rowOff>135081</xdr:rowOff>
    </xdr:from>
    <xdr:to>
      <xdr:col>34</xdr:col>
      <xdr:colOff>219364</xdr:colOff>
      <xdr:row>48</xdr:row>
      <xdr:rowOff>161636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6A40E7C-7C72-A74A-99DC-F05ED1684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386080</xdr:colOff>
      <xdr:row>37</xdr:row>
      <xdr:rowOff>149860</xdr:rowOff>
    </xdr:from>
    <xdr:to>
      <xdr:col>29</xdr:col>
      <xdr:colOff>772161</xdr:colOff>
      <xdr:row>48</xdr:row>
      <xdr:rowOff>162559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6C518A2-343C-2C44-8134-D9085EEA3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78684</xdr:colOff>
      <xdr:row>51</xdr:row>
      <xdr:rowOff>61416</xdr:rowOff>
    </xdr:from>
    <xdr:to>
      <xdr:col>34</xdr:col>
      <xdr:colOff>459684</xdr:colOff>
      <xdr:row>62</xdr:row>
      <xdr:rowOff>90859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ECEC044F-FB11-1D43-A15C-3E8F1503D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310444</xdr:colOff>
      <xdr:row>51</xdr:row>
      <xdr:rowOff>4232</xdr:rowOff>
    </xdr:from>
    <xdr:to>
      <xdr:col>29</xdr:col>
      <xdr:colOff>790222</xdr:colOff>
      <xdr:row>62</xdr:row>
      <xdr:rowOff>183445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FE71F77-B77F-3F49-A447-7217AE431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30</xdr:col>
      <xdr:colOff>15147</xdr:colOff>
      <xdr:row>66</xdr:row>
      <xdr:rowOff>183859</xdr:rowOff>
    </xdr:from>
    <xdr:to>
      <xdr:col>34</xdr:col>
      <xdr:colOff>326238</xdr:colOff>
      <xdr:row>77</xdr:row>
      <xdr:rowOff>34955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E7208D9-9309-3040-956D-C4FE0D6B3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347134</xdr:colOff>
      <xdr:row>66</xdr:row>
      <xdr:rowOff>164533</xdr:rowOff>
    </xdr:from>
    <xdr:to>
      <xdr:col>29</xdr:col>
      <xdr:colOff>720182</xdr:colOff>
      <xdr:row>77</xdr:row>
      <xdr:rowOff>7744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3BB79AB-36AB-4446-8078-348209810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792368</xdr:colOff>
      <xdr:row>80</xdr:row>
      <xdr:rowOff>70955</xdr:rowOff>
    </xdr:from>
    <xdr:to>
      <xdr:col>34</xdr:col>
      <xdr:colOff>469347</xdr:colOff>
      <xdr:row>90</xdr:row>
      <xdr:rowOff>193262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70EA9C77-67AA-004F-B0E8-4B8CA209C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372534</xdr:colOff>
      <xdr:row>80</xdr:row>
      <xdr:rowOff>88169</xdr:rowOff>
    </xdr:from>
    <xdr:to>
      <xdr:col>29</xdr:col>
      <xdr:colOff>736600</xdr:colOff>
      <xdr:row>91</xdr:row>
      <xdr:rowOff>543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E8BE307C-BC50-8F4D-875E-251AF5B3A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201234</xdr:colOff>
      <xdr:row>98</xdr:row>
      <xdr:rowOff>21905</xdr:rowOff>
    </xdr:from>
    <xdr:to>
      <xdr:col>29</xdr:col>
      <xdr:colOff>778388</xdr:colOff>
      <xdr:row>109</xdr:row>
      <xdr:rowOff>95591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1C79B46-7A58-2E40-96FE-63B864B63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30</xdr:col>
      <xdr:colOff>6226</xdr:colOff>
      <xdr:row>97</xdr:row>
      <xdr:rowOff>188616</xdr:rowOff>
    </xdr:from>
    <xdr:to>
      <xdr:col>34</xdr:col>
      <xdr:colOff>655484</xdr:colOff>
      <xdr:row>109</xdr:row>
      <xdr:rowOff>163871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61318710-2EA4-B34F-80A6-6787E52C8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30</xdr:col>
      <xdr:colOff>137711</xdr:colOff>
      <xdr:row>115</xdr:row>
      <xdr:rowOff>142593</xdr:rowOff>
    </xdr:from>
    <xdr:to>
      <xdr:col>35</xdr:col>
      <xdr:colOff>487</xdr:colOff>
      <xdr:row>128</xdr:row>
      <xdr:rowOff>15302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3ED7D454-30C7-844B-8AB6-7F40DCB14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25</xdr:col>
      <xdr:colOff>325120</xdr:colOff>
      <xdr:row>115</xdr:row>
      <xdr:rowOff>147320</xdr:rowOff>
    </xdr:from>
    <xdr:to>
      <xdr:col>30</xdr:col>
      <xdr:colOff>60960</xdr:colOff>
      <xdr:row>128</xdr:row>
      <xdr:rowOff>50800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12594F46-E033-6D4C-8722-403332213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</xdr:col>
      <xdr:colOff>453845</xdr:colOff>
      <xdr:row>13</xdr:row>
      <xdr:rowOff>44392</xdr:rowOff>
    </xdr:from>
    <xdr:to>
      <xdr:col>9</xdr:col>
      <xdr:colOff>657091</xdr:colOff>
      <xdr:row>23</xdr:row>
      <xdr:rowOff>144096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E6ED2AF8-4C10-004B-B232-D381A8D82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oneCellAnchor>
    <xdr:from>
      <xdr:col>8</xdr:col>
      <xdr:colOff>342900</xdr:colOff>
      <xdr:row>17</xdr:row>
      <xdr:rowOff>184150</xdr:rowOff>
    </xdr:from>
    <xdr:ext cx="65" cy="172098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D800E4C-1FCB-C348-A251-D413A0BCB916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4</xdr:col>
      <xdr:colOff>122522</xdr:colOff>
      <xdr:row>38</xdr:row>
      <xdr:rowOff>60017</xdr:rowOff>
    </xdr:from>
    <xdr:to>
      <xdr:col>9</xdr:col>
      <xdr:colOff>420768</xdr:colOff>
      <xdr:row>51</xdr:row>
      <xdr:rowOff>112572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525732A8-187C-DD4F-98E7-BCAD9867D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34</xdr:col>
      <xdr:colOff>286775</xdr:colOff>
      <xdr:row>12</xdr:row>
      <xdr:rowOff>40969</xdr:rowOff>
    </xdr:from>
    <xdr:to>
      <xdr:col>38</xdr:col>
      <xdr:colOff>400256</xdr:colOff>
      <xdr:row>22</xdr:row>
      <xdr:rowOff>72514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B20E265E-47F7-664C-949E-52B67631D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454624" y="2540001"/>
          <a:ext cx="3390900" cy="2120900"/>
        </a:xfrm>
        <a:prstGeom prst="rect">
          <a:avLst/>
        </a:prstGeom>
      </xdr:spPr>
    </xdr:pic>
    <xdr:clientData/>
  </xdr:twoCellAnchor>
  <xdr:twoCellAnchor>
    <xdr:from>
      <xdr:col>5</xdr:col>
      <xdr:colOff>323183</xdr:colOff>
      <xdr:row>42</xdr:row>
      <xdr:rowOff>91392</xdr:rowOff>
    </xdr:from>
    <xdr:to>
      <xdr:col>8</xdr:col>
      <xdr:colOff>620050</xdr:colOff>
      <xdr:row>42</xdr:row>
      <xdr:rowOff>91392</xdr:rowOff>
    </xdr:to>
    <xdr:cxnSp macro="">
      <xdr:nvCxnSpPr>
        <xdr:cNvPr id="31" name="Conexão Reta 30">
          <a:extLst>
            <a:ext uri="{FF2B5EF4-FFF2-40B4-BE49-F238E27FC236}">
              <a16:creationId xmlns:a16="http://schemas.microsoft.com/office/drawing/2014/main" id="{8FE7FB1F-E1FA-B24E-8E90-38390D857F2A}"/>
            </a:ext>
          </a:extLst>
        </xdr:cNvPr>
        <xdr:cNvCxnSpPr/>
      </xdr:nvCxnSpPr>
      <xdr:spPr>
        <a:xfrm>
          <a:off x="4340826" y="8768921"/>
          <a:ext cx="2889984" cy="0"/>
        </a:xfrm>
        <a:prstGeom prst="line">
          <a:avLst/>
        </a:prstGeom>
        <a:ln w="9525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337840</xdr:colOff>
      <xdr:row>40</xdr:row>
      <xdr:rowOff>58380</xdr:rowOff>
    </xdr:from>
    <xdr:to>
      <xdr:col>8</xdr:col>
      <xdr:colOff>632831</xdr:colOff>
      <xdr:row>40</xdr:row>
      <xdr:rowOff>58380</xdr:rowOff>
    </xdr:to>
    <xdr:cxnSp macro="">
      <xdr:nvCxnSpPr>
        <xdr:cNvPr id="33" name="Conexão Reta 32">
          <a:extLst>
            <a:ext uri="{FF2B5EF4-FFF2-40B4-BE49-F238E27FC236}">
              <a16:creationId xmlns:a16="http://schemas.microsoft.com/office/drawing/2014/main" id="{175C992A-B890-4440-8A51-3E58ECEF9DF1}"/>
            </a:ext>
          </a:extLst>
        </xdr:cNvPr>
        <xdr:cNvCxnSpPr/>
      </xdr:nvCxnSpPr>
      <xdr:spPr>
        <a:xfrm>
          <a:off x="4355483" y="8330281"/>
          <a:ext cx="2888108" cy="0"/>
        </a:xfrm>
        <a:prstGeom prst="line">
          <a:avLst/>
        </a:prstGeom>
        <a:ln w="9525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254608</xdr:colOff>
      <xdr:row>51</xdr:row>
      <xdr:rowOff>198638</xdr:rowOff>
    </xdr:from>
    <xdr:to>
      <xdr:col>9</xdr:col>
      <xdr:colOff>543407</xdr:colOff>
      <xdr:row>65</xdr:row>
      <xdr:rowOff>27049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669D75A-3683-884C-83CB-7C4AC9BD4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</xdr:col>
      <xdr:colOff>332096</xdr:colOff>
      <xdr:row>40</xdr:row>
      <xdr:rowOff>147151</xdr:rowOff>
    </xdr:from>
    <xdr:to>
      <xdr:col>8</xdr:col>
      <xdr:colOff>621672</xdr:colOff>
      <xdr:row>40</xdr:row>
      <xdr:rowOff>147151</xdr:rowOff>
    </xdr:to>
    <xdr:cxnSp macro="">
      <xdr:nvCxnSpPr>
        <xdr:cNvPr id="29" name="Conexão Reta 28">
          <a:extLst>
            <a:ext uri="{FF2B5EF4-FFF2-40B4-BE49-F238E27FC236}">
              <a16:creationId xmlns:a16="http://schemas.microsoft.com/office/drawing/2014/main" id="{0E9E6C89-46F3-1247-8A15-FF827568EEB8}"/>
            </a:ext>
          </a:extLst>
        </xdr:cNvPr>
        <xdr:cNvCxnSpPr/>
      </xdr:nvCxnSpPr>
      <xdr:spPr>
        <a:xfrm>
          <a:off x="4347672" y="8338194"/>
          <a:ext cx="2884396" cy="0"/>
        </a:xfrm>
        <a:prstGeom prst="line">
          <a:avLst/>
        </a:prstGeom>
        <a:ln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327494</xdr:colOff>
      <xdr:row>42</xdr:row>
      <xdr:rowOff>221595</xdr:rowOff>
    </xdr:from>
    <xdr:to>
      <xdr:col>8</xdr:col>
      <xdr:colOff>622485</xdr:colOff>
      <xdr:row>42</xdr:row>
      <xdr:rowOff>221595</xdr:rowOff>
    </xdr:to>
    <xdr:cxnSp macro="">
      <xdr:nvCxnSpPr>
        <xdr:cNvPr id="34" name="Conexão Reta 33">
          <a:extLst>
            <a:ext uri="{FF2B5EF4-FFF2-40B4-BE49-F238E27FC236}">
              <a16:creationId xmlns:a16="http://schemas.microsoft.com/office/drawing/2014/main" id="{29FE7E09-DC3C-B140-9C14-B9E3DAD058F9}"/>
            </a:ext>
          </a:extLst>
        </xdr:cNvPr>
        <xdr:cNvCxnSpPr/>
      </xdr:nvCxnSpPr>
      <xdr:spPr>
        <a:xfrm>
          <a:off x="4336234" y="8932244"/>
          <a:ext cx="2883465" cy="0"/>
        </a:xfrm>
        <a:prstGeom prst="line">
          <a:avLst/>
        </a:prstGeom>
        <a:ln w="952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333537</xdr:colOff>
      <xdr:row>46</xdr:row>
      <xdr:rowOff>23041</xdr:rowOff>
    </xdr:from>
    <xdr:to>
      <xdr:col>8</xdr:col>
      <xdr:colOff>628528</xdr:colOff>
      <xdr:row>46</xdr:row>
      <xdr:rowOff>23041</xdr:rowOff>
    </xdr:to>
    <xdr:cxnSp macro="">
      <xdr:nvCxnSpPr>
        <xdr:cNvPr id="35" name="Conexão Reta 34">
          <a:extLst>
            <a:ext uri="{FF2B5EF4-FFF2-40B4-BE49-F238E27FC236}">
              <a16:creationId xmlns:a16="http://schemas.microsoft.com/office/drawing/2014/main" id="{6BEF3C28-4886-1D47-8560-88A559816A42}"/>
            </a:ext>
          </a:extLst>
        </xdr:cNvPr>
        <xdr:cNvCxnSpPr/>
      </xdr:nvCxnSpPr>
      <xdr:spPr>
        <a:xfrm>
          <a:off x="4346548" y="9616498"/>
          <a:ext cx="2886924" cy="0"/>
        </a:xfrm>
        <a:prstGeom prst="line">
          <a:avLst/>
        </a:prstGeom>
        <a:ln w="952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0.22447</cdr:x>
      <cdr:y>0.32669</cdr:y>
    </cdr:from>
    <cdr:to>
      <cdr:x>0.85863</cdr:x>
      <cdr:y>0.32669</cdr:y>
    </cdr:to>
    <cdr:cxnSp macro="">
      <cdr:nvCxnSpPr>
        <cdr:cNvPr id="3" name="Conexão Reta 2">
          <a:extLst xmlns:a="http://schemas.openxmlformats.org/drawingml/2006/main">
            <a:ext uri="{FF2B5EF4-FFF2-40B4-BE49-F238E27FC236}">
              <a16:creationId xmlns:a16="http://schemas.microsoft.com/office/drawing/2014/main" id="{7200669E-A8DA-CB4B-980B-CFAD031F2FBB}"/>
            </a:ext>
          </a:extLst>
        </cdr:cNvPr>
        <cdr:cNvCxnSpPr/>
      </cdr:nvCxnSpPr>
      <cdr:spPr>
        <a:xfrm xmlns:a="http://schemas.openxmlformats.org/drawingml/2006/main">
          <a:off x="1019724" y="954249"/>
          <a:ext cx="2880892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0B05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0.20659</cdr:x>
      <cdr:y>0.45929</cdr:y>
    </cdr:from>
    <cdr:to>
      <cdr:x>0.87086</cdr:x>
      <cdr:y>0.45929</cdr:y>
    </cdr:to>
    <cdr:cxnSp macro="">
      <cdr:nvCxnSpPr>
        <cdr:cNvPr id="3" name="Conexão Reta 2">
          <a:extLst xmlns:a="http://schemas.openxmlformats.org/drawingml/2006/main">
            <a:ext uri="{FF2B5EF4-FFF2-40B4-BE49-F238E27FC236}">
              <a16:creationId xmlns:a16="http://schemas.microsoft.com/office/drawing/2014/main" id="{74E476AF-45A1-2E46-AA8A-F7A2F50E6BA6}"/>
            </a:ext>
          </a:extLst>
        </cdr:cNvPr>
        <cdr:cNvCxnSpPr/>
      </cdr:nvCxnSpPr>
      <cdr:spPr>
        <a:xfrm xmlns:a="http://schemas.openxmlformats.org/drawingml/2006/main">
          <a:off x="934905" y="1241791"/>
          <a:ext cx="3006177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0.20884</cdr:x>
      <cdr:y>0.26012</cdr:y>
    </cdr:from>
    <cdr:to>
      <cdr:x>0.87311</cdr:x>
      <cdr:y>0.26012</cdr:y>
    </cdr:to>
    <cdr:cxnSp macro="">
      <cdr:nvCxnSpPr>
        <cdr:cNvPr id="4" name="Conexão Reta 3">
          <a:extLst xmlns:a="http://schemas.openxmlformats.org/drawingml/2006/main">
            <a:ext uri="{FF2B5EF4-FFF2-40B4-BE49-F238E27FC236}">
              <a16:creationId xmlns:a16="http://schemas.microsoft.com/office/drawing/2014/main" id="{97DBD5B6-42FF-3F43-8379-B82743E0C2DA}"/>
            </a:ext>
          </a:extLst>
        </cdr:cNvPr>
        <cdr:cNvCxnSpPr/>
      </cdr:nvCxnSpPr>
      <cdr:spPr>
        <a:xfrm xmlns:a="http://schemas.openxmlformats.org/drawingml/2006/main">
          <a:off x="945103" y="703291"/>
          <a:ext cx="3006177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793844</xdr:colOff>
      <xdr:row>27</xdr:row>
      <xdr:rowOff>206233</xdr:rowOff>
    </xdr:from>
    <xdr:ext cx="65" cy="34419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D4FD020-C29B-6649-B627-D8F91E25CC9B}"/>
            </a:ext>
          </a:extLst>
        </xdr:cNvPr>
        <xdr:cNvSpPr txBox="1"/>
      </xdr:nvSpPr>
      <xdr:spPr>
        <a:xfrm>
          <a:off x="12591073" y="5783522"/>
          <a:ext cx="65" cy="344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  <a:p>
          <a:endParaRPr lang="pt-PT" sz="1100"/>
        </a:p>
      </xdr:txBody>
    </xdr:sp>
    <xdr:clientData/>
  </xdr:oneCellAnchor>
  <xdr:oneCellAnchor>
    <xdr:from>
      <xdr:col>15</xdr:col>
      <xdr:colOff>118454</xdr:colOff>
      <xdr:row>16</xdr:row>
      <xdr:rowOff>201538</xdr:rowOff>
    </xdr:from>
    <xdr:ext cx="65" cy="172098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7D92B00-D2B4-E34B-868C-F1AC9AB4CC31}"/>
            </a:ext>
          </a:extLst>
        </xdr:cNvPr>
        <xdr:cNvSpPr txBox="1"/>
      </xdr:nvSpPr>
      <xdr:spPr>
        <a:xfrm>
          <a:off x="11963875" y="342994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19</xdr:col>
      <xdr:colOff>568633</xdr:colOff>
      <xdr:row>0</xdr:row>
      <xdr:rowOff>0</xdr:rowOff>
    </xdr:from>
    <xdr:to>
      <xdr:col>23</xdr:col>
      <xdr:colOff>810775</xdr:colOff>
      <xdr:row>10</xdr:row>
      <xdr:rowOff>151973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EB46A72-44FA-ED49-9DA6-6C6245013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14203</xdr:colOff>
      <xdr:row>10</xdr:row>
      <xdr:rowOff>193174</xdr:rowOff>
    </xdr:from>
    <xdr:to>
      <xdr:col>40</xdr:col>
      <xdr:colOff>486053</xdr:colOff>
      <xdr:row>24</xdr:row>
      <xdr:rowOff>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B6DE572-7E3C-864B-A865-EE27134C0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474310</xdr:colOff>
      <xdr:row>11</xdr:row>
      <xdr:rowOff>79006</xdr:rowOff>
    </xdr:from>
    <xdr:to>
      <xdr:col>23</xdr:col>
      <xdr:colOff>641257</xdr:colOff>
      <xdr:row>22</xdr:row>
      <xdr:rowOff>183513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50CDC06-2F99-D843-AA7E-9BB42CED9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205748</xdr:colOff>
      <xdr:row>23</xdr:row>
      <xdr:rowOff>108682</xdr:rowOff>
    </xdr:from>
    <xdr:to>
      <xdr:col>23</xdr:col>
      <xdr:colOff>428836</xdr:colOff>
      <xdr:row>33</xdr:row>
      <xdr:rowOff>15327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57A0A51-8950-E540-80BD-EA74B5D85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238138</xdr:colOff>
      <xdr:row>33</xdr:row>
      <xdr:rowOff>105055</xdr:rowOff>
    </xdr:from>
    <xdr:to>
      <xdr:col>23</xdr:col>
      <xdr:colOff>464520</xdr:colOff>
      <xdr:row>43</xdr:row>
      <xdr:rowOff>9905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B7317CA-86D7-3240-8F64-132E524C4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313660</xdr:colOff>
      <xdr:row>9</xdr:row>
      <xdr:rowOff>109181</xdr:rowOff>
    </xdr:from>
    <xdr:to>
      <xdr:col>30</xdr:col>
      <xdr:colOff>749792</xdr:colOff>
      <xdr:row>22</xdr:row>
      <xdr:rowOff>145705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41D1B6E2-A5B1-474B-AB0B-0F001768B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354101</xdr:colOff>
      <xdr:row>53</xdr:row>
      <xdr:rowOff>61156</xdr:rowOff>
    </xdr:from>
    <xdr:to>
      <xdr:col>23</xdr:col>
      <xdr:colOff>100099</xdr:colOff>
      <xdr:row>63</xdr:row>
      <xdr:rowOff>18246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542FC28F-4B0F-844D-A47E-C9C6A9232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253345</xdr:colOff>
      <xdr:row>43</xdr:row>
      <xdr:rowOff>90385</xdr:rowOff>
    </xdr:from>
    <xdr:to>
      <xdr:col>23</xdr:col>
      <xdr:colOff>467126</xdr:colOff>
      <xdr:row>52</xdr:row>
      <xdr:rowOff>175172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4454E870-D9C2-0C40-A4E3-D5A25E425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273385</xdr:colOff>
      <xdr:row>62</xdr:row>
      <xdr:rowOff>118442</xdr:rowOff>
    </xdr:from>
    <xdr:to>
      <xdr:col>23</xdr:col>
      <xdr:colOff>353936</xdr:colOff>
      <xdr:row>71</xdr:row>
      <xdr:rowOff>145738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E265F8E-B4B6-DE4A-A5C4-597A70374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153444</xdr:colOff>
      <xdr:row>72</xdr:row>
      <xdr:rowOff>48481</xdr:rowOff>
    </xdr:from>
    <xdr:to>
      <xdr:col>23</xdr:col>
      <xdr:colOff>365343</xdr:colOff>
      <xdr:row>82</xdr:row>
      <xdr:rowOff>139178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ECCF476-44C9-AD47-94BE-3F58FD362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161191</xdr:colOff>
      <xdr:row>83</xdr:row>
      <xdr:rowOff>32655</xdr:rowOff>
    </xdr:from>
    <xdr:to>
      <xdr:col>23</xdr:col>
      <xdr:colOff>501549</xdr:colOff>
      <xdr:row>93</xdr:row>
      <xdr:rowOff>104018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3AB504EB-6ADF-1745-8059-776D88B61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27</xdr:col>
      <xdr:colOff>812800</xdr:colOff>
      <xdr:row>34</xdr:row>
      <xdr:rowOff>152400</xdr:rowOff>
    </xdr:from>
    <xdr:to>
      <xdr:col>29</xdr:col>
      <xdr:colOff>834480</xdr:colOff>
      <xdr:row>43</xdr:row>
      <xdr:rowOff>101985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D8C5490-2843-2C4A-85C2-B2AAD606C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453600" y="7332133"/>
          <a:ext cx="1681146" cy="1778385"/>
        </a:xfrm>
        <a:prstGeom prst="rect">
          <a:avLst/>
        </a:prstGeom>
      </xdr:spPr>
    </xdr:pic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0.233</cdr:x>
      <cdr:y>0.46629</cdr:y>
    </cdr:from>
    <cdr:to>
      <cdr:x>0.87361</cdr:x>
      <cdr:y>0.46629</cdr:y>
    </cdr:to>
    <cdr:cxnSp macro="">
      <cdr:nvCxnSpPr>
        <cdr:cNvPr id="3" name="Conexão Reta 2">
          <a:extLst xmlns:a="http://schemas.openxmlformats.org/drawingml/2006/main">
            <a:ext uri="{FF2B5EF4-FFF2-40B4-BE49-F238E27FC236}">
              <a16:creationId xmlns:a16="http://schemas.microsoft.com/office/drawing/2014/main" id="{1CBD80B6-1872-D445-9A3C-7A55DF83D3FF}"/>
            </a:ext>
          </a:extLst>
        </cdr:cNvPr>
        <cdr:cNvCxnSpPr/>
      </cdr:nvCxnSpPr>
      <cdr:spPr>
        <a:xfrm xmlns:a="http://schemas.openxmlformats.org/drawingml/2006/main">
          <a:off x="1071647" y="1248276"/>
          <a:ext cx="2946400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rgbClr val="C0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0.23327</cdr:x>
      <cdr:y>0.52885</cdr:y>
    </cdr:from>
    <cdr:to>
      <cdr:x>0.87388</cdr:x>
      <cdr:y>0.52885</cdr:y>
    </cdr:to>
    <cdr:cxnSp macro="">
      <cdr:nvCxnSpPr>
        <cdr:cNvPr id="4" name="Conexão Reta 3">
          <a:extLst xmlns:a="http://schemas.openxmlformats.org/drawingml/2006/main">
            <a:ext uri="{FF2B5EF4-FFF2-40B4-BE49-F238E27FC236}">
              <a16:creationId xmlns:a16="http://schemas.microsoft.com/office/drawing/2014/main" id="{BD11AFB0-48C1-9545-9A29-C18D0F7BE436}"/>
            </a:ext>
          </a:extLst>
        </cdr:cNvPr>
        <cdr:cNvCxnSpPr/>
      </cdr:nvCxnSpPr>
      <cdr:spPr>
        <a:xfrm xmlns:a="http://schemas.openxmlformats.org/drawingml/2006/main">
          <a:off x="1071082" y="1424583"/>
          <a:ext cx="2941439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rgbClr val="C0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205575</xdr:colOff>
      <xdr:row>1</xdr:row>
      <xdr:rowOff>0</xdr:rowOff>
    </xdr:from>
    <xdr:ext cx="6690527" cy="418522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AF419F-0E74-BD4B-BFA6-784E1AA70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26</xdr:col>
      <xdr:colOff>455191</xdr:colOff>
      <xdr:row>0</xdr:row>
      <xdr:rowOff>188664</xdr:rowOff>
    </xdr:from>
    <xdr:ext cx="7335175" cy="4333775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B94450-91E6-C742-A7B0-F1B9BD2C2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605720</xdr:colOff>
      <xdr:row>3</xdr:row>
      <xdr:rowOff>151813</xdr:rowOff>
    </xdr:from>
    <xdr:to>
      <xdr:col>11</xdr:col>
      <xdr:colOff>82315</xdr:colOff>
      <xdr:row>18</xdr:row>
      <xdr:rowOff>132762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7568CC-5248-D54A-A561-A35CA3211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47A3-DF51-5D47-A19F-5B6BB5E8F4BC}">
  <dimension ref="B3:Q12"/>
  <sheetViews>
    <sheetView zoomScale="92" workbookViewId="0">
      <selection activeCell="J15" sqref="J15"/>
    </sheetView>
  </sheetViews>
  <sheetFormatPr defaultColWidth="11" defaultRowHeight="15.75"/>
  <cols>
    <col min="1" max="1" width="4.25" customWidth="1"/>
    <col min="2" max="2" width="17.5" customWidth="1"/>
  </cols>
  <sheetData>
    <row r="3" spans="2:17">
      <c r="C3" s="47" t="s">
        <v>0</v>
      </c>
      <c r="D3" s="47" t="s">
        <v>1</v>
      </c>
      <c r="E3" s="47" t="s">
        <v>2</v>
      </c>
      <c r="F3" s="47" t="s">
        <v>3</v>
      </c>
      <c r="G3" s="47" t="s">
        <v>4</v>
      </c>
      <c r="H3" s="47" t="s">
        <v>5</v>
      </c>
      <c r="I3" s="47" t="s">
        <v>6</v>
      </c>
      <c r="J3" s="47" t="s">
        <v>7</v>
      </c>
      <c r="K3" s="47" t="s">
        <v>8</v>
      </c>
      <c r="L3" s="47" t="s">
        <v>9</v>
      </c>
      <c r="M3" s="47" t="s">
        <v>10</v>
      </c>
      <c r="N3" s="47" t="s">
        <v>11</v>
      </c>
      <c r="O3" s="47" t="s">
        <v>12</v>
      </c>
      <c r="P3" s="47" t="s">
        <v>13</v>
      </c>
      <c r="Q3" s="47" t="s">
        <v>14</v>
      </c>
    </row>
    <row r="4" spans="2:17">
      <c r="B4" s="60" t="s">
        <v>15</v>
      </c>
      <c r="C4" s="46">
        <v>1</v>
      </c>
      <c r="D4" s="20">
        <v>6.06</v>
      </c>
      <c r="E4" s="20">
        <v>6.07</v>
      </c>
      <c r="F4" s="20">
        <v>6.0609999999999999</v>
      </c>
      <c r="G4" s="20">
        <v>6.08</v>
      </c>
      <c r="H4" s="20">
        <v>6.0839999999999996</v>
      </c>
      <c r="I4" s="20">
        <f>AVERAGE(D4:H4)</f>
        <v>6.0709999999999997</v>
      </c>
      <c r="J4" s="20">
        <f>(_xlfn.STDEV.S(D4:H4))/(SQRT(5))</f>
        <v>4.8579831205964518E-3</v>
      </c>
      <c r="K4" s="20">
        <v>0.96</v>
      </c>
      <c r="L4" s="20">
        <v>0.97</v>
      </c>
      <c r="M4" s="20">
        <v>0.95799999999999996</v>
      </c>
      <c r="N4" s="20">
        <v>0.94</v>
      </c>
      <c r="O4" s="20">
        <v>1.06</v>
      </c>
      <c r="P4" s="20">
        <f>AVERAGE(K4:O4)</f>
        <v>0.97760000000000002</v>
      </c>
      <c r="Q4" s="20">
        <f>(_xlfn.STDEV.S(K4:O4))/(SQRT(5))</f>
        <v>2.1160340261914524E-2</v>
      </c>
    </row>
    <row r="5" spans="2:17">
      <c r="B5" s="60"/>
      <c r="C5" s="46">
        <v>2</v>
      </c>
      <c r="D5" s="20">
        <v>12.07</v>
      </c>
      <c r="E5" s="20">
        <v>12.06</v>
      </c>
      <c r="F5" s="20">
        <v>12.077999999999999</v>
      </c>
      <c r="G5" s="20">
        <v>12.064</v>
      </c>
      <c r="H5" s="20">
        <v>12.071999999999999</v>
      </c>
      <c r="I5" s="20">
        <f t="shared" ref="I5:I12" si="0">AVERAGE(D5:H5)</f>
        <v>12.0688</v>
      </c>
      <c r="J5" s="20">
        <f t="shared" ref="J5:J12" si="1">(_xlfn.STDEV.S(D5:H5))/(SQRT(5))</f>
        <v>3.1368774282714259E-3</v>
      </c>
      <c r="K5" s="20">
        <v>1.054</v>
      </c>
      <c r="L5" s="20">
        <v>1.048</v>
      </c>
      <c r="M5" s="20">
        <v>1.05</v>
      </c>
      <c r="N5" s="20">
        <v>1.054</v>
      </c>
      <c r="O5" s="20">
        <v>1.056</v>
      </c>
      <c r="P5" s="20">
        <f t="shared" ref="P5:P12" si="2">AVERAGE(K5:O5)</f>
        <v>1.0524</v>
      </c>
      <c r="Q5" s="20">
        <f t="shared" ref="Q5:Q12" si="3">(_xlfn.STDEV.S(K5:O5))/(SQRT(5))</f>
        <v>1.469693845669908E-3</v>
      </c>
    </row>
    <row r="6" spans="2:17">
      <c r="B6" s="60"/>
      <c r="C6" s="46">
        <v>3</v>
      </c>
      <c r="D6" s="20">
        <v>13.01</v>
      </c>
      <c r="E6" s="20">
        <v>13.012</v>
      </c>
      <c r="F6" s="20">
        <v>13.007999999999999</v>
      </c>
      <c r="G6" s="20">
        <v>13.01</v>
      </c>
      <c r="H6" s="20">
        <v>13.013999999999999</v>
      </c>
      <c r="I6" s="20">
        <f t="shared" si="0"/>
        <v>13.0108</v>
      </c>
      <c r="J6" s="20">
        <f t="shared" si="1"/>
        <v>1.0198039027186187E-3</v>
      </c>
      <c r="K6" s="20">
        <v>1.05</v>
      </c>
      <c r="L6" s="20">
        <v>1.054</v>
      </c>
      <c r="M6" s="20">
        <v>1.0580000000000001</v>
      </c>
      <c r="N6" s="20">
        <v>1.048</v>
      </c>
      <c r="O6" s="20">
        <v>1.07</v>
      </c>
      <c r="P6" s="20">
        <f t="shared" si="2"/>
        <v>1.056</v>
      </c>
      <c r="Q6" s="20">
        <f t="shared" si="3"/>
        <v>3.8987177379235893E-3</v>
      </c>
    </row>
    <row r="7" spans="2:17">
      <c r="B7" s="60"/>
      <c r="C7" s="46">
        <v>4</v>
      </c>
      <c r="D7" s="20">
        <v>14.1</v>
      </c>
      <c r="E7" s="20">
        <v>14.01</v>
      </c>
      <c r="F7" s="20">
        <v>14.08</v>
      </c>
      <c r="G7" s="20">
        <v>14.06</v>
      </c>
      <c r="H7" s="20">
        <v>14.1</v>
      </c>
      <c r="I7" s="20">
        <f t="shared" si="0"/>
        <v>14.069999999999999</v>
      </c>
      <c r="J7" s="20">
        <f t="shared" si="1"/>
        <v>1.6733200530681471E-2</v>
      </c>
      <c r="K7" s="20">
        <v>1.07</v>
      </c>
      <c r="L7" s="20">
        <v>1.0649999999999999</v>
      </c>
      <c r="M7" s="20">
        <v>1.0489999999999999</v>
      </c>
      <c r="N7" s="20">
        <v>1.073</v>
      </c>
      <c r="O7" s="20">
        <v>1.081</v>
      </c>
      <c r="P7" s="20">
        <f t="shared" si="2"/>
        <v>1.0675999999999999</v>
      </c>
      <c r="Q7" s="20">
        <f t="shared" si="3"/>
        <v>5.3254107822777461E-3</v>
      </c>
    </row>
    <row r="8" spans="2:17">
      <c r="B8" s="60" t="s">
        <v>16</v>
      </c>
      <c r="C8" s="46">
        <v>5</v>
      </c>
      <c r="D8" s="20">
        <v>14.95</v>
      </c>
      <c r="E8" s="20">
        <v>15</v>
      </c>
      <c r="F8" s="20">
        <v>14.9</v>
      </c>
      <c r="G8" s="20">
        <v>14.98</v>
      </c>
      <c r="H8" s="20">
        <v>15.01</v>
      </c>
      <c r="I8" s="20">
        <f t="shared" si="0"/>
        <v>14.968</v>
      </c>
      <c r="J8" s="20">
        <f>(_xlfn.STDEV.S(D8:H8))/(SQRT(5))</f>
        <v>1.984943324127917E-2</v>
      </c>
      <c r="K8" s="56">
        <v>1</v>
      </c>
      <c r="L8" s="56">
        <v>1.006</v>
      </c>
      <c r="M8" s="56">
        <v>1.0089999999999999</v>
      </c>
      <c r="N8" s="56">
        <v>1.0149999999999999</v>
      </c>
      <c r="O8" s="56">
        <v>0.995</v>
      </c>
      <c r="P8" s="20">
        <f t="shared" si="2"/>
        <v>1.0050000000000001</v>
      </c>
      <c r="Q8" s="20">
        <f t="shared" si="3"/>
        <v>3.4785054261851976E-3</v>
      </c>
    </row>
    <row r="9" spans="2:17">
      <c r="B9" s="60"/>
      <c r="C9" s="46">
        <v>6</v>
      </c>
      <c r="D9" s="20">
        <v>16.98</v>
      </c>
      <c r="E9" s="20">
        <v>17</v>
      </c>
      <c r="F9" s="20">
        <v>16.989999999999998</v>
      </c>
      <c r="G9" s="20">
        <v>17.02</v>
      </c>
      <c r="H9" s="20">
        <v>17.010000000000002</v>
      </c>
      <c r="I9" s="20">
        <f t="shared" si="0"/>
        <v>17</v>
      </c>
      <c r="J9" s="20">
        <f t="shared" si="1"/>
        <v>7.0710678118655751E-3</v>
      </c>
      <c r="K9" s="56">
        <v>1.01</v>
      </c>
      <c r="L9" s="56">
        <v>1.0069999999999999</v>
      </c>
      <c r="M9" s="56">
        <v>1.014</v>
      </c>
      <c r="N9" s="56">
        <v>1.0049999999999999</v>
      </c>
      <c r="O9" s="56">
        <v>1.0089999999999999</v>
      </c>
      <c r="P9" s="20">
        <f t="shared" si="2"/>
        <v>1.0089999999999999</v>
      </c>
      <c r="Q9" s="20">
        <f t="shared" si="3"/>
        <v>1.5165750888103335E-3</v>
      </c>
    </row>
    <row r="10" spans="2:17">
      <c r="B10" s="60"/>
      <c r="C10" s="46">
        <v>7</v>
      </c>
      <c r="D10" s="20">
        <v>18</v>
      </c>
      <c r="E10" s="20">
        <v>18</v>
      </c>
      <c r="F10" s="20">
        <v>18.010000000000002</v>
      </c>
      <c r="G10" s="20">
        <v>18.03</v>
      </c>
      <c r="H10" s="20">
        <v>17.98</v>
      </c>
      <c r="I10" s="20">
        <f t="shared" si="0"/>
        <v>18.004000000000001</v>
      </c>
      <c r="J10" s="20">
        <f t="shared" si="1"/>
        <v>8.1240384046361372E-3</v>
      </c>
      <c r="K10" s="56">
        <v>1.04</v>
      </c>
      <c r="L10" s="56">
        <v>1.0409999999999999</v>
      </c>
      <c r="M10" s="56">
        <v>1.0469999999999999</v>
      </c>
      <c r="N10" s="56">
        <v>1.038</v>
      </c>
      <c r="O10" s="56">
        <v>1.0349999999999999</v>
      </c>
      <c r="P10" s="20">
        <f t="shared" si="2"/>
        <v>1.0402</v>
      </c>
      <c r="Q10" s="20">
        <f t="shared" si="3"/>
        <v>1.9849433241279158E-3</v>
      </c>
    </row>
    <row r="11" spans="2:17">
      <c r="B11" s="60"/>
      <c r="C11" s="46">
        <v>8</v>
      </c>
      <c r="D11" s="20">
        <v>21.9</v>
      </c>
      <c r="E11" s="20">
        <v>22</v>
      </c>
      <c r="F11" s="20">
        <v>22.1</v>
      </c>
      <c r="G11" s="20">
        <v>22.09</v>
      </c>
      <c r="H11" s="20">
        <v>21.99</v>
      </c>
      <c r="I11" s="20">
        <f t="shared" si="0"/>
        <v>22.015999999999998</v>
      </c>
      <c r="J11" s="20">
        <f t="shared" si="1"/>
        <v>3.6687872655688708E-2</v>
      </c>
      <c r="K11" s="56">
        <v>1.05</v>
      </c>
      <c r="L11" s="56">
        <v>1.07</v>
      </c>
      <c r="M11" s="56">
        <v>1.02</v>
      </c>
      <c r="N11" s="56">
        <v>0.995</v>
      </c>
      <c r="O11" s="56">
        <v>0.999</v>
      </c>
      <c r="P11" s="20">
        <f t="shared" si="2"/>
        <v>1.0267999999999999</v>
      </c>
      <c r="Q11" s="20">
        <f t="shared" si="3"/>
        <v>1.4551288602732073E-2</v>
      </c>
    </row>
    <row r="12" spans="2:17">
      <c r="B12" s="60"/>
      <c r="C12" s="46">
        <v>9</v>
      </c>
      <c r="D12" s="20">
        <v>26.1</v>
      </c>
      <c r="E12" s="20">
        <v>26.12</v>
      </c>
      <c r="F12" s="20">
        <v>26.21</v>
      </c>
      <c r="G12" s="20">
        <v>25.99</v>
      </c>
      <c r="H12" s="20">
        <v>26.05</v>
      </c>
      <c r="I12" s="20">
        <f t="shared" si="0"/>
        <v>26.094000000000001</v>
      </c>
      <c r="J12" s="20">
        <f t="shared" si="1"/>
        <v>3.6687872655688639E-2</v>
      </c>
      <c r="K12" s="56">
        <v>1.038</v>
      </c>
      <c r="L12" s="56">
        <v>1.0449999999999999</v>
      </c>
      <c r="M12" s="56">
        <v>1.0409999999999999</v>
      </c>
      <c r="N12" s="56">
        <v>1.0349999999999999</v>
      </c>
      <c r="O12" s="56">
        <v>1.0389999999999999</v>
      </c>
      <c r="P12" s="20">
        <f t="shared" si="2"/>
        <v>1.0395999999999999</v>
      </c>
      <c r="Q12" s="20">
        <f t="shared" si="3"/>
        <v>1.6613247725836111E-3</v>
      </c>
    </row>
  </sheetData>
  <mergeCells count="2">
    <mergeCell ref="B4:B7"/>
    <mergeCell ref="B8:B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06A8-5049-E942-8831-3A487B26A723}">
  <dimension ref="A2:Y133"/>
  <sheetViews>
    <sheetView topLeftCell="A18" zoomScaleNormal="100" workbookViewId="0">
      <selection activeCell="E13" sqref="E13"/>
    </sheetView>
  </sheetViews>
  <sheetFormatPr defaultColWidth="10.75" defaultRowHeight="15.75"/>
  <cols>
    <col min="1" max="1" width="5.25" style="1" customWidth="1"/>
    <col min="2" max="2" width="15" style="1" customWidth="1"/>
    <col min="3" max="5" width="10.75" style="1"/>
    <col min="6" max="6" width="12.25" style="1" bestFit="1" customWidth="1"/>
    <col min="7" max="9" width="10.75" style="1"/>
    <col min="10" max="10" width="12.25" style="1" bestFit="1" customWidth="1"/>
    <col min="11" max="18" width="10.75" style="1"/>
    <col min="19" max="19" width="15.75" style="1" bestFit="1" customWidth="1"/>
    <col min="20" max="20" width="12.25" style="1" customWidth="1"/>
    <col min="21" max="22" width="10.75" style="1"/>
    <col min="23" max="23" width="12.5" style="1" customWidth="1"/>
    <col min="24" max="16384" width="10.75" style="1"/>
  </cols>
  <sheetData>
    <row r="2" spans="2:25">
      <c r="B2" s="47" t="s">
        <v>0</v>
      </c>
      <c r="C2" s="47" t="s">
        <v>6</v>
      </c>
      <c r="D2" s="47" t="s">
        <v>7</v>
      </c>
      <c r="E2" s="47" t="s">
        <v>17</v>
      </c>
      <c r="F2" s="47" t="s">
        <v>18</v>
      </c>
      <c r="G2" s="47" t="s">
        <v>13</v>
      </c>
      <c r="H2" s="47" t="s">
        <v>14</v>
      </c>
      <c r="I2" s="47" t="s">
        <v>19</v>
      </c>
      <c r="J2" s="47" t="s">
        <v>20</v>
      </c>
    </row>
    <row r="3" spans="2:25" ht="16.5" thickBot="1">
      <c r="B3" s="2">
        <v>1</v>
      </c>
      <c r="C3" s="16">
        <f>Tubos!I4</f>
        <v>6.0709999999999997</v>
      </c>
      <c r="D3" s="16">
        <f>Tubos!J4</f>
        <v>4.8579831205964518E-3</v>
      </c>
      <c r="E3" s="14">
        <f>C3*10^-3</f>
        <v>6.071E-3</v>
      </c>
      <c r="F3" s="14">
        <f>D3*10^-3</f>
        <v>4.8579831205964523E-6</v>
      </c>
      <c r="G3" s="16">
        <f>Tubos!P4</f>
        <v>0.97760000000000002</v>
      </c>
      <c r="H3" s="16">
        <f>Tubos!Q4</f>
        <v>2.1160340261914524E-2</v>
      </c>
      <c r="I3" s="14">
        <f>G3*10^-3</f>
        <v>9.7760000000000013E-4</v>
      </c>
      <c r="J3" s="14">
        <f>H3*10^-3</f>
        <v>2.1160340261914524E-5</v>
      </c>
      <c r="R3" s="61">
        <v>1</v>
      </c>
      <c r="S3" s="62"/>
      <c r="T3" s="63"/>
    </row>
    <row r="4" spans="2:25" ht="16.5" thickBot="1">
      <c r="B4" s="2">
        <v>2</v>
      </c>
      <c r="C4" s="16">
        <f>Tubos!I5</f>
        <v>12.0688</v>
      </c>
      <c r="D4" s="16">
        <f>Tubos!J5</f>
        <v>3.1368774282714259E-3</v>
      </c>
      <c r="E4" s="14">
        <f t="shared" ref="E4:E11" si="0">C4*10^-3</f>
        <v>1.2068799999999999E-2</v>
      </c>
      <c r="F4" s="14">
        <f t="shared" ref="F4:F11" si="1">D4*10^-3</f>
        <v>3.136877428271426E-6</v>
      </c>
      <c r="G4" s="16">
        <f>Tubos!P5</f>
        <v>1.0524</v>
      </c>
      <c r="H4" s="16">
        <f>Tubos!Q5</f>
        <v>1.469693845669908E-3</v>
      </c>
      <c r="I4" s="14">
        <f t="shared" ref="I4:I11" si="2">G4*10^-3</f>
        <v>1.0524E-3</v>
      </c>
      <c r="J4" s="14">
        <f t="shared" ref="J4:J11" si="3">H4*10^-3</f>
        <v>1.4696938456699081E-6</v>
      </c>
      <c r="Q4" s="48" t="s">
        <v>21</v>
      </c>
      <c r="R4" s="48" t="s">
        <v>22</v>
      </c>
      <c r="S4" s="48" t="s">
        <v>23</v>
      </c>
      <c r="T4" s="48" t="s">
        <v>24</v>
      </c>
      <c r="V4" s="64">
        <v>1</v>
      </c>
      <c r="W4" s="65"/>
      <c r="X4" s="65"/>
      <c r="Y4" s="66"/>
    </row>
    <row r="5" spans="2:25">
      <c r="B5" s="2">
        <v>3</v>
      </c>
      <c r="C5" s="16">
        <f>Tubos!I6</f>
        <v>13.0108</v>
      </c>
      <c r="D5" s="16">
        <f>Tubos!J6</f>
        <v>1.0198039027186187E-3</v>
      </c>
      <c r="E5" s="14">
        <f t="shared" si="0"/>
        <v>1.3010799999999999E-2</v>
      </c>
      <c r="F5" s="14">
        <f t="shared" si="1"/>
        <v>1.0198039027186187E-6</v>
      </c>
      <c r="G5" s="16">
        <f>Tubos!P6</f>
        <v>1.056</v>
      </c>
      <c r="H5" s="16">
        <f>Tubos!Q6</f>
        <v>3.8987177379235893E-3</v>
      </c>
      <c r="I5" s="14">
        <f t="shared" si="2"/>
        <v>1.0560000000000001E-3</v>
      </c>
      <c r="J5" s="14">
        <f t="shared" si="3"/>
        <v>3.8987177379235894E-6</v>
      </c>
      <c r="P5" s="2"/>
      <c r="Q5" s="49">
        <v>1</v>
      </c>
      <c r="R5" s="1">
        <v>1330</v>
      </c>
      <c r="S5" s="2" cm="1">
        <f t="array" ref="S5:S9">$W$5*Q5:Q9+$X$5</f>
        <v>1302.8000000000006</v>
      </c>
      <c r="T5" s="2">
        <f>S5-P5</f>
        <v>1302.8000000000006</v>
      </c>
      <c r="V5" s="50" t="s">
        <v>25</v>
      </c>
      <c r="W5" s="8">
        <f t="array" ref="W5:X7">LINEST(R5:R8,Q5:Q8,1,1)</f>
        <v>2729.7999999999997</v>
      </c>
      <c r="X5" s="12">
        <v>-1426.9999999999991</v>
      </c>
      <c r="Y5" s="50" t="s">
        <v>26</v>
      </c>
    </row>
    <row r="6" spans="2:25">
      <c r="B6" s="2">
        <v>4</v>
      </c>
      <c r="C6" s="16">
        <f>Tubos!I7</f>
        <v>14.069999999999999</v>
      </c>
      <c r="D6" s="16">
        <f>Tubos!J7</f>
        <v>1.6733200530681471E-2</v>
      </c>
      <c r="E6" s="14">
        <f t="shared" si="0"/>
        <v>1.4069999999999999E-2</v>
      </c>
      <c r="F6" s="14">
        <f t="shared" si="1"/>
        <v>1.673320053068147E-5</v>
      </c>
      <c r="G6" s="16">
        <f>Tubos!P7</f>
        <v>1.0675999999999999</v>
      </c>
      <c r="H6" s="16">
        <f>Tubos!Q7</f>
        <v>5.3254107822777461E-3</v>
      </c>
      <c r="I6" s="14">
        <f t="shared" si="2"/>
        <v>1.0675999999999999E-3</v>
      </c>
      <c r="J6" s="14">
        <f t="shared" si="3"/>
        <v>5.3254107822777466E-6</v>
      </c>
      <c r="Q6" s="49">
        <v>2</v>
      </c>
      <c r="R6" s="2">
        <v>4015</v>
      </c>
      <c r="S6" s="2">
        <v>4032.6000000000004</v>
      </c>
      <c r="T6" s="2">
        <f t="shared" ref="T6:T9" si="4">S6-R6</f>
        <v>17.600000000000364</v>
      </c>
      <c r="V6" s="47" t="s">
        <v>27</v>
      </c>
      <c r="W6" s="11">
        <v>21.346662502602122</v>
      </c>
      <c r="X6" s="11">
        <v>58.460242900624316</v>
      </c>
      <c r="Y6" s="47" t="s">
        <v>28</v>
      </c>
    </row>
    <row r="7" spans="2:25" ht="17.25">
      <c r="B7" s="2">
        <v>5</v>
      </c>
      <c r="C7" s="7">
        <f>Tubos!I8</f>
        <v>14.968</v>
      </c>
      <c r="D7" s="7">
        <f>Tubos!J8</f>
        <v>1.984943324127917E-2</v>
      </c>
      <c r="E7" s="15">
        <f t="shared" si="0"/>
        <v>1.4968E-2</v>
      </c>
      <c r="F7" s="15">
        <f t="shared" si="1"/>
        <v>1.9849433241279172E-5</v>
      </c>
      <c r="G7" s="16">
        <f>Tubos!P8</f>
        <v>1.0050000000000001</v>
      </c>
      <c r="H7" s="16">
        <f>Tubos!Q8</f>
        <v>3.4785054261851976E-3</v>
      </c>
      <c r="I7" s="14">
        <f t="shared" si="2"/>
        <v>1.005E-3</v>
      </c>
      <c r="J7" s="14">
        <f>H7*10^-3</f>
        <v>3.4785054261851976E-6</v>
      </c>
      <c r="Q7" s="49">
        <v>3</v>
      </c>
      <c r="R7" s="2">
        <v>6716</v>
      </c>
      <c r="S7" s="2">
        <v>6762.4000000000005</v>
      </c>
      <c r="T7" s="2">
        <f t="shared" si="4"/>
        <v>46.400000000000546</v>
      </c>
      <c r="V7" s="47" t="s">
        <v>29</v>
      </c>
      <c r="W7" s="15">
        <v>0.99987771443535101</v>
      </c>
      <c r="X7" s="11">
        <v>47.732588448564123</v>
      </c>
      <c r="Y7" s="47" t="s">
        <v>30</v>
      </c>
    </row>
    <row r="8" spans="2:25">
      <c r="B8" s="2">
        <v>6</v>
      </c>
      <c r="C8" s="7">
        <f>Tubos!I9</f>
        <v>17</v>
      </c>
      <c r="D8" s="7">
        <f>Tubos!J9</f>
        <v>7.0710678118655751E-3</v>
      </c>
      <c r="E8" s="15">
        <f t="shared" si="0"/>
        <v>1.7000000000000001E-2</v>
      </c>
      <c r="F8" s="15">
        <f t="shared" si="1"/>
        <v>7.0710678118655755E-6</v>
      </c>
      <c r="G8" s="16">
        <f>Tubos!P9</f>
        <v>1.0089999999999999</v>
      </c>
      <c r="H8" s="16">
        <f>Tubos!Q9</f>
        <v>1.5165750888103335E-3</v>
      </c>
      <c r="I8" s="14">
        <f t="shared" si="2"/>
        <v>1.0089999999999999E-3</v>
      </c>
      <c r="J8" s="14">
        <f t="shared" si="3"/>
        <v>1.5165750888103334E-6</v>
      </c>
      <c r="Q8" s="49">
        <v>4</v>
      </c>
      <c r="R8" s="2">
        <v>9529</v>
      </c>
      <c r="S8" s="2">
        <v>9492.2000000000007</v>
      </c>
      <c r="T8" s="2">
        <f t="shared" si="4"/>
        <v>-36.799999999999272</v>
      </c>
      <c r="W8" s="3"/>
      <c r="X8" s="3"/>
      <c r="Y8" s="3"/>
    </row>
    <row r="9" spans="2:25">
      <c r="B9" s="2">
        <v>7</v>
      </c>
      <c r="C9" s="7">
        <f>Tubos!I10</f>
        <v>18.004000000000001</v>
      </c>
      <c r="D9" s="7">
        <f>Tubos!J10</f>
        <v>8.1240384046361372E-3</v>
      </c>
      <c r="E9" s="15">
        <f t="shared" si="0"/>
        <v>1.8004000000000003E-2</v>
      </c>
      <c r="F9" s="15">
        <f t="shared" si="1"/>
        <v>8.1240384046361374E-6</v>
      </c>
      <c r="G9" s="16">
        <f>Tubos!P10</f>
        <v>1.0402</v>
      </c>
      <c r="H9" s="16">
        <f>Tubos!Q10</f>
        <v>1.9849433241279158E-3</v>
      </c>
      <c r="I9" s="14">
        <f t="shared" si="2"/>
        <v>1.0402E-3</v>
      </c>
      <c r="J9" s="14">
        <f t="shared" si="3"/>
        <v>1.9849433241279158E-6</v>
      </c>
      <c r="Q9" s="49">
        <v>5</v>
      </c>
      <c r="R9" s="2"/>
      <c r="S9" s="2">
        <v>12222</v>
      </c>
      <c r="T9" s="2">
        <f t="shared" si="4"/>
        <v>12222</v>
      </c>
      <c r="V9" s="1" t="s">
        <v>102</v>
      </c>
      <c r="W9" s="3"/>
      <c r="X9" s="3"/>
      <c r="Y9" s="3"/>
    </row>
    <row r="10" spans="2:25">
      <c r="B10" s="2">
        <v>8</v>
      </c>
      <c r="C10" s="7">
        <f>Tubos!I11</f>
        <v>22.015999999999998</v>
      </c>
      <c r="D10" s="7">
        <f>Tubos!J11</f>
        <v>3.6687872655688708E-2</v>
      </c>
      <c r="E10" s="15">
        <f t="shared" si="0"/>
        <v>2.2015999999999997E-2</v>
      </c>
      <c r="F10" s="15">
        <f t="shared" si="1"/>
        <v>3.6687872655688708E-5</v>
      </c>
      <c r="G10" s="16">
        <f>Tubos!P11</f>
        <v>1.0267999999999999</v>
      </c>
      <c r="H10" s="16">
        <f>Tubos!Q11</f>
        <v>1.4551288602732073E-2</v>
      </c>
      <c r="I10" s="14">
        <f t="shared" si="2"/>
        <v>1.0268E-3</v>
      </c>
      <c r="J10" s="14">
        <f t="shared" si="3"/>
        <v>1.4551288602732073E-5</v>
      </c>
      <c r="W10" s="37" t="s">
        <v>31</v>
      </c>
      <c r="X10" s="36">
        <f>2*X7</f>
        <v>95.465176897128245</v>
      </c>
    </row>
    <row r="11" spans="2:25">
      <c r="B11" s="2">
        <v>9</v>
      </c>
      <c r="C11" s="7">
        <f>Tubos!I12</f>
        <v>26.094000000000001</v>
      </c>
      <c r="D11" s="7">
        <f>Tubos!J12</f>
        <v>3.6687872655688639E-2</v>
      </c>
      <c r="E11" s="15">
        <f t="shared" si="0"/>
        <v>2.6094000000000003E-2</v>
      </c>
      <c r="F11" s="15">
        <f t="shared" si="1"/>
        <v>3.668787265568864E-5</v>
      </c>
      <c r="G11" s="16">
        <f>Tubos!P12</f>
        <v>1.0395999999999999</v>
      </c>
      <c r="H11" s="16">
        <f>Tubos!Q12</f>
        <v>1.6613247725836111E-3</v>
      </c>
      <c r="I11" s="14">
        <f t="shared" si="2"/>
        <v>1.0395999999999999E-3</v>
      </c>
      <c r="J11" s="14">
        <f t="shared" si="3"/>
        <v>1.6613247725836112E-6</v>
      </c>
    </row>
    <row r="13" spans="2:25" ht="16.5" thickBot="1">
      <c r="R13" s="61">
        <v>2</v>
      </c>
      <c r="S13" s="62"/>
      <c r="T13" s="63"/>
    </row>
    <row r="14" spans="2:25" ht="16.5" thickBot="1">
      <c r="B14" s="2" t="s">
        <v>32</v>
      </c>
      <c r="C14" s="2" t="s">
        <v>33</v>
      </c>
      <c r="D14" s="2" t="s">
        <v>34</v>
      </c>
      <c r="E14" s="2" t="s">
        <v>35</v>
      </c>
      <c r="Q14" s="48" t="s">
        <v>21</v>
      </c>
      <c r="R14" s="48" t="s">
        <v>22</v>
      </c>
      <c r="S14" s="48" t="s">
        <v>23</v>
      </c>
      <c r="T14" s="48" t="s">
        <v>24</v>
      </c>
      <c r="V14" s="64">
        <v>2</v>
      </c>
      <c r="W14" s="65"/>
      <c r="X14" s="65"/>
      <c r="Y14" s="66"/>
    </row>
    <row r="15" spans="2:25">
      <c r="B15" s="2">
        <v>1</v>
      </c>
      <c r="C15" s="7"/>
      <c r="D15" s="7">
        <f t="shared" ref="D15:D23" si="5">((7*10^-6)*(C15^4))-(0.0003*(C15^3))+(0.0305*(C15^2))+(0.055*C15)+5.226</f>
        <v>5.226</v>
      </c>
      <c r="E15" s="7">
        <f>0.1*(4*7*10^-6*C15^3-3*0.0003*C15^2+2*0.0305*C15+0.055)</f>
        <v>5.5000000000000005E-3</v>
      </c>
      <c r="Q15" s="49">
        <v>1</v>
      </c>
      <c r="R15" s="2">
        <v>688</v>
      </c>
      <c r="S15" s="2" cm="1">
        <f t="array" ref="S15:S21">$W$15*Q15:Q21+$X$15</f>
        <v>683.60714285714403</v>
      </c>
      <c r="T15" s="2">
        <f t="shared" ref="T15:T21" si="6">S15-R15</f>
        <v>-4.3928571428559735</v>
      </c>
      <c r="V15" s="50" t="s">
        <v>25</v>
      </c>
      <c r="W15" s="19" cm="1">
        <f t="array" ref="W15:X19">LINEST(R15:R21,Q15:Q21,1,1)</f>
        <v>1408.8928571428569</v>
      </c>
      <c r="X15" s="19">
        <v>-725.28571428571286</v>
      </c>
      <c r="Y15" s="50" t="s">
        <v>26</v>
      </c>
    </row>
    <row r="16" spans="2:25">
      <c r="B16" s="2">
        <v>2</v>
      </c>
      <c r="C16" s="7"/>
      <c r="D16" s="7">
        <f t="shared" si="5"/>
        <v>5.226</v>
      </c>
      <c r="E16" s="7">
        <f t="shared" ref="E16:E23" si="7">0.1*(4*7*10^-6*C16^3-3*0.0003*C16^2+2*0.0305*C16+0.055)</f>
        <v>5.5000000000000005E-3</v>
      </c>
      <c r="Q16" s="49">
        <v>2</v>
      </c>
      <c r="R16" s="2">
        <v>2122</v>
      </c>
      <c r="S16" s="2">
        <v>2092.5000000000009</v>
      </c>
      <c r="T16" s="2">
        <f t="shared" si="6"/>
        <v>-29.499999999999091</v>
      </c>
      <c r="V16" s="47" t="s">
        <v>27</v>
      </c>
      <c r="W16" s="17">
        <v>5.7452509225677977</v>
      </c>
      <c r="X16" s="17">
        <v>25.693543221309952</v>
      </c>
      <c r="Y16" s="47" t="s">
        <v>28</v>
      </c>
    </row>
    <row r="17" spans="2:25" ht="17.25">
      <c r="B17" s="2">
        <v>3</v>
      </c>
      <c r="C17" s="7"/>
      <c r="D17" s="7">
        <f t="shared" si="5"/>
        <v>5.226</v>
      </c>
      <c r="E17" s="7">
        <f t="shared" si="7"/>
        <v>5.5000000000000005E-3</v>
      </c>
      <c r="Q17" s="49">
        <v>3</v>
      </c>
      <c r="R17" s="2">
        <v>3503</v>
      </c>
      <c r="S17" s="2">
        <v>3501.3928571428578</v>
      </c>
      <c r="T17" s="2">
        <f t="shared" si="6"/>
        <v>-1.6071428571422075</v>
      </c>
      <c r="V17" s="47" t="s">
        <v>29</v>
      </c>
      <c r="W17" s="13">
        <v>0.99991686269074875</v>
      </c>
      <c r="X17" s="17">
        <v>30.401010321557603</v>
      </c>
      <c r="Y17" s="47" t="s">
        <v>30</v>
      </c>
    </row>
    <row r="18" spans="2:25">
      <c r="B18" s="2">
        <v>4</v>
      </c>
      <c r="C18" s="7"/>
      <c r="D18" s="7">
        <f t="shared" si="5"/>
        <v>5.226</v>
      </c>
      <c r="E18" s="7">
        <f t="shared" si="7"/>
        <v>5.5000000000000005E-3</v>
      </c>
      <c r="Q18" s="49">
        <v>4</v>
      </c>
      <c r="R18" s="2">
        <v>4860</v>
      </c>
      <c r="S18" s="2">
        <v>4910.2857142857147</v>
      </c>
      <c r="T18" s="2">
        <f t="shared" si="6"/>
        <v>50.285714285714675</v>
      </c>
      <c r="W18" s="3">
        <v>60136.470117703735</v>
      </c>
      <c r="X18" s="3">
        <v>5</v>
      </c>
    </row>
    <row r="19" spans="2:25">
      <c r="B19" s="2">
        <v>5</v>
      </c>
      <c r="C19" s="7"/>
      <c r="D19" s="7">
        <f t="shared" si="5"/>
        <v>5.226</v>
      </c>
      <c r="E19" s="7">
        <f t="shared" si="7"/>
        <v>5.5000000000000005E-3</v>
      </c>
      <c r="Q19" s="49">
        <v>5</v>
      </c>
      <c r="R19" s="2">
        <v>6297</v>
      </c>
      <c r="S19" s="2">
        <v>6319.1785714285716</v>
      </c>
      <c r="T19" s="2">
        <f t="shared" si="6"/>
        <v>22.178571428571558</v>
      </c>
      <c r="W19" s="3">
        <v>55579414.321428575</v>
      </c>
      <c r="X19" s="3">
        <v>4621.1071428572595</v>
      </c>
    </row>
    <row r="20" spans="2:25">
      <c r="B20" s="2">
        <v>6</v>
      </c>
      <c r="C20" s="7"/>
      <c r="D20" s="7">
        <f t="shared" si="5"/>
        <v>5.226</v>
      </c>
      <c r="E20" s="7">
        <f t="shared" si="7"/>
        <v>5.5000000000000005E-3</v>
      </c>
      <c r="Q20" s="49">
        <v>6</v>
      </c>
      <c r="R20" s="2">
        <v>7743</v>
      </c>
      <c r="S20" s="2">
        <v>7728.0714285714284</v>
      </c>
      <c r="T20" s="2">
        <f t="shared" si="6"/>
        <v>-14.928571428571558</v>
      </c>
      <c r="W20" s="37" t="s">
        <v>31</v>
      </c>
      <c r="X20" s="36">
        <f>X17*2</f>
        <v>60.802020643115206</v>
      </c>
    </row>
    <row r="21" spans="2:25">
      <c r="B21" s="2">
        <v>7</v>
      </c>
      <c r="C21" s="7"/>
      <c r="D21" s="7">
        <f t="shared" si="5"/>
        <v>5.226</v>
      </c>
      <c r="E21" s="7">
        <f t="shared" si="7"/>
        <v>5.5000000000000005E-3</v>
      </c>
      <c r="Q21" s="49">
        <v>7</v>
      </c>
      <c r="R21" s="2">
        <v>9159</v>
      </c>
      <c r="S21" s="2">
        <v>9136.9642857142862</v>
      </c>
      <c r="T21" s="2">
        <f t="shared" si="6"/>
        <v>-22.035714285713766</v>
      </c>
    </row>
    <row r="22" spans="2:25">
      <c r="B22" s="2">
        <v>8</v>
      </c>
      <c r="C22" s="7"/>
      <c r="D22" s="7">
        <f t="shared" si="5"/>
        <v>5.226</v>
      </c>
      <c r="E22" s="7">
        <f t="shared" si="7"/>
        <v>5.5000000000000005E-3</v>
      </c>
    </row>
    <row r="23" spans="2:25">
      <c r="B23" s="2">
        <v>9</v>
      </c>
      <c r="C23" s="7"/>
      <c r="D23" s="7">
        <f t="shared" si="5"/>
        <v>5.226</v>
      </c>
      <c r="E23" s="7">
        <f t="shared" si="7"/>
        <v>5.5000000000000005E-3</v>
      </c>
    </row>
    <row r="24" spans="2:25">
      <c r="C24" s="27"/>
    </row>
    <row r="25" spans="2:25" ht="16.5" thickBot="1">
      <c r="C25" s="26"/>
      <c r="D25" s="26"/>
      <c r="R25" s="61">
        <v>3</v>
      </c>
      <c r="S25" s="62"/>
      <c r="T25" s="63"/>
    </row>
    <row r="26" spans="2:25" ht="16.5" thickBot="1">
      <c r="Q26" s="48" t="s">
        <v>21</v>
      </c>
      <c r="R26" s="48" t="s">
        <v>22</v>
      </c>
      <c r="S26" s="48" t="s">
        <v>23</v>
      </c>
      <c r="T26" s="48" t="s">
        <v>24</v>
      </c>
      <c r="V26" s="64">
        <v>3</v>
      </c>
      <c r="W26" s="65"/>
      <c r="X26" s="65"/>
      <c r="Y26" s="66"/>
    </row>
    <row r="27" spans="2:25">
      <c r="Q27" s="49">
        <v>1</v>
      </c>
      <c r="R27" s="2">
        <v>637</v>
      </c>
      <c r="S27" s="9" cm="1">
        <f t="array" ref="S27:S35">$W$27*Q27:Q35+$X$27</f>
        <v>641.21428571428646</v>
      </c>
      <c r="T27" s="2">
        <f>S27-R27</f>
        <v>4.2142857142864614</v>
      </c>
      <c r="V27" s="50" t="s">
        <v>25</v>
      </c>
      <c r="W27" s="19" cm="1">
        <f t="array" ref="W27:X31">LINEST(R27:R33,Q27:Q33,1,1)</f>
        <v>1293.2142857142856</v>
      </c>
      <c r="X27" s="8">
        <v>-651.99999999999909</v>
      </c>
      <c r="Y27" s="50" t="s">
        <v>26</v>
      </c>
    </row>
    <row r="28" spans="2:25">
      <c r="B28" s="2" t="s">
        <v>32</v>
      </c>
      <c r="C28" s="2" t="s">
        <v>36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41</v>
      </c>
      <c r="I28" s="2" t="s">
        <v>42</v>
      </c>
      <c r="J28" s="2" t="s">
        <v>43</v>
      </c>
      <c r="K28" s="2" t="s">
        <v>44</v>
      </c>
      <c r="L28" s="31" t="s">
        <v>45</v>
      </c>
      <c r="M28" s="2" t="s">
        <v>46</v>
      </c>
      <c r="Q28" s="49">
        <v>2</v>
      </c>
      <c r="R28" s="2">
        <v>1927</v>
      </c>
      <c r="S28" s="2">
        <v>1934.428571428572</v>
      </c>
      <c r="T28" s="2">
        <f t="shared" ref="T28:T31" si="8">S28-R28</f>
        <v>7.4285714285720132</v>
      </c>
      <c r="V28" s="47" t="s">
        <v>27</v>
      </c>
      <c r="W28" s="17">
        <v>4.5115498038537787</v>
      </c>
      <c r="X28" s="11">
        <v>20.176264090585782</v>
      </c>
      <c r="Y28" s="47" t="s">
        <v>28</v>
      </c>
    </row>
    <row r="29" spans="2:25" ht="17.25">
      <c r="B29" s="2">
        <v>1</v>
      </c>
      <c r="C29" s="16">
        <f>331.4+0.607*(C15)+0.08*D15</f>
        <v>331.81807999999995</v>
      </c>
      <c r="D29" s="16">
        <f>SQRT((0.607*0.1)^2+(0.08*E15)^2)</f>
        <v>6.0701594707223305E-2</v>
      </c>
      <c r="E29" s="16">
        <f>D29/C29*100</f>
        <v>1.8293636895018894E-2</v>
      </c>
      <c r="F29" s="9">
        <f>W5*2*(E3+Δy!$AH$28)</f>
        <v>23.760107531034983</v>
      </c>
      <c r="G29" s="5">
        <f>SQRT((2*(Δy!AH28+E3))^2*W6^2+(2*W5)^2*F3^2+(2*W5)^2*Δy!AH29^2)</f>
        <v>13.227298989954269</v>
      </c>
      <c r="H29" s="17">
        <f>G29/F29*100</f>
        <v>55.670198346859465</v>
      </c>
      <c r="I29" s="17">
        <f t="shared" ref="I29:I34" si="9">(C29-F29)/C29*100</f>
        <v>92.839417450961392</v>
      </c>
      <c r="J29" s="9">
        <f>AVERAGE($F$32:$F$37)</f>
        <v>30.674663368434651</v>
      </c>
      <c r="K29" s="10">
        <f>_xlfn.STDEV.S($F$32:$F$37)/SQRT(6)</f>
        <v>0.31487906507073832</v>
      </c>
      <c r="L29" s="10">
        <f>$C$39</f>
        <v>331.81807999999995</v>
      </c>
      <c r="M29" s="9">
        <f>W5*2*(E3+0.305*I3)</f>
        <v>34.773109612799992</v>
      </c>
      <c r="N29" s="26">
        <f>$K$39</f>
        <v>34.53951974415493</v>
      </c>
      <c r="O29" s="26"/>
      <c r="P29" s="26"/>
      <c r="Q29" s="49">
        <v>3</v>
      </c>
      <c r="R29" s="2">
        <v>3223</v>
      </c>
      <c r="S29" s="2">
        <v>3227.6428571428578</v>
      </c>
      <c r="T29" s="2">
        <f t="shared" si="8"/>
        <v>4.6428571428577925</v>
      </c>
      <c r="V29" s="47" t="s">
        <v>29</v>
      </c>
      <c r="W29" s="14">
        <v>0.99993915090798113</v>
      </c>
      <c r="X29" s="11">
        <v>23.872877616958668</v>
      </c>
      <c r="Y29" s="47" t="s">
        <v>30</v>
      </c>
    </row>
    <row r="30" spans="2:25">
      <c r="B30" s="2">
        <v>2</v>
      </c>
      <c r="C30" s="16">
        <f t="shared" ref="C30:C37" si="10">331.4+0.607*(C16)+0.08*D16</f>
        <v>331.81807999999995</v>
      </c>
      <c r="D30" s="16">
        <f>SQRT((0.607*0.1)^2+(0.08*E16)^2)</f>
        <v>6.0701594707223305E-2</v>
      </c>
      <c r="E30" s="16">
        <f t="shared" ref="E30:E37" si="11">D30/C30*100</f>
        <v>1.8293636895018894E-2</v>
      </c>
      <c r="F30" s="9">
        <f>W15*2*(E4+Δy!$AH$28)</f>
        <v>29.163481596230472</v>
      </c>
      <c r="G30" s="5">
        <f>SQRT((2*(Δy!AH28+E4))^2*W16^2+(2*W15)^2*F4^2+4*Δy!AH29^2*W15^2)</f>
        <v>6.827172063064312</v>
      </c>
      <c r="H30" s="7">
        <f t="shared" ref="H30:H37" si="12">G30/F30*100</f>
        <v>23.410003502279917</v>
      </c>
      <c r="I30" s="17">
        <f t="shared" si="9"/>
        <v>91.21100284944373</v>
      </c>
      <c r="J30" s="9">
        <f>AVERAGE($F$32:$F$37)</f>
        <v>30.674663368434651</v>
      </c>
      <c r="K30" s="10">
        <f t="shared" ref="K30:K37" si="13">_xlfn.STDEV.S($F$32:$F$37)/SQRT(6)</f>
        <v>0.31487906507073832</v>
      </c>
      <c r="L30" s="10">
        <f t="shared" ref="L30:L37" si="14">$C$39</f>
        <v>331.81807999999995</v>
      </c>
      <c r="M30" s="9">
        <f>W15*2*(E4+0.305*I4)</f>
        <v>34.911750722714274</v>
      </c>
      <c r="N30" s="26">
        <f t="shared" ref="N30:N37" si="15">$K$39</f>
        <v>34.53951974415493</v>
      </c>
      <c r="O30" s="26">
        <f>_xlfn.STDEV.S($M$32:$M$37)/SQRT(6)</f>
        <v>9.2445722064989175E-2</v>
      </c>
      <c r="P30" s="26">
        <f>$C$54</f>
        <v>0</v>
      </c>
      <c r="Q30" s="49">
        <v>4</v>
      </c>
      <c r="R30" s="2">
        <v>4545</v>
      </c>
      <c r="S30" s="2">
        <v>4520.8571428571431</v>
      </c>
      <c r="T30" s="2">
        <f t="shared" si="8"/>
        <v>-24.142857142856883</v>
      </c>
      <c r="W30" s="3">
        <v>82165.494811249737</v>
      </c>
      <c r="X30" s="3">
        <v>5</v>
      </c>
    </row>
    <row r="31" spans="2:25">
      <c r="B31" s="2">
        <v>3</v>
      </c>
      <c r="C31" s="16">
        <f t="shared" si="10"/>
        <v>331.81807999999995</v>
      </c>
      <c r="D31" s="16">
        <f t="shared" ref="D31:D37" si="16">SQRT((0.607*0.1)^2+(0.08*E17)^2)</f>
        <v>6.0701594707223305E-2</v>
      </c>
      <c r="E31" s="16">
        <f t="shared" si="11"/>
        <v>1.8293636895018894E-2</v>
      </c>
      <c r="F31" s="9">
        <f>W27*2*(E5+Δy!$AH$28)</f>
        <v>29.205400190432272</v>
      </c>
      <c r="G31" s="5">
        <f>SQRT((2*(Δy!AH28+E5))^2*W28^2+(2*W27)^2*F5^2+4*Δy!AH29^2*W27^2)</f>
        <v>6.2664930364701563</v>
      </c>
      <c r="H31" s="7">
        <f>G31/F31*100</f>
        <v>21.456624444828076</v>
      </c>
      <c r="I31" s="7">
        <f t="shared" si="9"/>
        <v>91.198369844574984</v>
      </c>
      <c r="J31" s="9">
        <f t="shared" ref="J31:J37" si="17">AVERAGE($F$32:$F$37)</f>
        <v>30.674663368434651</v>
      </c>
      <c r="K31" s="10">
        <f t="shared" si="13"/>
        <v>0.31487906507073832</v>
      </c>
      <c r="L31" s="10">
        <f t="shared" si="14"/>
        <v>331.81807999999995</v>
      </c>
      <c r="M31" s="9">
        <f>W27*2*(E5+0.305*I5)</f>
        <v>34.484541771428567</v>
      </c>
      <c r="N31" s="26">
        <f t="shared" si="15"/>
        <v>34.53951974415493</v>
      </c>
      <c r="O31" s="26">
        <f t="shared" ref="O31:O37" si="18">_xlfn.STDEV.S($M$32:$M$37)/SQRT(6)</f>
        <v>9.2445722064989175E-2</v>
      </c>
      <c r="P31" s="26">
        <f t="shared" ref="P31:P37" si="19">$C$54</f>
        <v>0</v>
      </c>
      <c r="Q31" s="49">
        <v>5</v>
      </c>
      <c r="R31" s="2">
        <v>5838</v>
      </c>
      <c r="S31" s="2">
        <v>5814.0714285714284</v>
      </c>
      <c r="T31" s="2">
        <f t="shared" si="8"/>
        <v>-23.928571428571558</v>
      </c>
      <c r="W31" s="3">
        <v>46827289.285714276</v>
      </c>
      <c r="X31" s="3">
        <v>2849.5714285714307</v>
      </c>
    </row>
    <row r="32" spans="2:25">
      <c r="B32" s="2">
        <v>4</v>
      </c>
      <c r="C32" s="16">
        <f t="shared" si="10"/>
        <v>331.81807999999995</v>
      </c>
      <c r="D32" s="16">
        <f t="shared" si="16"/>
        <v>6.0701594707223305E-2</v>
      </c>
      <c r="E32" s="16">
        <f t="shared" si="11"/>
        <v>1.8293636895018894E-2</v>
      </c>
      <c r="F32" s="9">
        <f>W41*2*(E6+Δy!$AH$28)</f>
        <v>29.725120106898284</v>
      </c>
      <c r="G32" s="5">
        <f>SQRT((2*(Δy!AH28+E6))^2*W42^2+(2*W41)^2*F6^2+4*Δy!AH29^2*W41^2)</f>
        <v>5.8306856860019343</v>
      </c>
      <c r="H32" s="7">
        <f t="shared" si="12"/>
        <v>19.615347776673278</v>
      </c>
      <c r="I32" s="7">
        <f t="shared" si="9"/>
        <v>91.041741876482959</v>
      </c>
      <c r="J32" s="9">
        <f t="shared" si="17"/>
        <v>30.674663368434651</v>
      </c>
      <c r="K32" s="10">
        <f t="shared" si="13"/>
        <v>0.31487906507073832</v>
      </c>
      <c r="L32" s="10">
        <f t="shared" si="14"/>
        <v>331.81807999999995</v>
      </c>
      <c r="M32" s="9">
        <f>W41*2*(E6+0.305*I6)</f>
        <v>34.645933840599994</v>
      </c>
      <c r="N32" s="26">
        <f t="shared" si="15"/>
        <v>34.53951974415493</v>
      </c>
      <c r="O32" s="26">
        <f t="shared" si="18"/>
        <v>9.2445722064989175E-2</v>
      </c>
      <c r="P32" s="26">
        <f t="shared" si="19"/>
        <v>0</v>
      </c>
      <c r="Q32" s="49">
        <v>6</v>
      </c>
      <c r="R32" s="2">
        <v>7068</v>
      </c>
      <c r="S32" s="2">
        <v>7107.2857142857147</v>
      </c>
      <c r="T32" s="2">
        <f>S32-R32</f>
        <v>39.285714285714675</v>
      </c>
      <c r="W32" s="37" t="s">
        <v>31</v>
      </c>
      <c r="X32" s="36">
        <f>2*X29</f>
        <v>47.745755233917336</v>
      </c>
    </row>
    <row r="33" spans="2:25">
      <c r="B33" s="2">
        <v>5</v>
      </c>
      <c r="C33" s="16">
        <f t="shared" si="10"/>
        <v>331.81807999999995</v>
      </c>
      <c r="D33" s="16">
        <f t="shared" si="16"/>
        <v>6.0701594707223305E-2</v>
      </c>
      <c r="E33" s="16">
        <f t="shared" si="11"/>
        <v>1.8293636895018894E-2</v>
      </c>
      <c r="F33" s="9">
        <f>W55*2*(E7+Δy!$AH$28)</f>
        <v>30.257474141993544</v>
      </c>
      <c r="G33" s="5">
        <f>SQRT((2*(Δy!AH28+E7))^2*W56^2+(2*W55)^2*F7^2+4*Δy!AH29^2*W55^2)</f>
        <v>5.5334105097503876</v>
      </c>
      <c r="H33" s="7">
        <f t="shared" si="12"/>
        <v>18.287747628182601</v>
      </c>
      <c r="I33" s="16">
        <f t="shared" si="9"/>
        <v>90.881306364621977</v>
      </c>
      <c r="J33" s="9">
        <f t="shared" si="17"/>
        <v>30.674663368434651</v>
      </c>
      <c r="K33" s="10">
        <f t="shared" si="13"/>
        <v>0.31487906507073832</v>
      </c>
      <c r="L33" s="10">
        <f t="shared" si="14"/>
        <v>331.81807999999995</v>
      </c>
      <c r="M33" s="9">
        <f>W55*2*(E7+0.305*I7)</f>
        <v>34.883312184848499</v>
      </c>
      <c r="N33" s="26">
        <f t="shared" si="15"/>
        <v>34.53951974415493</v>
      </c>
      <c r="O33" s="26">
        <f t="shared" si="18"/>
        <v>9.2445722064989175E-2</v>
      </c>
      <c r="P33" s="26">
        <f t="shared" si="19"/>
        <v>0</v>
      </c>
      <c r="Q33" s="49">
        <v>7</v>
      </c>
      <c r="R33" s="2">
        <v>8408</v>
      </c>
      <c r="S33" s="2">
        <v>8400.5</v>
      </c>
      <c r="T33" s="2">
        <f>S33-R33</f>
        <v>-7.5</v>
      </c>
    </row>
    <row r="34" spans="2:25">
      <c r="B34" s="2">
        <v>6</v>
      </c>
      <c r="C34" s="16">
        <f t="shared" si="10"/>
        <v>331.81807999999995</v>
      </c>
      <c r="D34" s="16">
        <f>SQRT((0.607*0.1)^2+(0.08*E20)^2)</f>
        <v>6.0701594707223305E-2</v>
      </c>
      <c r="E34" s="16">
        <f t="shared" si="11"/>
        <v>1.8293636895018894E-2</v>
      </c>
      <c r="F34" s="9">
        <f>W70*2*(E8+Δy!$AH$28)</f>
        <v>30.497515764717527</v>
      </c>
      <c r="G34" s="5">
        <f>SQRT((2*(Δy!AH28+E8))^2*W71^2+(2*W70)^2*F8^2+4*Δy!AH29^2*W70^2)</f>
        <v>4.8379277127601048</v>
      </c>
      <c r="H34" s="7">
        <f t="shared" si="12"/>
        <v>15.863350149841015</v>
      </c>
      <c r="I34" s="16">
        <f t="shared" si="9"/>
        <v>90.808965031466172</v>
      </c>
      <c r="J34" s="9">
        <f t="shared" si="17"/>
        <v>30.674663368434651</v>
      </c>
      <c r="K34" s="10">
        <f t="shared" si="13"/>
        <v>0.31487906507073832</v>
      </c>
      <c r="L34" s="10">
        <f t="shared" si="14"/>
        <v>331.81807999999995</v>
      </c>
      <c r="M34" s="9">
        <f>W70*2*(E8+0.305*I8)</f>
        <v>34.542482784727284</v>
      </c>
      <c r="N34" s="26">
        <f t="shared" si="15"/>
        <v>34.53951974415493</v>
      </c>
      <c r="O34" s="26">
        <f t="shared" si="18"/>
        <v>9.2445722064989175E-2</v>
      </c>
      <c r="P34" s="26">
        <f t="shared" si="19"/>
        <v>0</v>
      </c>
      <c r="Q34" s="49">
        <v>8</v>
      </c>
      <c r="R34" s="2"/>
      <c r="S34" s="2">
        <v>9693.7142857142862</v>
      </c>
      <c r="T34" s="2">
        <f>S34-R34</f>
        <v>9693.7142857142862</v>
      </c>
    </row>
    <row r="35" spans="2:25">
      <c r="B35" s="2">
        <v>7</v>
      </c>
      <c r="C35" s="16">
        <f t="shared" si="10"/>
        <v>331.81807999999995</v>
      </c>
      <c r="D35" s="16">
        <f t="shared" si="16"/>
        <v>6.0701594707223305E-2</v>
      </c>
      <c r="E35" s="16">
        <f t="shared" si="11"/>
        <v>1.8293636895018894E-2</v>
      </c>
      <c r="F35" s="9">
        <f>W86*2*(E9+Δy!$AH$28)</f>
        <v>30.451444998885343</v>
      </c>
      <c r="G35" s="5">
        <f>SQRT((2*(Δy!AH28+E9))^2*W87^2+(2*W86)^2*F9^2+4*Δy!AH29^2*W86^2)</f>
        <v>4.5302373609520057</v>
      </c>
      <c r="H35" s="7">
        <f t="shared" si="12"/>
        <v>14.8769208197438</v>
      </c>
      <c r="I35" s="16">
        <f>(-C35+F35)/C35*100</f>
        <v>-90.822849376114362</v>
      </c>
      <c r="J35" s="9">
        <f t="shared" si="17"/>
        <v>30.674663368434651</v>
      </c>
      <c r="K35" s="10">
        <f t="shared" si="13"/>
        <v>0.31487906507073832</v>
      </c>
      <c r="L35" s="10">
        <f t="shared" si="14"/>
        <v>331.81807999999995</v>
      </c>
      <c r="M35" s="9">
        <f>W86*2*(E9+0.305*I9)</f>
        <v>34.259092500818177</v>
      </c>
      <c r="N35" s="26">
        <f t="shared" si="15"/>
        <v>34.53951974415493</v>
      </c>
      <c r="O35" s="26">
        <f t="shared" si="18"/>
        <v>9.2445722064989175E-2</v>
      </c>
      <c r="P35" s="26">
        <f t="shared" si="19"/>
        <v>0</v>
      </c>
      <c r="Q35" s="49">
        <v>9</v>
      </c>
      <c r="R35" s="2"/>
      <c r="S35" s="2">
        <v>10986.928571428572</v>
      </c>
      <c r="T35" s="2">
        <f>S35-R35</f>
        <v>10986.928571428572</v>
      </c>
    </row>
    <row r="36" spans="2:25">
      <c r="B36" s="2">
        <v>8</v>
      </c>
      <c r="C36" s="16">
        <f t="shared" si="10"/>
        <v>331.81807999999995</v>
      </c>
      <c r="D36" s="16">
        <f t="shared" si="16"/>
        <v>6.0701594707223305E-2</v>
      </c>
      <c r="E36" s="16">
        <f t="shared" si="11"/>
        <v>1.8293636895018894E-2</v>
      </c>
      <c r="F36" s="9">
        <f>W102*2*(E10+Δy!$AH$28)</f>
        <v>31.200260568377384</v>
      </c>
      <c r="G36" s="5">
        <f>SQRT((2*(Δy!AH28+E10))^2*W103^2+(2*W102)^2*F10^2+4*Δy!AH29^2*W102^2)</f>
        <v>3.7261998955026066</v>
      </c>
      <c r="H36" s="7">
        <f t="shared" si="12"/>
        <v>11.942848641716946</v>
      </c>
      <c r="I36" s="7">
        <f>(C36-F36)/C36*100</f>
        <v>90.597178861267182</v>
      </c>
      <c r="J36" s="9">
        <f t="shared" si="17"/>
        <v>30.674663368434651</v>
      </c>
      <c r="K36" s="10">
        <f t="shared" si="13"/>
        <v>0.31487906507073832</v>
      </c>
      <c r="L36" s="10">
        <f t="shared" si="14"/>
        <v>331.81807999999995</v>
      </c>
      <c r="M36" s="9">
        <f>W102*2*(E10+0.305*I10)</f>
        <v>34.324111822153846</v>
      </c>
      <c r="N36" s="26">
        <f t="shared" si="15"/>
        <v>34.53951974415493</v>
      </c>
      <c r="O36" s="26">
        <f t="shared" si="18"/>
        <v>9.2445722064989175E-2</v>
      </c>
      <c r="P36" s="26">
        <f t="shared" si="19"/>
        <v>0</v>
      </c>
    </row>
    <row r="37" spans="2:25">
      <c r="B37" s="2">
        <v>9</v>
      </c>
      <c r="C37" s="16">
        <f t="shared" si="10"/>
        <v>331.81807999999995</v>
      </c>
      <c r="D37" s="16">
        <f t="shared" si="16"/>
        <v>6.0701594707223305E-2</v>
      </c>
      <c r="E37" s="16">
        <f t="shared" si="11"/>
        <v>1.8293636895018894E-2</v>
      </c>
      <c r="F37" s="9">
        <f>W120*2*(E11+Δy!$AH$28)</f>
        <v>31.916164629735825</v>
      </c>
      <c r="G37" s="5">
        <f>SQRT((2*(Δy!AH28+E11))^2*W121^2+(2*W120)^2*F11^2+4*Δy!AH29^2*W120^2)</f>
        <v>3.1741741456616359</v>
      </c>
      <c r="H37" s="7">
        <f t="shared" si="12"/>
        <v>9.9453495822123443</v>
      </c>
      <c r="I37" s="7">
        <f>(-C37+F37)/C37*100</f>
        <v>-90.381426886161293</v>
      </c>
      <c r="J37" s="9">
        <f t="shared" si="17"/>
        <v>30.674663368434651</v>
      </c>
      <c r="K37" s="10">
        <f t="shared" si="13"/>
        <v>0.31487906507073832</v>
      </c>
      <c r="L37" s="10">
        <f t="shared" si="14"/>
        <v>331.81807999999995</v>
      </c>
      <c r="M37" s="9">
        <f>W120*2*(E11+0.305*I11)</f>
        <v>34.582185331781808</v>
      </c>
      <c r="N37" s="26">
        <f t="shared" si="15"/>
        <v>34.53951974415493</v>
      </c>
      <c r="O37" s="26">
        <f t="shared" si="18"/>
        <v>9.2445722064989175E-2</v>
      </c>
      <c r="P37" s="26">
        <f t="shared" si="19"/>
        <v>0</v>
      </c>
    </row>
    <row r="38" spans="2:25">
      <c r="B38" s="1" t="s">
        <v>47</v>
      </c>
      <c r="C38" s="26">
        <f>_xlfn.VAR.S(C31:C36)*100</f>
        <v>0</v>
      </c>
      <c r="L38" s="21"/>
      <c r="M38" s="28"/>
      <c r="N38" s="26"/>
      <c r="O38" s="26"/>
      <c r="P38" s="26"/>
    </row>
    <row r="39" spans="2:25" ht="16.5" thickBot="1">
      <c r="B39" s="1" t="s">
        <v>48</v>
      </c>
      <c r="C39" s="28">
        <f>AVERAGE(C32:C37)</f>
        <v>331.81807999999995</v>
      </c>
      <c r="K39" s="26">
        <f>AVERAGE(M32:M37)</f>
        <v>34.53951974415493</v>
      </c>
      <c r="M39" s="21"/>
      <c r="N39" s="26"/>
      <c r="O39" s="26"/>
      <c r="P39" s="26"/>
      <c r="R39" s="61">
        <v>4</v>
      </c>
      <c r="S39" s="62"/>
      <c r="T39" s="63"/>
    </row>
    <row r="40" spans="2:25" ht="16.5" thickBot="1">
      <c r="M40" s="21"/>
      <c r="N40" s="26"/>
      <c r="O40" s="26"/>
      <c r="P40" s="26"/>
      <c r="Q40" s="48" t="s">
        <v>21</v>
      </c>
      <c r="R40" s="48" t="s">
        <v>22</v>
      </c>
      <c r="S40" s="48" t="s">
        <v>23</v>
      </c>
      <c r="T40" s="48" t="s">
        <v>24</v>
      </c>
      <c r="V40" s="64">
        <v>4</v>
      </c>
      <c r="W40" s="65"/>
      <c r="X40" s="65"/>
      <c r="Y40" s="66"/>
    </row>
    <row r="41" spans="2:25">
      <c r="M41" s="21"/>
      <c r="N41" s="26">
        <f>$C$55</f>
        <v>0.67726829268292654</v>
      </c>
      <c r="O41" s="26"/>
      <c r="P41" s="26" t="s">
        <v>101</v>
      </c>
      <c r="Q41" s="49">
        <v>1</v>
      </c>
      <c r="R41" s="2">
        <v>593</v>
      </c>
      <c r="S41" s="2" cm="1">
        <f t="array" ref="S41:S49">$W$41*Q41:Q49+$X$41</f>
        <v>578.71111111111122</v>
      </c>
      <c r="T41" s="2">
        <f>S41-R41</f>
        <v>-14.288888888888778</v>
      </c>
      <c r="V41" s="50" t="s">
        <v>25</v>
      </c>
      <c r="W41" s="19" cm="1">
        <f t="array" ref="W41:X45">LINEST(R41:R49,Q41:Q49,1,1)</f>
        <v>1203.3499999999999</v>
      </c>
      <c r="X41" s="12">
        <v>-624.63888888888869</v>
      </c>
      <c r="Y41" s="50" t="s">
        <v>26</v>
      </c>
    </row>
    <row r="42" spans="2:25">
      <c r="M42" s="21"/>
      <c r="N42" s="26">
        <f t="shared" ref="N42:N47" si="20">$C$55</f>
        <v>0.67726829268292654</v>
      </c>
      <c r="O42" s="26"/>
      <c r="P42" s="26"/>
      <c r="Q42" s="49">
        <v>2</v>
      </c>
      <c r="R42" s="2">
        <v>1787</v>
      </c>
      <c r="S42" s="2">
        <v>1782.0611111111111</v>
      </c>
      <c r="T42" s="2">
        <f t="shared" ref="T42:T46" si="21">S42-R42</f>
        <v>-4.9388888888888687</v>
      </c>
      <c r="V42" s="47" t="s">
        <v>27</v>
      </c>
      <c r="W42" s="17">
        <v>2.3040021540628315</v>
      </c>
      <c r="X42" s="11">
        <v>12.965344357979673</v>
      </c>
      <c r="Y42" s="47" t="s">
        <v>28</v>
      </c>
    </row>
    <row r="43" spans="2:25" ht="19.5">
      <c r="B43" s="37" t="s">
        <v>49</v>
      </c>
      <c r="C43" s="39">
        <f>C39</f>
        <v>331.81807999999995</v>
      </c>
      <c r="M43" s="21"/>
      <c r="N43" s="26">
        <f t="shared" si="20"/>
        <v>0.67726829268292654</v>
      </c>
      <c r="O43" s="26"/>
      <c r="P43" s="26"/>
      <c r="Q43" s="49">
        <v>3</v>
      </c>
      <c r="R43" s="2">
        <v>2996</v>
      </c>
      <c r="S43" s="2">
        <v>2985.411111111111</v>
      </c>
      <c r="T43" s="2">
        <f t="shared" si="21"/>
        <v>-10.58888888888896</v>
      </c>
      <c r="V43" s="47" t="s">
        <v>29</v>
      </c>
      <c r="W43" s="14">
        <v>0.9999743392862227</v>
      </c>
      <c r="X43" s="11">
        <v>17.846723944622727</v>
      </c>
      <c r="Y43" s="47" t="s">
        <v>30</v>
      </c>
    </row>
    <row r="44" spans="2:25" ht="19.5">
      <c r="B44" s="37" t="s">
        <v>50</v>
      </c>
      <c r="C44" s="39">
        <f>AVERAGE(D31:D37)</f>
        <v>6.0701594707223305E-2</v>
      </c>
      <c r="M44" s="21"/>
      <c r="N44" s="26">
        <f t="shared" si="20"/>
        <v>0.67726829268292654</v>
      </c>
      <c r="O44" s="26"/>
      <c r="P44" s="26"/>
      <c r="Q44" s="49">
        <v>4</v>
      </c>
      <c r="R44" s="2">
        <v>4175</v>
      </c>
      <c r="S44" s="2">
        <v>4188.7611111111109</v>
      </c>
      <c r="T44" s="2">
        <f t="shared" si="21"/>
        <v>13.761111111110949</v>
      </c>
      <c r="V44" s="3"/>
      <c r="W44" s="3">
        <v>272783.54124294507</v>
      </c>
      <c r="X44" s="3">
        <v>7</v>
      </c>
      <c r="Y44" s="3"/>
    </row>
    <row r="45" spans="2:25" ht="19.5">
      <c r="B45" s="37" t="s">
        <v>51</v>
      </c>
      <c r="C45" s="39">
        <f>C44/C43*100</f>
        <v>1.8293636895018894E-2</v>
      </c>
      <c r="M45" s="21"/>
      <c r="N45" s="26">
        <f t="shared" si="20"/>
        <v>0.67726829268292654</v>
      </c>
      <c r="O45" s="26"/>
      <c r="P45" s="26"/>
      <c r="Q45" s="49">
        <v>5</v>
      </c>
      <c r="R45" s="2">
        <v>5365</v>
      </c>
      <c r="S45" s="2">
        <v>5392.1111111111113</v>
      </c>
      <c r="T45" s="2">
        <f t="shared" si="21"/>
        <v>27.111111111111313</v>
      </c>
      <c r="V45" s="3"/>
      <c r="W45" s="3">
        <v>86883073.350000009</v>
      </c>
      <c r="X45" s="3">
        <v>2229.5388888889916</v>
      </c>
      <c r="Y45" s="3"/>
    </row>
    <row r="46" spans="2:25">
      <c r="B46" s="41"/>
      <c r="C46" s="41"/>
      <c r="M46" s="21"/>
      <c r="N46" s="26">
        <f t="shared" si="20"/>
        <v>0.67726829268292654</v>
      </c>
      <c r="O46" s="26"/>
      <c r="P46" s="26"/>
      <c r="Q46" s="49">
        <v>6</v>
      </c>
      <c r="R46" s="2">
        <v>6579</v>
      </c>
      <c r="S46" s="2">
        <v>6595.4611111111108</v>
      </c>
      <c r="T46" s="2">
        <f t="shared" si="21"/>
        <v>16.461111111110768</v>
      </c>
      <c r="W46" s="37" t="s">
        <v>31</v>
      </c>
      <c r="X46" s="36">
        <f>2*X43</f>
        <v>35.693447889245455</v>
      </c>
    </row>
    <row r="47" spans="2:25" ht="19.5">
      <c r="B47" s="37" t="s">
        <v>52</v>
      </c>
      <c r="C47" s="40">
        <f>AVERAGE(M32:M37)</f>
        <v>34.53951974415493</v>
      </c>
      <c r="M47" s="21"/>
      <c r="N47" s="26">
        <f t="shared" si="20"/>
        <v>0.67726829268292654</v>
      </c>
      <c r="O47" s="26"/>
      <c r="P47" s="26"/>
      <c r="Q47" s="49">
        <v>7</v>
      </c>
      <c r="R47" s="2">
        <v>7809</v>
      </c>
      <c r="S47" s="2">
        <v>7798.8111111111102</v>
      </c>
      <c r="T47" s="2">
        <f>S47-R47</f>
        <v>-10.188888888889778</v>
      </c>
    </row>
    <row r="48" spans="2:25" ht="19.5">
      <c r="B48" s="37" t="s">
        <v>53</v>
      </c>
      <c r="C48" s="40">
        <f>_xlfn.STDEV.S(F32:F37)/SQRT(6)</f>
        <v>0.31487906507073832</v>
      </c>
      <c r="M48" s="21"/>
      <c r="N48" s="26"/>
      <c r="O48" s="26"/>
      <c r="P48" s="26"/>
      <c r="Q48" s="49">
        <v>8</v>
      </c>
      <c r="R48" s="2">
        <v>8996</v>
      </c>
      <c r="S48" s="2">
        <v>9002.1611111111106</v>
      </c>
      <c r="T48" s="2">
        <f>S48-R48</f>
        <v>6.1611111111105856</v>
      </c>
    </row>
    <row r="49" spans="2:25" ht="19.5">
      <c r="B49" s="37" t="s">
        <v>54</v>
      </c>
      <c r="C49" s="40">
        <f>C48/C47*100</f>
        <v>0.91164864886120722</v>
      </c>
      <c r="M49" s="21"/>
      <c r="N49" s="26"/>
      <c r="O49" s="26"/>
      <c r="P49" s="26"/>
      <c r="Q49" s="49">
        <v>9</v>
      </c>
      <c r="R49" s="2">
        <v>10229</v>
      </c>
      <c r="S49" s="2">
        <v>10205.511111111111</v>
      </c>
      <c r="T49" s="2">
        <f>S49-R49</f>
        <v>-23.488888888889051</v>
      </c>
    </row>
    <row r="50" spans="2:25">
      <c r="B50" s="41"/>
      <c r="C50" s="41"/>
    </row>
    <row r="51" spans="2:25">
      <c r="B51" s="37" t="s">
        <v>42</v>
      </c>
      <c r="C51" s="40">
        <f>(C43-C47)/C43*100</f>
        <v>89.590826472097334</v>
      </c>
    </row>
    <row r="53" spans="2:25" ht="16.5" thickBot="1">
      <c r="C53" s="2" t="s">
        <v>55</v>
      </c>
      <c r="R53" s="61">
        <v>5</v>
      </c>
      <c r="S53" s="62"/>
      <c r="T53" s="63"/>
    </row>
    <row r="54" spans="2:25" ht="16.5" thickBot="1">
      <c r="B54" s="1">
        <v>4.5</v>
      </c>
      <c r="C54" s="2">
        <f>'2ª Parte (v)'!C10</f>
        <v>0</v>
      </c>
      <c r="Q54" s="48" t="s">
        <v>21</v>
      </c>
      <c r="R54" s="48" t="s">
        <v>22</v>
      </c>
      <c r="S54" s="48" t="s">
        <v>23</v>
      </c>
      <c r="T54" s="48" t="s">
        <v>24</v>
      </c>
      <c r="V54" s="64">
        <v>5</v>
      </c>
      <c r="W54" s="65"/>
      <c r="X54" s="65"/>
      <c r="Y54" s="66"/>
    </row>
    <row r="55" spans="2:25">
      <c r="C55" s="2">
        <f>'2ª Parte (v)'!C11</f>
        <v>0.67726829268292654</v>
      </c>
      <c r="Q55" s="49">
        <v>1</v>
      </c>
      <c r="R55" s="2">
        <v>554</v>
      </c>
      <c r="S55" s="2" cm="1">
        <f t="array" ref="S55:S64">W55*Q55:Q64+X55</f>
        <v>510.945454545453</v>
      </c>
      <c r="T55" s="2">
        <f>S55-R55</f>
        <v>-43.054545454546997</v>
      </c>
      <c r="V55" s="50" t="s">
        <v>25</v>
      </c>
      <c r="W55" s="19" cm="1">
        <f t="array" ref="W55:X59">LINEST(R55:R64,Q55:Q64,1,1)</f>
        <v>1141.8787878787882</v>
      </c>
      <c r="X55" s="12">
        <v>-630.93333333333521</v>
      </c>
      <c r="Y55" s="50" t="s">
        <v>26</v>
      </c>
    </row>
    <row r="56" spans="2:25">
      <c r="Q56" s="49">
        <v>2</v>
      </c>
      <c r="R56" s="2">
        <v>1667</v>
      </c>
      <c r="S56" s="2">
        <v>1652.8242424242412</v>
      </c>
      <c r="T56" s="2">
        <f t="shared" ref="T56:T59" si="22">S56-R56</f>
        <v>-14.17575757575878</v>
      </c>
      <c r="V56" s="47" t="s">
        <v>27</v>
      </c>
      <c r="W56" s="17">
        <v>3.5194670478914043</v>
      </c>
      <c r="X56" s="11">
        <v>21.837718736075598</v>
      </c>
      <c r="Y56" s="47" t="s">
        <v>28</v>
      </c>
    </row>
    <row r="57" spans="2:25" ht="17.25">
      <c r="Q57" s="49">
        <v>3</v>
      </c>
      <c r="R57" s="2">
        <v>2778</v>
      </c>
      <c r="S57" s="2">
        <v>2794.7030303030297</v>
      </c>
      <c r="T57" s="2">
        <f t="shared" si="22"/>
        <v>16.703030303029664</v>
      </c>
      <c r="V57" s="47" t="s">
        <v>29</v>
      </c>
      <c r="W57" s="13">
        <v>0.99992400749187682</v>
      </c>
      <c r="X57" s="11">
        <v>31.967146961348586</v>
      </c>
      <c r="Y57" s="47" t="s">
        <v>30</v>
      </c>
    </row>
    <row r="58" spans="2:25">
      <c r="Q58" s="49">
        <v>4</v>
      </c>
      <c r="R58" s="2">
        <v>3916</v>
      </c>
      <c r="S58" s="2">
        <v>3936.5818181818177</v>
      </c>
      <c r="T58" s="2">
        <f t="shared" si="22"/>
        <v>20.581818181817653</v>
      </c>
      <c r="V58" s="3"/>
      <c r="W58" s="3">
        <v>105265.53547838301</v>
      </c>
      <c r="X58" s="3">
        <v>8</v>
      </c>
      <c r="Y58" s="3"/>
    </row>
    <row r="59" spans="2:25">
      <c r="Q59" s="49">
        <v>5</v>
      </c>
      <c r="R59" s="2">
        <v>5017</v>
      </c>
      <c r="S59" s="2">
        <v>5078.4606060606056</v>
      </c>
      <c r="T59" s="2">
        <f t="shared" si="22"/>
        <v>61.460606060605642</v>
      </c>
      <c r="V59" s="3"/>
      <c r="W59" s="3">
        <v>107570691.21212122</v>
      </c>
      <c r="X59" s="3">
        <v>8175.1878787876658</v>
      </c>
      <c r="Y59" s="3"/>
    </row>
    <row r="60" spans="2:25">
      <c r="Q60" s="49">
        <v>6</v>
      </c>
      <c r="R60" s="2">
        <v>6225</v>
      </c>
      <c r="S60" s="2">
        <v>6220.3393939393945</v>
      </c>
      <c r="T60" s="2">
        <f>S60-R60</f>
        <v>-4.6606060606054598</v>
      </c>
      <c r="W60" s="37" t="s">
        <v>31</v>
      </c>
      <c r="X60" s="38">
        <f>2*X57</f>
        <v>63.934293922697172</v>
      </c>
    </row>
    <row r="61" spans="2:25">
      <c r="Q61" s="49">
        <v>7</v>
      </c>
      <c r="R61" s="2">
        <v>7349</v>
      </c>
      <c r="S61" s="2">
        <v>7362.2181818181825</v>
      </c>
      <c r="T61" s="2">
        <f>S61-R61</f>
        <v>13.218181818182529</v>
      </c>
    </row>
    <row r="62" spans="2:25">
      <c r="Q62" s="49">
        <v>8</v>
      </c>
      <c r="R62" s="2">
        <v>8521</v>
      </c>
      <c r="S62" s="2">
        <v>8504.0969696969696</v>
      </c>
      <c r="T62" s="2">
        <f>S62-R62</f>
        <v>-16.903030303030391</v>
      </c>
    </row>
    <row r="63" spans="2:25">
      <c r="Q63" s="49">
        <v>9</v>
      </c>
      <c r="R63" s="2">
        <v>9680</v>
      </c>
      <c r="S63" s="2">
        <v>9645.9757575757576</v>
      </c>
      <c r="T63" s="2">
        <f>S63-R63</f>
        <v>-34.024242424242402</v>
      </c>
    </row>
    <row r="64" spans="2:25">
      <c r="Q64" s="49">
        <v>10</v>
      </c>
      <c r="R64" s="2">
        <v>10787</v>
      </c>
      <c r="S64" s="2">
        <v>10787.854545454546</v>
      </c>
      <c r="T64" s="2">
        <f>S64-R64</f>
        <v>0.85454545454558684</v>
      </c>
    </row>
    <row r="68" spans="17:25" ht="16.5" thickBot="1">
      <c r="R68" s="61">
        <v>6</v>
      </c>
      <c r="S68" s="62"/>
      <c r="T68" s="63"/>
    </row>
    <row r="69" spans="17:25" ht="16.5" thickBot="1">
      <c r="Q69" s="48" t="s">
        <v>21</v>
      </c>
      <c r="R69" s="48" t="s">
        <v>22</v>
      </c>
      <c r="S69" s="48" t="s">
        <v>23</v>
      </c>
      <c r="T69" s="48" t="s">
        <v>24</v>
      </c>
      <c r="V69" s="64">
        <v>6</v>
      </c>
      <c r="W69" s="65"/>
      <c r="X69" s="65"/>
      <c r="Y69" s="66"/>
    </row>
    <row r="70" spans="17:25">
      <c r="Q70" s="49">
        <v>1</v>
      </c>
      <c r="R70" s="2">
        <v>1443</v>
      </c>
      <c r="S70" s="2" cm="1">
        <f t="array" ref="S70:S80">W70*Q70:Q80+X70</f>
        <v>1450.454545454545</v>
      </c>
      <c r="T70" s="2">
        <f>S70-R70</f>
        <v>7.4545454545450411</v>
      </c>
      <c r="V70" s="50" t="s">
        <v>25</v>
      </c>
      <c r="W70" s="19" cm="1">
        <f t="array" ref="W70:X74">LINEST(R70:R80,Q70:Q80,1,1)</f>
        <v>997.89090909090919</v>
      </c>
      <c r="X70" s="12">
        <v>452.56363636363585</v>
      </c>
      <c r="Y70" s="50" t="s">
        <v>26</v>
      </c>
    </row>
    <row r="71" spans="17:25">
      <c r="Q71" s="49">
        <v>2</v>
      </c>
      <c r="R71" s="2">
        <v>2477</v>
      </c>
      <c r="S71" s="2">
        <v>2448.3454545454542</v>
      </c>
      <c r="T71" s="2">
        <f t="shared" ref="T71:T80" si="23">S71-R71</f>
        <v>-28.654545454545769</v>
      </c>
      <c r="V71" s="47" t="s">
        <v>27</v>
      </c>
      <c r="W71" s="17">
        <v>5.6605671272426514</v>
      </c>
      <c r="X71" s="11">
        <v>38.391834148591101</v>
      </c>
      <c r="Y71" s="47" t="s">
        <v>28</v>
      </c>
    </row>
    <row r="72" spans="17:25" ht="17.25">
      <c r="Q72" s="49">
        <v>3</v>
      </c>
      <c r="R72" s="2">
        <v>3470</v>
      </c>
      <c r="S72" s="2">
        <v>3446.2363636363634</v>
      </c>
      <c r="T72" s="2">
        <f t="shared" si="23"/>
        <v>-23.763636363636579</v>
      </c>
      <c r="V72" s="47" t="s">
        <v>29</v>
      </c>
      <c r="W72" s="14">
        <v>0.99971048537037521</v>
      </c>
      <c r="X72" s="11">
        <v>59.368528887131887</v>
      </c>
      <c r="Y72" s="47" t="s">
        <v>30</v>
      </c>
    </row>
    <row r="73" spans="17:25">
      <c r="Q73" s="49">
        <v>4</v>
      </c>
      <c r="R73" s="2">
        <v>4438</v>
      </c>
      <c r="S73" s="2">
        <v>4444.1272727272726</v>
      </c>
      <c r="T73" s="2">
        <f t="shared" si="23"/>
        <v>6.1272727272726115</v>
      </c>
      <c r="V73" s="3"/>
      <c r="W73" s="3">
        <v>31077.511972341268</v>
      </c>
      <c r="X73" s="3">
        <v>9</v>
      </c>
      <c r="Y73" s="3"/>
    </row>
    <row r="74" spans="17:25">
      <c r="Q74" s="49">
        <v>5</v>
      </c>
      <c r="R74" s="2">
        <v>5423</v>
      </c>
      <c r="S74" s="2">
        <v>5442.0181818181818</v>
      </c>
      <c r="T74" s="2">
        <f t="shared" si="23"/>
        <v>19.018181818181802</v>
      </c>
      <c r="V74" s="3"/>
      <c r="W74" s="3">
        <v>109536489.30909091</v>
      </c>
      <c r="X74" s="3">
        <v>31721.599999999919</v>
      </c>
      <c r="Y74" s="3"/>
    </row>
    <row r="75" spans="17:25">
      <c r="Q75" s="49">
        <v>6</v>
      </c>
      <c r="R75" s="2">
        <v>6453</v>
      </c>
      <c r="S75" s="2">
        <v>6439.909090909091</v>
      </c>
      <c r="T75" s="2">
        <f t="shared" si="23"/>
        <v>-13.090909090909008</v>
      </c>
      <c r="W75" s="37" t="s">
        <v>31</v>
      </c>
      <c r="X75" s="36">
        <f>2*X72</f>
        <v>118.73705777426377</v>
      </c>
    </row>
    <row r="76" spans="17:25">
      <c r="Q76" s="49">
        <v>7</v>
      </c>
      <c r="R76" s="2">
        <v>7292</v>
      </c>
      <c r="S76" s="2">
        <v>7437.8</v>
      </c>
      <c r="T76" s="2">
        <f t="shared" si="23"/>
        <v>145.80000000000018</v>
      </c>
    </row>
    <row r="77" spans="17:25">
      <c r="Q77" s="49">
        <v>8</v>
      </c>
      <c r="R77" s="2">
        <v>8481</v>
      </c>
      <c r="S77" s="2">
        <v>8435.6909090909103</v>
      </c>
      <c r="T77" s="2">
        <f t="shared" si="23"/>
        <v>-45.309090909089718</v>
      </c>
    </row>
    <row r="78" spans="17:25">
      <c r="Q78" s="49">
        <v>9</v>
      </c>
      <c r="R78" s="2">
        <v>9509</v>
      </c>
      <c r="S78" s="2">
        <v>9433.5818181818177</v>
      </c>
      <c r="T78" s="2">
        <f t="shared" si="23"/>
        <v>-75.418181818182347</v>
      </c>
    </row>
    <row r="79" spans="17:25">
      <c r="Q79" s="49">
        <v>10</v>
      </c>
      <c r="R79" s="2">
        <v>10446</v>
      </c>
      <c r="S79" s="2">
        <v>10431.472727272729</v>
      </c>
      <c r="T79" s="2">
        <f t="shared" si="23"/>
        <v>-14.527272727271338</v>
      </c>
    </row>
    <row r="80" spans="17:25">
      <c r="Q80" s="49">
        <v>11</v>
      </c>
      <c r="R80" s="2">
        <v>11407</v>
      </c>
      <c r="S80" s="2">
        <v>11429.363636363636</v>
      </c>
      <c r="T80" s="2">
        <f t="shared" si="23"/>
        <v>22.363636363636033</v>
      </c>
    </row>
    <row r="81" spans="1:25">
      <c r="A81" s="30"/>
      <c r="B81" s="30"/>
      <c r="C81" s="30"/>
    </row>
    <row r="84" spans="1:25" ht="16.5" thickBot="1">
      <c r="R84" s="61">
        <v>7</v>
      </c>
      <c r="S84" s="62"/>
      <c r="T84" s="63"/>
    </row>
    <row r="85" spans="1:25" ht="16.899999999999999" customHeight="1" thickBot="1">
      <c r="C85" s="29"/>
      <c r="D85" s="30"/>
      <c r="E85" s="30"/>
      <c r="F85" s="30"/>
      <c r="G85" s="30"/>
      <c r="Q85" s="48" t="s">
        <v>21</v>
      </c>
      <c r="R85" s="48" t="s">
        <v>22</v>
      </c>
      <c r="S85" s="48" t="s">
        <v>23</v>
      </c>
      <c r="T85" s="48" t="s">
        <v>24</v>
      </c>
      <c r="V85" s="64">
        <v>7</v>
      </c>
      <c r="W85" s="65"/>
      <c r="X85" s="65"/>
      <c r="Y85" s="66"/>
    </row>
    <row r="86" spans="1:25">
      <c r="C86" s="30"/>
      <c r="D86" s="30"/>
      <c r="E86" s="30"/>
      <c r="F86" s="30"/>
      <c r="G86" s="30"/>
      <c r="H86" s="30"/>
      <c r="I86" s="30"/>
      <c r="J86" s="30"/>
      <c r="Q86" s="49">
        <v>1</v>
      </c>
      <c r="R86" s="2">
        <v>1376</v>
      </c>
      <c r="S86" s="2" cm="1">
        <f t="array" ref="S86:S96">W86*Q86:Q96+X86</f>
        <v>1391.4090909090912</v>
      </c>
      <c r="T86" s="2">
        <f>S86-R86</f>
        <v>15.409090909091219</v>
      </c>
      <c r="V86" s="50" t="s">
        <v>25</v>
      </c>
      <c r="W86" s="18" cm="1">
        <f t="array" ref="W86:X90">LINEST(R86:R96,Q86:Q96,1,1)</f>
        <v>934.95454545454527</v>
      </c>
      <c r="X86" s="19">
        <v>456.45454545454595</v>
      </c>
      <c r="Y86" s="50" t="s">
        <v>26</v>
      </c>
    </row>
    <row r="87" spans="1:25">
      <c r="C87" s="30"/>
      <c r="D87" s="30"/>
      <c r="E87" s="30"/>
      <c r="F87" s="30"/>
      <c r="G87" s="30"/>
      <c r="H87" s="30"/>
      <c r="I87" s="30"/>
      <c r="J87" s="30"/>
      <c r="Q87" s="49">
        <v>2</v>
      </c>
      <c r="R87" s="2">
        <v>2324</v>
      </c>
      <c r="S87" s="2">
        <v>2326.3636363636365</v>
      </c>
      <c r="T87" s="2">
        <f t="shared" ref="T87:T91" si="24">S87-R87</f>
        <v>2.3636363636364877</v>
      </c>
      <c r="V87" s="47" t="s">
        <v>27</v>
      </c>
      <c r="W87" s="7">
        <v>1.6725378680646124</v>
      </c>
      <c r="X87" s="17">
        <v>11.343703730487034</v>
      </c>
      <c r="Y87" s="47" t="s">
        <v>28</v>
      </c>
    </row>
    <row r="88" spans="1:25" ht="17.25">
      <c r="C88" s="30"/>
      <c r="D88" s="30"/>
      <c r="E88" s="30"/>
      <c r="F88" s="30"/>
      <c r="G88" s="30"/>
      <c r="H88" s="30"/>
      <c r="I88" s="30"/>
      <c r="J88" s="30"/>
      <c r="Q88" s="49">
        <v>3</v>
      </c>
      <c r="R88" s="2">
        <v>3269</v>
      </c>
      <c r="S88" s="2">
        <v>3261.318181818182</v>
      </c>
      <c r="T88" s="2">
        <f t="shared" si="24"/>
        <v>-7.6818181818180165</v>
      </c>
      <c r="V88" s="47" t="s">
        <v>29</v>
      </c>
      <c r="W88" s="13">
        <v>0.99997119944044921</v>
      </c>
      <c r="X88" s="11">
        <v>17.54172514925807</v>
      </c>
      <c r="Y88" s="47" t="s">
        <v>30</v>
      </c>
    </row>
    <row r="89" spans="1:25">
      <c r="C89" s="30"/>
      <c r="D89" s="30"/>
      <c r="E89" s="30"/>
      <c r="F89" s="30"/>
      <c r="G89" s="30"/>
      <c r="H89" s="30"/>
      <c r="I89" s="30"/>
      <c r="J89" s="30"/>
      <c r="Q89" s="49">
        <v>4</v>
      </c>
      <c r="R89" s="2">
        <v>4199</v>
      </c>
      <c r="S89" s="2">
        <v>4196.272727272727</v>
      </c>
      <c r="T89" s="2">
        <f t="shared" si="24"/>
        <v>-2.7272727272729753</v>
      </c>
      <c r="V89" s="3"/>
      <c r="W89" s="3">
        <v>312484.9286030907</v>
      </c>
      <c r="X89" s="3">
        <v>9</v>
      </c>
    </row>
    <row r="90" spans="1:25">
      <c r="C90" s="30"/>
      <c r="D90" s="30"/>
      <c r="E90" s="30"/>
      <c r="F90" s="30"/>
      <c r="G90" s="30"/>
      <c r="H90" s="30"/>
      <c r="I90" s="30"/>
      <c r="J90" s="30"/>
      <c r="Q90" s="49">
        <v>5</v>
      </c>
      <c r="R90" s="2">
        <v>5139</v>
      </c>
      <c r="S90" s="2">
        <v>5131.2272727272721</v>
      </c>
      <c r="T90" s="2">
        <f t="shared" si="24"/>
        <v>-7.7727272727279342</v>
      </c>
      <c r="V90" s="3"/>
      <c r="W90" s="3">
        <v>96155400.227272734</v>
      </c>
      <c r="X90" s="3">
        <v>2769.4090909090173</v>
      </c>
    </row>
    <row r="91" spans="1:25">
      <c r="C91" s="30"/>
      <c r="D91" s="30"/>
      <c r="E91" s="30"/>
      <c r="F91" s="30"/>
      <c r="G91" s="30"/>
      <c r="H91" s="30"/>
      <c r="I91" s="30"/>
      <c r="J91" s="30"/>
      <c r="Q91" s="49">
        <v>6</v>
      </c>
      <c r="R91" s="2">
        <v>6066</v>
      </c>
      <c r="S91" s="2">
        <v>6066.181818181818</v>
      </c>
      <c r="T91" s="2">
        <f t="shared" si="24"/>
        <v>0.18181818181801646</v>
      </c>
      <c r="W91" s="37" t="s">
        <v>31</v>
      </c>
      <c r="X91" s="36">
        <f>2*X88</f>
        <v>35.083450298516141</v>
      </c>
    </row>
    <row r="92" spans="1:25">
      <c r="C92" s="30"/>
      <c r="D92" s="30"/>
      <c r="E92" s="30"/>
      <c r="F92" s="30"/>
      <c r="G92" s="30"/>
      <c r="H92" s="30"/>
      <c r="I92" s="30"/>
      <c r="J92" s="30"/>
      <c r="Q92" s="49">
        <v>7</v>
      </c>
      <c r="R92" s="2">
        <v>7000</v>
      </c>
      <c r="S92" s="2">
        <v>7001.1363636363631</v>
      </c>
      <c r="T92" s="2">
        <f>S92-R92</f>
        <v>1.1363636363630576</v>
      </c>
    </row>
    <row r="93" spans="1:25">
      <c r="C93" s="30"/>
      <c r="D93" s="30"/>
      <c r="E93" s="30"/>
      <c r="F93" s="30"/>
      <c r="G93" s="30"/>
      <c r="H93" s="30"/>
      <c r="I93" s="30"/>
      <c r="J93" s="30"/>
      <c r="Q93" s="49">
        <v>8</v>
      </c>
      <c r="R93" s="2">
        <v>7969</v>
      </c>
      <c r="S93" s="2">
        <v>7936.0909090909081</v>
      </c>
      <c r="T93" s="2">
        <f>S93-R93</f>
        <v>-32.909090909091901</v>
      </c>
    </row>
    <row r="94" spans="1:25">
      <c r="C94" s="30"/>
      <c r="D94" s="30"/>
      <c r="E94" s="30"/>
      <c r="F94" s="30"/>
      <c r="G94" s="30"/>
      <c r="H94" s="30"/>
      <c r="I94" s="30"/>
      <c r="J94" s="30"/>
      <c r="Q94" s="49">
        <v>9</v>
      </c>
      <c r="R94" s="59">
        <v>8866</v>
      </c>
      <c r="S94" s="2">
        <v>8871.045454545454</v>
      </c>
      <c r="T94" s="2">
        <f>S94-R94</f>
        <v>5.0454545454540494</v>
      </c>
    </row>
    <row r="95" spans="1:25">
      <c r="C95" s="30"/>
      <c r="D95" s="30"/>
      <c r="E95" s="30"/>
      <c r="F95" s="30"/>
      <c r="G95" s="30"/>
      <c r="H95" s="30"/>
      <c r="I95" s="30"/>
      <c r="J95" s="30"/>
      <c r="Q95" s="49">
        <v>10</v>
      </c>
      <c r="R95" s="2">
        <v>9771</v>
      </c>
      <c r="S95" s="2">
        <v>9805.9999999999982</v>
      </c>
      <c r="T95" s="2">
        <f>S95-R95</f>
        <v>34.999999999998181</v>
      </c>
    </row>
    <row r="96" spans="1:25">
      <c r="C96" s="30"/>
      <c r="D96" s="30"/>
      <c r="E96" s="30"/>
      <c r="F96" s="30"/>
      <c r="G96" s="30"/>
      <c r="H96" s="30"/>
      <c r="I96" s="30"/>
      <c r="J96" s="30"/>
      <c r="Q96" s="49">
        <v>11</v>
      </c>
      <c r="R96" s="2">
        <v>10749</v>
      </c>
      <c r="S96" s="2">
        <v>10740.954545454544</v>
      </c>
      <c r="T96" s="2">
        <f>S96-R96</f>
        <v>-8.0454545454558684</v>
      </c>
    </row>
    <row r="100" spans="17:25" ht="16.5" thickBot="1">
      <c r="R100" s="61">
        <v>8</v>
      </c>
      <c r="S100" s="62"/>
      <c r="T100" s="63"/>
    </row>
    <row r="101" spans="17:25" ht="16.5" thickBot="1">
      <c r="Q101" s="48" t="s">
        <v>21</v>
      </c>
      <c r="R101" s="48" t="s">
        <v>22</v>
      </c>
      <c r="S101" s="48" t="s">
        <v>23</v>
      </c>
      <c r="T101" s="48" t="s">
        <v>24</v>
      </c>
      <c r="V101" s="64">
        <v>8</v>
      </c>
      <c r="W101" s="65"/>
      <c r="X101" s="65"/>
      <c r="Y101" s="66"/>
    </row>
    <row r="102" spans="17:25">
      <c r="Q102" s="49">
        <v>1</v>
      </c>
      <c r="R102" s="2">
        <v>1149</v>
      </c>
      <c r="S102" s="2" cm="1">
        <f t="array" ref="S102:S114">W102*Q102:Q114+X102</f>
        <v>1162.2087912087904</v>
      </c>
      <c r="T102" s="14">
        <f>S102-R102</f>
        <v>13.208791208790444</v>
      </c>
      <c r="V102" s="50" t="s">
        <v>25</v>
      </c>
      <c r="W102" s="19" cm="1">
        <f t="array" ref="W102:X106">LINEST(R102:R114,Q102:Q114,1,1)</f>
        <v>768.59340659340671</v>
      </c>
      <c r="X102" s="19">
        <v>393.61538461538385</v>
      </c>
      <c r="Y102" s="50" t="s">
        <v>26</v>
      </c>
    </row>
    <row r="103" spans="17:25">
      <c r="Q103" s="49">
        <v>2</v>
      </c>
      <c r="R103" s="2">
        <v>1930</v>
      </c>
      <c r="S103" s="2">
        <v>1930.8021978021973</v>
      </c>
      <c r="T103" s="14">
        <f t="shared" ref="T103:T108" si="25">S103-R103</f>
        <v>0.80219780219726999</v>
      </c>
      <c r="V103" s="47" t="s">
        <v>27</v>
      </c>
      <c r="W103" s="17">
        <v>2.9413361643440585</v>
      </c>
      <c r="X103" s="17">
        <v>23.34613203928496</v>
      </c>
      <c r="Y103" s="47" t="s">
        <v>28</v>
      </c>
    </row>
    <row r="104" spans="17:25" ht="17.25">
      <c r="Q104" s="49">
        <v>3</v>
      </c>
      <c r="R104" s="2">
        <v>2697</v>
      </c>
      <c r="S104" s="2">
        <v>2699.3956043956041</v>
      </c>
      <c r="T104" s="14">
        <f t="shared" si="25"/>
        <v>2.3956043956040958</v>
      </c>
      <c r="V104" s="47" t="s">
        <v>29</v>
      </c>
      <c r="W104" s="13">
        <v>0.99983892848505551</v>
      </c>
      <c r="X104" s="17">
        <v>39.680794278409245</v>
      </c>
      <c r="Y104" s="47" t="s">
        <v>30</v>
      </c>
    </row>
    <row r="105" spans="17:25">
      <c r="Q105" s="49">
        <v>4</v>
      </c>
      <c r="R105" s="2">
        <v>3476</v>
      </c>
      <c r="S105" s="2">
        <v>3467.9890109890107</v>
      </c>
      <c r="T105" s="14">
        <f t="shared" si="25"/>
        <v>-8.0109890109893058</v>
      </c>
      <c r="W105" s="3">
        <v>68281.646305531176</v>
      </c>
      <c r="X105" s="3">
        <v>11</v>
      </c>
    </row>
    <row r="106" spans="17:25">
      <c r="Q106" s="49">
        <v>5</v>
      </c>
      <c r="R106" s="2">
        <v>4216</v>
      </c>
      <c r="S106" s="2">
        <v>4236.5824175824173</v>
      </c>
      <c r="T106" s="14">
        <f t="shared" si="25"/>
        <v>20.582417582417293</v>
      </c>
      <c r="W106" s="3">
        <v>107513920.08791208</v>
      </c>
      <c r="X106" s="3">
        <v>17320.219780219795</v>
      </c>
    </row>
    <row r="107" spans="17:25">
      <c r="Q107" s="49">
        <v>6</v>
      </c>
      <c r="R107" s="2">
        <v>5023</v>
      </c>
      <c r="S107" s="2">
        <v>5005.1758241758243</v>
      </c>
      <c r="T107" s="14">
        <f t="shared" si="25"/>
        <v>-17.824175824175654</v>
      </c>
      <c r="W107" s="37" t="s">
        <v>31</v>
      </c>
      <c r="X107" s="36">
        <f>2*X104</f>
        <v>79.361588556818489</v>
      </c>
    </row>
    <row r="108" spans="17:25">
      <c r="Q108" s="49">
        <v>7</v>
      </c>
      <c r="R108" s="2">
        <v>5813</v>
      </c>
      <c r="S108" s="2">
        <v>5773.7692307692305</v>
      </c>
      <c r="T108" s="14">
        <f t="shared" si="25"/>
        <v>-39.230769230769511</v>
      </c>
    </row>
    <row r="109" spans="17:25">
      <c r="Q109" s="49">
        <v>8</v>
      </c>
      <c r="R109" s="2">
        <v>6593</v>
      </c>
      <c r="S109" s="2">
        <v>6542.3626373626375</v>
      </c>
      <c r="T109" s="14">
        <f>S109-R109</f>
        <v>-50.637362637362457</v>
      </c>
    </row>
    <row r="110" spans="17:25">
      <c r="Q110" s="49">
        <v>9</v>
      </c>
      <c r="R110" s="2">
        <v>7267</v>
      </c>
      <c r="S110" s="2">
        <v>7310.9560439560446</v>
      </c>
      <c r="T110" s="14">
        <f t="shared" ref="T110:T111" si="26">S110-R110</f>
        <v>43.956043956044596</v>
      </c>
    </row>
    <row r="111" spans="17:25">
      <c r="Q111" s="49">
        <v>10</v>
      </c>
      <c r="R111" s="2">
        <v>8081</v>
      </c>
      <c r="S111" s="2">
        <v>8079.5494505494507</v>
      </c>
      <c r="T111" s="14">
        <f t="shared" si="26"/>
        <v>-1.4505494505492607</v>
      </c>
    </row>
    <row r="112" spans="17:25">
      <c r="Q112" s="49">
        <v>11</v>
      </c>
      <c r="R112" s="2">
        <v>8755</v>
      </c>
      <c r="S112" s="2">
        <v>8848.1428571428587</v>
      </c>
      <c r="T112" s="14">
        <f>S112-R112</f>
        <v>93.142857142858702</v>
      </c>
    </row>
    <row r="113" spans="17:25">
      <c r="Q113" s="49">
        <v>12</v>
      </c>
      <c r="R113" s="2">
        <v>9645</v>
      </c>
      <c r="S113" s="2">
        <v>9616.7362637362639</v>
      </c>
      <c r="T113" s="14">
        <f t="shared" ref="T113" si="27">S113-R113</f>
        <v>-28.263736263736064</v>
      </c>
    </row>
    <row r="114" spans="17:25">
      <c r="Q114" s="49">
        <v>13</v>
      </c>
      <c r="R114" s="2">
        <v>10414</v>
      </c>
      <c r="S114" s="2">
        <v>10385.329670329673</v>
      </c>
      <c r="T114" s="14">
        <f>S114-R114</f>
        <v>-28.670329670327192</v>
      </c>
    </row>
    <row r="118" spans="17:25" ht="16.5" thickBot="1">
      <c r="R118" s="61">
        <v>9</v>
      </c>
      <c r="S118" s="62"/>
      <c r="T118" s="63"/>
    </row>
    <row r="119" spans="17:25" ht="16.5" thickBot="1">
      <c r="Q119" s="48" t="s">
        <v>21</v>
      </c>
      <c r="R119" s="48" t="s">
        <v>22</v>
      </c>
      <c r="S119" s="48" t="s">
        <v>23</v>
      </c>
      <c r="T119" s="48" t="s">
        <v>24</v>
      </c>
      <c r="V119" s="64">
        <v>9</v>
      </c>
      <c r="W119" s="65"/>
      <c r="X119" s="65"/>
      <c r="Y119" s="66"/>
    </row>
    <row r="120" spans="17:25">
      <c r="Q120" s="49">
        <v>1</v>
      </c>
      <c r="R120" s="2">
        <v>964</v>
      </c>
      <c r="S120" s="17" cm="1">
        <f t="array" ref="S120:S133">W120*Q120:Q133+X120</f>
        <v>961.72727272727343</v>
      </c>
      <c r="T120" s="17">
        <f>S120-R120</f>
        <v>-2.2727272727265699</v>
      </c>
      <c r="V120" s="50" t="s">
        <v>25</v>
      </c>
      <c r="W120" s="18" cm="1">
        <f t="array" ref="W120:X124">LINEST(R120:R130,Q120:Q130,1,1)</f>
        <v>654.69090909090892</v>
      </c>
      <c r="X120" s="19">
        <v>307.03636363636451</v>
      </c>
      <c r="Y120" s="50" t="s">
        <v>26</v>
      </c>
    </row>
    <row r="121" spans="17:25">
      <c r="Q121" s="49">
        <v>2</v>
      </c>
      <c r="R121" s="2">
        <v>1616</v>
      </c>
      <c r="S121" s="7">
        <v>1616.4181818181823</v>
      </c>
      <c r="T121" s="7">
        <f t="shared" ref="T121:T133" si="28">S121-R121</f>
        <v>0.41818181818234734</v>
      </c>
      <c r="V121" s="47" t="s">
        <v>27</v>
      </c>
      <c r="W121" s="7">
        <v>2.1998914740741937</v>
      </c>
      <c r="X121" s="17">
        <v>14.920389904235048</v>
      </c>
      <c r="Y121" s="47" t="s">
        <v>28</v>
      </c>
    </row>
    <row r="122" spans="17:25" ht="17.25">
      <c r="Q122" s="49">
        <v>3</v>
      </c>
      <c r="R122" s="2">
        <v>2272</v>
      </c>
      <c r="S122" s="17">
        <v>2271.1090909090913</v>
      </c>
      <c r="T122" s="17">
        <f t="shared" si="28"/>
        <v>-0.89090909090873538</v>
      </c>
      <c r="V122" s="47" t="s">
        <v>29</v>
      </c>
      <c r="W122" s="13">
        <v>0.99989839191376206</v>
      </c>
      <c r="X122" s="17">
        <v>23.072656430230918</v>
      </c>
      <c r="Y122" s="47" t="s">
        <v>30</v>
      </c>
    </row>
    <row r="123" spans="17:25">
      <c r="Q123" s="49">
        <v>4</v>
      </c>
      <c r="R123" s="2">
        <v>2927</v>
      </c>
      <c r="S123" s="17">
        <v>2925.8</v>
      </c>
      <c r="T123" s="17">
        <f t="shared" si="28"/>
        <v>-1.1999999999998181</v>
      </c>
      <c r="W123" s="3">
        <v>88566.627523604024</v>
      </c>
      <c r="X123" s="3">
        <v>9</v>
      </c>
    </row>
    <row r="124" spans="17:25">
      <c r="Q124" s="49">
        <v>5</v>
      </c>
      <c r="R124" s="2">
        <v>3575</v>
      </c>
      <c r="S124" s="17">
        <v>3580.4909090909091</v>
      </c>
      <c r="T124" s="17">
        <f t="shared" si="28"/>
        <v>5.4909090909090992</v>
      </c>
      <c r="W124" s="3">
        <v>47148220.509090915</v>
      </c>
      <c r="X124" s="3">
        <v>4791.1272727272853</v>
      </c>
    </row>
    <row r="125" spans="17:25">
      <c r="Q125" s="49">
        <v>6</v>
      </c>
      <c r="R125" s="2">
        <v>4236</v>
      </c>
      <c r="S125" s="17">
        <v>4235.181818181818</v>
      </c>
      <c r="T125" s="17">
        <f t="shared" si="28"/>
        <v>-0.81818181818198354</v>
      </c>
      <c r="W125" s="37" t="s">
        <v>31</v>
      </c>
      <c r="X125" s="36">
        <f>2*X122</f>
        <v>46.145312860461836</v>
      </c>
    </row>
    <row r="126" spans="17:25">
      <c r="Q126" s="49">
        <v>7</v>
      </c>
      <c r="R126" s="2">
        <v>4878</v>
      </c>
      <c r="S126" s="17">
        <v>4889.8727272727274</v>
      </c>
      <c r="T126" s="17">
        <f t="shared" si="28"/>
        <v>11.872727272727388</v>
      </c>
    </row>
    <row r="127" spans="17:25">
      <c r="Q127" s="49">
        <v>8</v>
      </c>
      <c r="R127" s="2">
        <v>5588</v>
      </c>
      <c r="S127" s="17">
        <v>5544.5636363636359</v>
      </c>
      <c r="T127" s="17">
        <f t="shared" si="28"/>
        <v>-43.436363636364149</v>
      </c>
    </row>
    <row r="128" spans="17:25">
      <c r="Q128" s="49">
        <v>9</v>
      </c>
      <c r="R128" s="2">
        <v>6149</v>
      </c>
      <c r="S128" s="17">
        <v>6199.2545454545443</v>
      </c>
      <c r="T128" s="17">
        <f t="shared" si="28"/>
        <v>50.254545454544314</v>
      </c>
    </row>
    <row r="129" spans="17:20">
      <c r="Q129" s="49">
        <v>10</v>
      </c>
      <c r="R129" s="2">
        <v>6866</v>
      </c>
      <c r="S129" s="17">
        <v>6853.9454545454537</v>
      </c>
      <c r="T129" s="17">
        <f t="shared" si="28"/>
        <v>-12.054545454546314</v>
      </c>
    </row>
    <row r="130" spans="17:20">
      <c r="Q130" s="49">
        <v>11</v>
      </c>
      <c r="R130" s="2">
        <v>7516</v>
      </c>
      <c r="S130" s="17">
        <v>7508.6363636363631</v>
      </c>
      <c r="T130" s="17">
        <f t="shared" si="28"/>
        <v>-7.3636363636369424</v>
      </c>
    </row>
    <row r="131" spans="17:20">
      <c r="Q131" s="49">
        <v>12</v>
      </c>
      <c r="R131" s="2"/>
      <c r="S131" s="17">
        <v>8163.3272727272715</v>
      </c>
      <c r="T131" s="17">
        <f t="shared" si="28"/>
        <v>8163.3272727272715</v>
      </c>
    </row>
    <row r="132" spans="17:20">
      <c r="Q132" s="49">
        <v>13</v>
      </c>
      <c r="R132" s="2"/>
      <c r="S132" s="17">
        <v>8818.0181818181809</v>
      </c>
      <c r="T132" s="17">
        <f t="shared" si="28"/>
        <v>8818.0181818181809</v>
      </c>
    </row>
    <row r="133" spans="17:20">
      <c r="Q133" s="49">
        <v>14</v>
      </c>
      <c r="R133" s="2"/>
      <c r="S133" s="17">
        <v>9472.7090909090912</v>
      </c>
      <c r="T133" s="17">
        <f t="shared" si="28"/>
        <v>9472.7090909090912</v>
      </c>
    </row>
  </sheetData>
  <mergeCells count="18">
    <mergeCell ref="R100:T100"/>
    <mergeCell ref="V101:Y101"/>
    <mergeCell ref="V119:Y119"/>
    <mergeCell ref="R118:T118"/>
    <mergeCell ref="V69:Y69"/>
    <mergeCell ref="R68:T68"/>
    <mergeCell ref="R84:T84"/>
    <mergeCell ref="V85:Y85"/>
    <mergeCell ref="R3:T3"/>
    <mergeCell ref="V40:Y40"/>
    <mergeCell ref="V54:Y54"/>
    <mergeCell ref="V4:Y4"/>
    <mergeCell ref="R53:T53"/>
    <mergeCell ref="V14:Y14"/>
    <mergeCell ref="R13:T13"/>
    <mergeCell ref="R25:T25"/>
    <mergeCell ref="V26:Y26"/>
    <mergeCell ref="R39:T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B435-0004-B043-8C95-CD169F9CCD22}">
  <dimension ref="B1:AO107"/>
  <sheetViews>
    <sheetView tabSelected="1" topLeftCell="A9" zoomScaleNormal="100" workbookViewId="0">
      <selection activeCell="AJ26" sqref="AJ26"/>
    </sheetView>
  </sheetViews>
  <sheetFormatPr defaultColWidth="10.75" defaultRowHeight="15.75"/>
  <cols>
    <col min="1" max="8" width="10.75" style="1"/>
    <col min="9" max="10" width="12.25" style="1" bestFit="1" customWidth="1"/>
    <col min="11" max="11" width="12.25" style="1" customWidth="1"/>
    <col min="12" max="13" width="10.75" style="1"/>
    <col min="14" max="14" width="13.5" style="1" bestFit="1" customWidth="1"/>
    <col min="15" max="16" width="10.75" style="1"/>
    <col min="17" max="17" width="13.75" style="1" customWidth="1"/>
    <col min="18" max="18" width="12.25" style="1" bestFit="1" customWidth="1"/>
    <col min="19" max="29" width="10.75" style="1"/>
    <col min="30" max="30" width="13.25" style="1" bestFit="1" customWidth="1"/>
    <col min="31" max="16384" width="10.75" style="1"/>
  </cols>
  <sheetData>
    <row r="1" spans="2:41">
      <c r="AF1" s="44">
        <f t="shared" ref="AF1:AN1" si="0">$AH$28</f>
        <v>-1.7190131271457641E-3</v>
      </c>
      <c r="AG1" s="44">
        <f t="shared" si="0"/>
        <v>-1.7190131271457641E-3</v>
      </c>
      <c r="AH1" s="44">
        <f t="shared" si="0"/>
        <v>-1.7190131271457641E-3</v>
      </c>
      <c r="AI1" s="44">
        <f t="shared" si="0"/>
        <v>-1.7190131271457641E-3</v>
      </c>
      <c r="AJ1" s="44">
        <f t="shared" si="0"/>
        <v>-1.7190131271457641E-3</v>
      </c>
      <c r="AK1" s="44">
        <f t="shared" si="0"/>
        <v>-1.7190131271457641E-3</v>
      </c>
      <c r="AL1" s="44">
        <f t="shared" si="0"/>
        <v>-1.7190131271457641E-3</v>
      </c>
      <c r="AM1" s="44">
        <f t="shared" si="0"/>
        <v>-1.7190131271457641E-3</v>
      </c>
      <c r="AN1" s="44">
        <f t="shared" si="0"/>
        <v>-1.7190131271457641E-3</v>
      </c>
      <c r="AO1" s="3"/>
    </row>
    <row r="2" spans="2:41">
      <c r="AA2" s="1" t="s">
        <v>56</v>
      </c>
      <c r="AB2" s="34">
        <f>AVERAGE(Tubos!P3:P11)*10^-3</f>
        <v>1.029325E-3</v>
      </c>
      <c r="AC2" s="23">
        <f>_xlfn.STDEV.S('1ª Parte (v)'!I3:I11)/SQRT(9)</f>
        <v>9.5798979349700932E-6</v>
      </c>
      <c r="AD2" s="23">
        <f>AC2/AB2*100</f>
        <v>0.93069710100989411</v>
      </c>
      <c r="AF2" s="44">
        <f>$AH$29</f>
        <v>2.4225158220083365E-3</v>
      </c>
      <c r="AG2" s="44">
        <f t="shared" ref="AG2:AN2" si="1">$AH$29</f>
        <v>2.4225158220083365E-3</v>
      </c>
      <c r="AH2" s="44">
        <f t="shared" si="1"/>
        <v>2.4225158220083365E-3</v>
      </c>
      <c r="AI2" s="44">
        <f t="shared" si="1"/>
        <v>2.4225158220083365E-3</v>
      </c>
      <c r="AJ2" s="44">
        <f t="shared" si="1"/>
        <v>2.4225158220083365E-3</v>
      </c>
      <c r="AK2" s="44">
        <f t="shared" si="1"/>
        <v>2.4225158220083365E-3</v>
      </c>
      <c r="AL2" s="44">
        <f t="shared" si="1"/>
        <v>2.4225158220083365E-3</v>
      </c>
      <c r="AM2" s="44">
        <f t="shared" si="1"/>
        <v>2.4225158220083365E-3</v>
      </c>
      <c r="AN2" s="44">
        <f t="shared" si="1"/>
        <v>2.4225158220083365E-3</v>
      </c>
      <c r="AO2" s="3"/>
    </row>
    <row r="3" spans="2:41">
      <c r="C3" s="51">
        <v>4</v>
      </c>
      <c r="F3" s="1" t="s">
        <v>100</v>
      </c>
      <c r="G3" s="60" t="s">
        <v>57</v>
      </c>
      <c r="H3" s="60"/>
      <c r="I3" s="60"/>
      <c r="J3" s="60"/>
      <c r="K3" s="60"/>
      <c r="L3" s="60"/>
      <c r="M3" s="60"/>
      <c r="N3" s="60"/>
      <c r="AA3" s="1" t="s">
        <v>58</v>
      </c>
      <c r="AB3" s="32">
        <f>0.305*AB2</f>
        <v>3.1394412499999996E-4</v>
      </c>
      <c r="AC3" s="23">
        <f>AC2*0.305</f>
        <v>2.9218688701658781E-6</v>
      </c>
      <c r="AD3" s="23">
        <f>AC3/AB3*100</f>
        <v>0.93069710100989411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6</v>
      </c>
      <c r="AL3" s="1">
        <v>7</v>
      </c>
      <c r="AM3" s="1">
        <v>8</v>
      </c>
      <c r="AN3" s="1">
        <v>9</v>
      </c>
    </row>
    <row r="4" spans="2:41" ht="17.25">
      <c r="B4" s="53" t="s">
        <v>21</v>
      </c>
      <c r="C4" s="53" t="s">
        <v>22</v>
      </c>
      <c r="F4" s="47" t="s">
        <v>0</v>
      </c>
      <c r="G4" s="47" t="s">
        <v>17</v>
      </c>
      <c r="H4" s="47" t="s">
        <v>59</v>
      </c>
      <c r="I4" s="47" t="s">
        <v>18</v>
      </c>
      <c r="J4" s="47" t="s">
        <v>60</v>
      </c>
      <c r="K4" s="47" t="s">
        <v>61</v>
      </c>
      <c r="L4" s="47" t="s">
        <v>62</v>
      </c>
      <c r="M4" s="47" t="s">
        <v>63</v>
      </c>
      <c r="N4" s="47" t="s">
        <v>64</v>
      </c>
      <c r="AF4" s="32">
        <f t="shared" ref="AF4:AN4" si="2">$AB$3</f>
        <v>3.1394412499999996E-4</v>
      </c>
      <c r="AG4" s="32">
        <f t="shared" si="2"/>
        <v>3.1394412499999996E-4</v>
      </c>
      <c r="AH4" s="32">
        <f t="shared" si="2"/>
        <v>3.1394412499999996E-4</v>
      </c>
      <c r="AI4" s="32">
        <f t="shared" si="2"/>
        <v>3.1394412499999996E-4</v>
      </c>
      <c r="AJ4" s="32">
        <f t="shared" si="2"/>
        <v>3.1394412499999996E-4</v>
      </c>
      <c r="AK4" s="32">
        <f t="shared" si="2"/>
        <v>3.1394412499999996E-4</v>
      </c>
      <c r="AL4" s="32">
        <f t="shared" si="2"/>
        <v>3.1394412499999996E-4</v>
      </c>
      <c r="AM4" s="32">
        <f t="shared" si="2"/>
        <v>3.1394412499999996E-4</v>
      </c>
      <c r="AN4" s="32">
        <f t="shared" si="2"/>
        <v>3.1394412499999996E-4</v>
      </c>
    </row>
    <row r="5" spans="2:41">
      <c r="B5" s="54">
        <v>1</v>
      </c>
      <c r="C5" s="2">
        <f>'1ª Parte (v)'!R41</f>
        <v>593</v>
      </c>
      <c r="F5" s="2">
        <v>4</v>
      </c>
      <c r="G5" s="2">
        <f>'1ª Parte (v)'!E6</f>
        <v>1.4069999999999999E-2</v>
      </c>
      <c r="H5" s="2">
        <f>G5*10^2</f>
        <v>1.407</v>
      </c>
      <c r="I5" s="2">
        <f>Tubos!J7*10^-1</f>
        <v>1.6733200530681472E-3</v>
      </c>
      <c r="J5" s="2">
        <f>1/'1ª Parte (v)'!R41</f>
        <v>1.6863406408094434E-3</v>
      </c>
      <c r="K5" s="2">
        <f>J5*10^4</f>
        <v>16.863406408094434</v>
      </c>
      <c r="L5" s="2"/>
      <c r="M5" s="10">
        <f>$Q$5*K5+$R$5</f>
        <v>1.5088750448601289</v>
      </c>
      <c r="N5" s="10">
        <f>M5-H5</f>
        <v>0.10187504486012888</v>
      </c>
      <c r="P5" s="2"/>
      <c r="Q5" s="10" cm="1">
        <f t="array" ref="Q5:R9">LINEST(H5:H9,K5:K9,1,1)</f>
        <v>-4.0050115067817652E-2</v>
      </c>
      <c r="R5" s="20">
        <v>2.1842564119396846</v>
      </c>
      <c r="S5" s="2"/>
      <c r="AE5" s="1" t="s">
        <v>65</v>
      </c>
      <c r="AF5" s="25">
        <f>-R5*10^-2</f>
        <v>-2.1842564119396845E-2</v>
      </c>
      <c r="AG5" s="1">
        <f>-R15*10^-2</f>
        <v>-2.3662389542940837E-2</v>
      </c>
      <c r="AH5" s="1">
        <f>-R25*10^-2</f>
        <v>-8.7974239543794873E-3</v>
      </c>
      <c r="AI5" s="1">
        <f>-R35*10^-2</f>
        <v>-4.8393186078960768E-3</v>
      </c>
      <c r="AJ5" s="1">
        <f>-R45*10^-2</f>
        <v>-3.3246491582403317E-3</v>
      </c>
      <c r="AK5" s="1">
        <f>-R55*10^-2</f>
        <v>-6.9269496667136799E-3</v>
      </c>
      <c r="AL5" s="1">
        <f>-R65*10^-2</f>
        <v>-1.7321152239249415E-3</v>
      </c>
      <c r="AM5" s="1">
        <f>-R75*10^-2</f>
        <v>6.2948935055858815E-3</v>
      </c>
      <c r="AN5" s="1">
        <f>-R85*10^-2</f>
        <v>-1.0357708047699422E-3</v>
      </c>
    </row>
    <row r="6" spans="2:41">
      <c r="B6" s="54">
        <v>2</v>
      </c>
      <c r="C6" s="2">
        <f>'1ª Parte (v)'!R42</f>
        <v>1787</v>
      </c>
      <c r="F6" s="2">
        <v>5</v>
      </c>
      <c r="G6" s="2">
        <f>'1ª Parte (v)'!E7</f>
        <v>1.4968E-2</v>
      </c>
      <c r="H6" s="2">
        <f>G6*10^2</f>
        <v>1.4968000000000001</v>
      </c>
      <c r="I6" s="2">
        <f>Tubos!J8*10^-1</f>
        <v>1.9849433241279171E-3</v>
      </c>
      <c r="J6" s="2">
        <f>1/'1ª Parte (v)'!R55</f>
        <v>1.8050541516245488E-3</v>
      </c>
      <c r="K6" s="2">
        <f>J6*10^4</f>
        <v>18.050541516245488</v>
      </c>
      <c r="L6" s="2"/>
      <c r="M6" s="10">
        <f>$Q$5*K6+$R$5</f>
        <v>1.461330147177633</v>
      </c>
      <c r="N6" s="10">
        <f>M6-H6</f>
        <v>-3.5469852822367143E-2</v>
      </c>
      <c r="P6" s="2"/>
      <c r="Q6" s="11">
        <v>2.3554453538535695E-2</v>
      </c>
      <c r="R6" s="20">
        <v>0.29547149544582429</v>
      </c>
      <c r="S6" s="2"/>
      <c r="AE6" s="1" t="s">
        <v>66</v>
      </c>
      <c r="AF6" s="22">
        <f>R6*10^-2</f>
        <v>2.9547149544582431E-3</v>
      </c>
      <c r="AG6" s="1">
        <f>R16*10^-2</f>
        <v>1.0231930061265201E-2</v>
      </c>
      <c r="AH6" s="1">
        <f>R26*10^-2</f>
        <v>4.2899999256917612E-3</v>
      </c>
      <c r="AI6" s="1">
        <f>R36*10^-2</f>
        <v>4.0174800859874059E-3</v>
      </c>
      <c r="AJ6" s="1">
        <f>R46*10^-2</f>
        <v>3.5414860133685419E-3</v>
      </c>
      <c r="AK6" s="1">
        <f>R56*10^-2</f>
        <v>2.6180397903728682E-3</v>
      </c>
      <c r="AL6" s="1">
        <f>R66*10^-2</f>
        <v>2.718282420539106E-3</v>
      </c>
      <c r="AM6" s="1">
        <f>R76*10^-2</f>
        <v>3.7584246849494602E-3</v>
      </c>
      <c r="AN6" s="1">
        <f>R86*10^-2</f>
        <v>2.0409539115546537E-3</v>
      </c>
    </row>
    <row r="7" spans="2:41">
      <c r="B7" s="54">
        <v>3</v>
      </c>
      <c r="C7" s="2">
        <f>'1ª Parte (v)'!R43</f>
        <v>2996</v>
      </c>
      <c r="F7" s="2">
        <v>6</v>
      </c>
      <c r="G7" s="2">
        <f>'1ª Parte (v)'!E8</f>
        <v>1.7000000000000001E-2</v>
      </c>
      <c r="H7" s="2">
        <f>G7*10^2</f>
        <v>1.7000000000000002</v>
      </c>
      <c r="I7" s="2">
        <f>Tubos!J9*10^-1</f>
        <v>7.071067811865576E-4</v>
      </c>
      <c r="J7" s="2">
        <f>1/'1ª Parte (v)'!R70</f>
        <v>6.93000693000693E-4</v>
      </c>
      <c r="K7" s="2">
        <f>J7*10^4</f>
        <v>6.9300069300069298</v>
      </c>
      <c r="L7" s="2"/>
      <c r="M7" s="10">
        <f>$Q$5*K7+$R$5</f>
        <v>1.9067088369721332</v>
      </c>
      <c r="N7" s="10">
        <f>M7-H7</f>
        <v>0.20670883697213305</v>
      </c>
      <c r="P7" s="2"/>
      <c r="Q7" s="15">
        <v>0.49075629822287814</v>
      </c>
      <c r="R7" s="15">
        <v>0.25616731258342573</v>
      </c>
      <c r="S7" s="2"/>
      <c r="AE7" s="1" t="s">
        <v>67</v>
      </c>
      <c r="AF7" s="1">
        <f>AF6/AF5*100</f>
        <v>-13.527326454472297</v>
      </c>
      <c r="AG7" s="1">
        <f t="shared" ref="AG7:AM7" si="3">AG6/AG5*100</f>
        <v>-43.24132202581238</v>
      </c>
      <c r="AH7" s="1">
        <f t="shared" si="3"/>
        <v>-48.764274041336115</v>
      </c>
      <c r="AI7" s="1">
        <f t="shared" si="3"/>
        <v>-83.017474390553303</v>
      </c>
      <c r="AJ7" s="1">
        <f t="shared" si="3"/>
        <v>-106.52209736449237</v>
      </c>
      <c r="AK7" s="1">
        <f>AK6/AK5*100</f>
        <v>-37.79498792886325</v>
      </c>
      <c r="AL7" s="1">
        <f t="shared" si="3"/>
        <v>-156.9342722119564</v>
      </c>
      <c r="AM7" s="1">
        <f t="shared" si="3"/>
        <v>59.70592960173763</v>
      </c>
      <c r="AN7" s="1">
        <f>AN6/AN5*100</f>
        <v>-197.04686617499084</v>
      </c>
    </row>
    <row r="8" spans="2:41">
      <c r="B8" s="54">
        <v>4</v>
      </c>
      <c r="C8" s="2">
        <f>'1ª Parte (v)'!R44</f>
        <v>4175</v>
      </c>
      <c r="F8" s="2">
        <v>7</v>
      </c>
      <c r="G8" s="2">
        <f>'1ª Parte (v)'!E9</f>
        <v>1.8004000000000003E-2</v>
      </c>
      <c r="H8" s="2">
        <f>G8*10^2</f>
        <v>1.8004000000000002</v>
      </c>
      <c r="I8" s="2">
        <f>Tubos!J10*10^-1</f>
        <v>8.1240384046361381E-4</v>
      </c>
      <c r="J8" s="2">
        <f>1/'1ª Parte (v)'!R86</f>
        <v>7.2674418604651162E-4</v>
      </c>
      <c r="K8" s="2">
        <f>J8*10^4</f>
        <v>7.2674418604651159</v>
      </c>
      <c r="L8" s="2"/>
      <c r="M8" s="10">
        <f>$Q$5*K8+$R$5</f>
        <v>1.8931945291793819</v>
      </c>
      <c r="N8" s="10">
        <f>M8-H8</f>
        <v>9.2794529179381691E-2</v>
      </c>
      <c r="Q8" s="3">
        <v>2.8910890591887872</v>
      </c>
      <c r="R8" s="3">
        <v>3</v>
      </c>
      <c r="AE8" s="1" t="s">
        <v>42</v>
      </c>
      <c r="AF8" s="27">
        <f t="shared" ref="AF8:AK8" si="4">(-$AB$3+AF5)/$AB$3*100</f>
        <v>-7057.4686640168366</v>
      </c>
      <c r="AG8" s="27">
        <f t="shared" si="4"/>
        <v>-7637.13404986981</v>
      </c>
      <c r="AH8" s="27">
        <f t="shared" si="4"/>
        <v>-2902.2260185246305</v>
      </c>
      <c r="AI8" s="27">
        <f t="shared" si="4"/>
        <v>-1641.4585662006186</v>
      </c>
      <c r="AJ8" s="27">
        <f t="shared" si="4"/>
        <v>-1158.9939079893061</v>
      </c>
      <c r="AK8" s="27">
        <f t="shared" si="4"/>
        <v>-2306.4275503526878</v>
      </c>
      <c r="AL8" s="27">
        <f>($AB$3-AL5)/$AB$3*100</f>
        <v>651.72722978171396</v>
      </c>
      <c r="AM8" s="27">
        <f>(-$AB$3+AM5)/$AB$3*100</f>
        <v>1905.0999538806093</v>
      </c>
      <c r="AN8" s="27">
        <f>(-$AB$3+AN5)/$AB$3*100</f>
        <v>-429.92202187887489</v>
      </c>
    </row>
    <row r="9" spans="2:41">
      <c r="B9" s="54">
        <v>5</v>
      </c>
      <c r="C9" s="2">
        <f>'1ª Parte (v)'!R45</f>
        <v>5365</v>
      </c>
      <c r="F9" s="2">
        <v>8</v>
      </c>
      <c r="G9" s="2">
        <f>'1ª Parte (v)'!E10</f>
        <v>2.2015999999999997E-2</v>
      </c>
      <c r="H9" s="2">
        <f>G9*10^2</f>
        <v>2.2015999999999996</v>
      </c>
      <c r="I9" s="2">
        <f>Tubos!J11*10^-1</f>
        <v>3.6687872655688709E-3</v>
      </c>
      <c r="J9" s="2">
        <f>1/'1ª Parte (v)'!R102</f>
        <v>8.703220191470844E-4</v>
      </c>
      <c r="K9" s="2">
        <f>J9*10^4</f>
        <v>8.7032201914708445</v>
      </c>
      <c r="L9" s="2"/>
      <c r="M9" s="10">
        <f>$Q$5*K9+$R$5</f>
        <v>1.8356914418107233</v>
      </c>
      <c r="N9" s="10">
        <f>M9-H9</f>
        <v>-0.36590855818927626</v>
      </c>
      <c r="Q9" s="3">
        <v>0.18971815589135588</v>
      </c>
      <c r="R9" s="3">
        <v>0.19686507610864368</v>
      </c>
    </row>
    <row r="10" spans="2:41">
      <c r="B10" s="54">
        <v>6</v>
      </c>
      <c r="C10" s="2">
        <f>'1ª Parte (v)'!R46</f>
        <v>6579</v>
      </c>
      <c r="H10" s="2"/>
      <c r="I10" s="2"/>
      <c r="K10" s="2"/>
      <c r="M10" s="10"/>
      <c r="N10" s="10"/>
      <c r="Q10" s="3"/>
      <c r="R10" s="1">
        <f>2*R7</f>
        <v>0.51233462516685147</v>
      </c>
    </row>
    <row r="11" spans="2:41">
      <c r="B11" s="54">
        <v>7</v>
      </c>
      <c r="C11" s="2">
        <f>'1ª Parte (v)'!R47</f>
        <v>7809</v>
      </c>
    </row>
    <row r="12" spans="2:41">
      <c r="B12" s="54">
        <v>8</v>
      </c>
      <c r="C12" s="2">
        <f>'1ª Parte (v)'!R48</f>
        <v>8996</v>
      </c>
    </row>
    <row r="13" spans="2:41">
      <c r="B13" s="54">
        <v>9</v>
      </c>
      <c r="C13" s="2">
        <f>'1ª Parte (v)'!R49</f>
        <v>10229</v>
      </c>
      <c r="F13" s="1" t="s">
        <v>100</v>
      </c>
      <c r="G13" s="60" t="s">
        <v>68</v>
      </c>
      <c r="H13" s="60"/>
      <c r="I13" s="60"/>
      <c r="J13" s="60"/>
      <c r="K13" s="60"/>
      <c r="L13" s="60"/>
      <c r="M13" s="60"/>
      <c r="N13" s="60"/>
    </row>
    <row r="14" spans="2:41" ht="17.25">
      <c r="F14" s="47" t="s">
        <v>0</v>
      </c>
      <c r="G14" s="47" t="s">
        <v>17</v>
      </c>
      <c r="H14" s="47" t="s">
        <v>59</v>
      </c>
      <c r="I14" s="47" t="s">
        <v>18</v>
      </c>
      <c r="J14" s="47" t="s">
        <v>60</v>
      </c>
      <c r="K14" s="47" t="s">
        <v>61</v>
      </c>
      <c r="L14" s="47" t="s">
        <v>62</v>
      </c>
      <c r="M14" s="47" t="s">
        <v>69</v>
      </c>
      <c r="N14" s="47" t="s">
        <v>70</v>
      </c>
    </row>
    <row r="15" spans="2:41">
      <c r="F15" s="2">
        <v>4</v>
      </c>
      <c r="G15" s="2">
        <f>G5</f>
        <v>1.4069999999999999E-2</v>
      </c>
      <c r="H15" s="2">
        <f>G15*10^2</f>
        <v>1.407</v>
      </c>
      <c r="I15" s="2">
        <f>Tubos!J7*10^-1</f>
        <v>1.6733200530681472E-3</v>
      </c>
      <c r="J15" s="2">
        <f>1/C6</f>
        <v>5.5959709009513155E-4</v>
      </c>
      <c r="K15" s="2">
        <f>J15*10^4</f>
        <v>5.5959709009513157</v>
      </c>
      <c r="L15" s="2"/>
      <c r="M15" s="10">
        <f>$Q$15*K15+$R$15</f>
        <v>1.6476101267976977</v>
      </c>
      <c r="N15" s="10">
        <f>M15-H15</f>
        <v>0.24061012679769767</v>
      </c>
      <c r="P15" s="2"/>
      <c r="Q15" s="10" cm="1">
        <f t="array" ref="Q15:R19">LINEST(H15:H19,K15:K19,1,1)</f>
        <v>-0.12841897147360418</v>
      </c>
      <c r="R15" s="2">
        <v>2.3662389542940838</v>
      </c>
      <c r="S15" s="2"/>
    </row>
    <row r="16" spans="2:41">
      <c r="F16" s="2">
        <v>5</v>
      </c>
      <c r="G16" s="2">
        <f>G6</f>
        <v>1.4968E-2</v>
      </c>
      <c r="H16" s="2">
        <f t="shared" ref="H16:H20" si="5">G16*10^2</f>
        <v>1.4968000000000001</v>
      </c>
      <c r="I16" s="2">
        <f>Tubos!J8*10^-1</f>
        <v>1.9849433241279171E-3</v>
      </c>
      <c r="J16" s="2">
        <f>1/C22</f>
        <v>5.9988002399520091E-4</v>
      </c>
      <c r="K16" s="2">
        <f t="shared" ref="K16:K20" si="6">J16*10^4</f>
        <v>5.9988002399520095</v>
      </c>
      <c r="L16" s="2"/>
      <c r="M16" s="10">
        <f t="shared" ref="M16:M20" si="7">$Q$15*K16+$R$15</f>
        <v>1.5958791974038369</v>
      </c>
      <c r="N16" s="10">
        <f t="shared" ref="N16:N20" si="8">M16-H16</f>
        <v>9.907919740383675E-2</v>
      </c>
      <c r="P16" s="2"/>
      <c r="Q16" s="11">
        <v>0.20147174441325169</v>
      </c>
      <c r="R16" s="2">
        <v>1.0231930061265202</v>
      </c>
      <c r="S16" s="2"/>
    </row>
    <row r="17" spans="2:34">
      <c r="F17" s="2">
        <v>6</v>
      </c>
      <c r="G17" s="2">
        <f>G7</f>
        <v>1.7000000000000001E-2</v>
      </c>
      <c r="H17" s="2">
        <f t="shared" si="5"/>
        <v>1.7000000000000002</v>
      </c>
      <c r="I17" s="2">
        <f>Tubos!J9*10^-1</f>
        <v>7.071067811865576E-4</v>
      </c>
      <c r="J17" s="2">
        <f>1/C40</f>
        <v>4.0371417036737988E-4</v>
      </c>
      <c r="K17" s="2">
        <f t="shared" si="6"/>
        <v>4.0371417036737984</v>
      </c>
      <c r="L17" s="2"/>
      <c r="M17" s="10">
        <f t="shared" si="7"/>
        <v>1.8477933690151005</v>
      </c>
      <c r="N17" s="10">
        <f t="shared" si="8"/>
        <v>0.14779336901510032</v>
      </c>
      <c r="P17" s="2"/>
      <c r="Q17" s="2">
        <v>0.11927493357965054</v>
      </c>
      <c r="R17" s="2">
        <v>0.33688452159960935</v>
      </c>
      <c r="S17" s="2"/>
    </row>
    <row r="18" spans="2:34">
      <c r="F18" s="2">
        <v>7</v>
      </c>
      <c r="G18" s="2">
        <f>G8</f>
        <v>1.8004000000000003E-2</v>
      </c>
      <c r="H18" s="2">
        <f t="shared" si="5"/>
        <v>1.8004000000000002</v>
      </c>
      <c r="I18" s="2">
        <f>Tubos!J10*10^-1</f>
        <v>8.1240384046361381E-4</v>
      </c>
      <c r="J18" s="2">
        <f>1/C59</f>
        <v>4.3029259896729778E-4</v>
      </c>
      <c r="K18" s="2">
        <f t="shared" si="6"/>
        <v>4.3029259896729775</v>
      </c>
      <c r="L18" s="2"/>
      <c r="M18" s="10">
        <f t="shared" si="7"/>
        <v>1.8136616243732397</v>
      </c>
      <c r="N18" s="10">
        <f t="shared" si="8"/>
        <v>1.3261624373239522E-2</v>
      </c>
      <c r="Q18" s="3">
        <v>0.40628433819115373</v>
      </c>
      <c r="R18" s="3">
        <v>3</v>
      </c>
    </row>
    <row r="19" spans="2:34">
      <c r="C19" s="51">
        <v>5</v>
      </c>
      <c r="F19" s="2">
        <v>8</v>
      </c>
      <c r="G19" s="2">
        <f>G9</f>
        <v>2.2015999999999997E-2</v>
      </c>
      <c r="H19" s="2">
        <f t="shared" si="5"/>
        <v>2.2015999999999996</v>
      </c>
      <c r="I19" s="2">
        <f>Tubos!J11*10^-1</f>
        <v>3.6687872655688709E-3</v>
      </c>
      <c r="J19" s="2">
        <f>1/C77</f>
        <v>5.1813471502590671E-4</v>
      </c>
      <c r="K19" s="2">
        <f t="shared" si="6"/>
        <v>5.1813471502590671</v>
      </c>
      <c r="L19" s="2"/>
      <c r="M19" s="10">
        <f t="shared" si="7"/>
        <v>1.7008556824101244</v>
      </c>
      <c r="N19" s="10">
        <f t="shared" si="8"/>
        <v>-0.50074431758987514</v>
      </c>
      <c r="Q19" s="3">
        <v>4.6109689319806579E-2</v>
      </c>
      <c r="R19" s="3">
        <v>0.34047354268019298</v>
      </c>
    </row>
    <row r="20" spans="2:34">
      <c r="B20" s="53" t="s">
        <v>21</v>
      </c>
      <c r="C20" s="53" t="s">
        <v>22</v>
      </c>
      <c r="F20" s="1">
        <v>9</v>
      </c>
      <c r="G20" s="15">
        <f>'1ª Parte (v)'!E11</f>
        <v>2.6094000000000003E-2</v>
      </c>
      <c r="H20" s="1">
        <f t="shared" si="5"/>
        <v>2.6094000000000004</v>
      </c>
      <c r="I20" s="2">
        <f>Tubos!J12*10^-1</f>
        <v>3.668787265568864E-3</v>
      </c>
      <c r="J20" s="1">
        <f>1/C94</f>
        <v>1.037344398340249E-3</v>
      </c>
      <c r="K20" s="2">
        <f t="shared" si="6"/>
        <v>10.37344398340249</v>
      </c>
      <c r="M20" s="10">
        <f t="shared" si="7"/>
        <v>1.0340919473064887</v>
      </c>
      <c r="N20" s="10">
        <f t="shared" si="8"/>
        <v>-1.5753080526935117</v>
      </c>
      <c r="R20" s="1">
        <f>2*R17</f>
        <v>0.67376904319921871</v>
      </c>
    </row>
    <row r="21" spans="2:34">
      <c r="B21" s="54">
        <v>1</v>
      </c>
      <c r="C21" s="2">
        <f>'1ª Parte (v)'!R55</f>
        <v>554</v>
      </c>
    </row>
    <row r="22" spans="2:34">
      <c r="B22" s="54">
        <v>2</v>
      </c>
      <c r="C22" s="2">
        <f>'1ª Parte (v)'!R56</f>
        <v>1667</v>
      </c>
    </row>
    <row r="23" spans="2:34">
      <c r="B23" s="54">
        <v>3</v>
      </c>
      <c r="C23" s="2">
        <f>'1ª Parte (v)'!R57</f>
        <v>2778</v>
      </c>
      <c r="F23" s="1" t="s">
        <v>100</v>
      </c>
      <c r="G23" s="60" t="s">
        <v>71</v>
      </c>
      <c r="H23" s="60"/>
      <c r="I23" s="60"/>
      <c r="J23" s="60"/>
      <c r="K23" s="60"/>
      <c r="L23" s="60"/>
      <c r="M23" s="60"/>
      <c r="N23" s="60"/>
    </row>
    <row r="24" spans="2:34" ht="17.25">
      <c r="B24" s="54">
        <v>4</v>
      </c>
      <c r="C24" s="2">
        <f>'1ª Parte (v)'!R58</f>
        <v>3916</v>
      </c>
      <c r="F24" s="47" t="s">
        <v>0</v>
      </c>
      <c r="G24" s="47" t="s">
        <v>17</v>
      </c>
      <c r="H24" s="47" t="s">
        <v>59</v>
      </c>
      <c r="I24" s="47" t="s">
        <v>18</v>
      </c>
      <c r="J24" s="47" t="s">
        <v>60</v>
      </c>
      <c r="K24" s="47" t="s">
        <v>61</v>
      </c>
      <c r="L24" s="47" t="s">
        <v>62</v>
      </c>
      <c r="M24" s="47" t="s">
        <v>69</v>
      </c>
      <c r="N24" s="47" t="s">
        <v>70</v>
      </c>
    </row>
    <row r="25" spans="2:34">
      <c r="B25" s="54">
        <v>5</v>
      </c>
      <c r="C25" s="2">
        <f>'1ª Parte (v)'!R59</f>
        <v>5017</v>
      </c>
      <c r="F25" s="2">
        <v>4</v>
      </c>
      <c r="G25" s="2">
        <f t="shared" ref="G25:G30" si="9">G15</f>
        <v>1.4069999999999999E-2</v>
      </c>
      <c r="H25" s="2">
        <f>G25*10^2</f>
        <v>1.407</v>
      </c>
      <c r="I25" s="2">
        <f>Tubos!J7*10^-1</f>
        <v>1.6733200530681472E-3</v>
      </c>
      <c r="J25" s="2">
        <f>1/C7</f>
        <v>3.3377837116154872E-4</v>
      </c>
      <c r="K25" s="2">
        <f>J25*10^4</f>
        <v>3.3377837116154874</v>
      </c>
      <c r="L25" s="2"/>
      <c r="M25" s="2">
        <f>$Q$25*K25+$R$25</f>
        <v>1.8086990254351267</v>
      </c>
      <c r="N25" s="2">
        <f>M25-H25</f>
        <v>0.4016990254351267</v>
      </c>
      <c r="P25" s="2"/>
      <c r="Q25" s="2" cm="1">
        <f t="array" ref="Q25:R29">LINEST(H26:H30,K26:K30,1,1)</f>
        <v>0.27831540634715451</v>
      </c>
      <c r="R25" s="2">
        <v>0.87974239543794863</v>
      </c>
      <c r="S25" s="2"/>
    </row>
    <row r="26" spans="2:34" ht="19.5">
      <c r="B26" s="54">
        <v>6</v>
      </c>
      <c r="C26" s="2">
        <f>'1ª Parte (v)'!R60</f>
        <v>6225</v>
      </c>
      <c r="F26" s="2">
        <v>5</v>
      </c>
      <c r="G26" s="2">
        <f t="shared" si="9"/>
        <v>1.4968E-2</v>
      </c>
      <c r="H26" s="2">
        <f t="shared" ref="H26:H30" si="10">G26*10^2</f>
        <v>1.4968000000000001</v>
      </c>
      <c r="I26" s="2">
        <f>Tubos!J8*10^-1</f>
        <v>1.9849433241279171E-3</v>
      </c>
      <c r="J26" s="2">
        <f>1/C23</f>
        <v>3.5997120230381568E-4</v>
      </c>
      <c r="K26" s="2">
        <f t="shared" ref="K26:K30" si="11">J26*10^4</f>
        <v>3.599712023038157</v>
      </c>
      <c r="L26" s="2"/>
      <c r="M26" s="2">
        <f t="shared" ref="M26:M30" si="12">$Q$25*K26+$R$25</f>
        <v>1.8815977098625509</v>
      </c>
      <c r="N26" s="2">
        <f t="shared" ref="N26:N30" si="13">M26-H26</f>
        <v>0.3847977098625508</v>
      </c>
      <c r="P26" s="2"/>
      <c r="Q26" s="2">
        <v>0.10550931137318191</v>
      </c>
      <c r="R26" s="2">
        <v>0.42899999256917609</v>
      </c>
      <c r="S26" s="2"/>
      <c r="AC26" s="37" t="s">
        <v>72</v>
      </c>
      <c r="AD26" s="42">
        <f>AB3</f>
        <v>3.1394412499999996E-4</v>
      </c>
    </row>
    <row r="27" spans="2:34" ht="19.5">
      <c r="B27" s="54">
        <v>7</v>
      </c>
      <c r="C27" s="2">
        <f>'1ª Parte (v)'!R61</f>
        <v>7349</v>
      </c>
      <c r="F27" s="2">
        <v>6</v>
      </c>
      <c r="G27" s="2">
        <f t="shared" si="9"/>
        <v>1.7000000000000001E-2</v>
      </c>
      <c r="H27" s="2">
        <f t="shared" si="10"/>
        <v>1.7000000000000002</v>
      </c>
      <c r="I27" s="2">
        <f>Tubos!J9*10^-1</f>
        <v>7.071067811865576E-4</v>
      </c>
      <c r="J27" s="2">
        <f>1/C41</f>
        <v>2.8818443804034583E-4</v>
      </c>
      <c r="K27" s="2">
        <f t="shared" si="11"/>
        <v>2.8818443804034581</v>
      </c>
      <c r="L27" s="2"/>
      <c r="M27" s="2">
        <f t="shared" si="12"/>
        <v>1.6818040851992007</v>
      </c>
      <c r="N27" s="2">
        <f t="shared" si="13"/>
        <v>-1.8195914800799518E-2</v>
      </c>
      <c r="P27" s="2"/>
      <c r="Q27" s="2">
        <v>0.69873880268064081</v>
      </c>
      <c r="R27" s="2">
        <v>0.28124995502922023</v>
      </c>
      <c r="S27" s="2"/>
      <c r="AC27" s="37" t="s">
        <v>73</v>
      </c>
      <c r="AD27" s="36">
        <f>AC3</f>
        <v>2.9218688701658781E-6</v>
      </c>
    </row>
    <row r="28" spans="2:34" ht="19.5">
      <c r="B28" s="54">
        <v>8</v>
      </c>
      <c r="C28" s="2">
        <f>'1ª Parte (v)'!R62</f>
        <v>8521</v>
      </c>
      <c r="F28" s="2">
        <v>7</v>
      </c>
      <c r="G28" s="2">
        <f t="shared" si="9"/>
        <v>1.8004000000000003E-2</v>
      </c>
      <c r="H28" s="2">
        <f t="shared" si="10"/>
        <v>1.8004000000000002</v>
      </c>
      <c r="I28" s="2">
        <f>Tubos!J10*10^-1</f>
        <v>8.1240384046361381E-4</v>
      </c>
      <c r="J28" s="2">
        <f>1/C60</f>
        <v>3.0590394616090549E-4</v>
      </c>
      <c r="K28" s="2">
        <f t="shared" si="11"/>
        <v>3.0590394616090548</v>
      </c>
      <c r="L28" s="2"/>
      <c r="M28" s="2">
        <f t="shared" si="12"/>
        <v>1.7311202062276534</v>
      </c>
      <c r="N28" s="2">
        <f t="shared" si="13"/>
        <v>-6.9279793772346832E-2</v>
      </c>
      <c r="Q28" s="3">
        <v>6.9581360848797864</v>
      </c>
      <c r="R28" s="3">
        <v>3</v>
      </c>
      <c r="AC28" s="37" t="s">
        <v>74</v>
      </c>
      <c r="AD28" s="36">
        <f>AD3</f>
        <v>0.93069710100989411</v>
      </c>
      <c r="AG28" s="1" t="s">
        <v>65</v>
      </c>
      <c r="AH28" s="25">
        <f>AVERAGE(AH5,AJ5,AL5:AN5)</f>
        <v>-1.7190131271457641E-3</v>
      </c>
    </row>
    <row r="29" spans="2:34">
      <c r="B29" s="54">
        <v>9</v>
      </c>
      <c r="C29" s="2">
        <f>'1ª Parte (v)'!R63</f>
        <v>9680</v>
      </c>
      <c r="F29" s="2">
        <v>8</v>
      </c>
      <c r="G29" s="2">
        <f t="shared" si="9"/>
        <v>2.2015999999999997E-2</v>
      </c>
      <c r="H29" s="2">
        <f t="shared" si="10"/>
        <v>2.2015999999999996</v>
      </c>
      <c r="I29" s="2">
        <f>Tubos!J11*10^-1</f>
        <v>3.6687872655688709E-3</v>
      </c>
      <c r="J29" s="2">
        <f>1/C78</f>
        <v>3.707823507601038E-4</v>
      </c>
      <c r="K29" s="2">
        <f t="shared" si="11"/>
        <v>3.707823507601038</v>
      </c>
      <c r="L29" s="2"/>
      <c r="M29" s="2">
        <f t="shared" si="12"/>
        <v>1.9116868016194632</v>
      </c>
      <c r="N29" s="2">
        <f t="shared" si="13"/>
        <v>-0.28991319838053631</v>
      </c>
      <c r="Q29" s="3">
        <v>0.55039926038818476</v>
      </c>
      <c r="R29" s="3">
        <v>0.23730461161181524</v>
      </c>
      <c r="AC29" s="41"/>
      <c r="AD29" s="41"/>
      <c r="AG29" s="1" t="s">
        <v>66</v>
      </c>
      <c r="AH29" s="25">
        <f>_xlfn.STDEV.S(AH5,AJ5,AL5:AN5)/SQRT(5)</f>
        <v>2.4225158220083365E-3</v>
      </c>
    </row>
    <row r="30" spans="2:34" ht="19.5">
      <c r="B30" s="54">
        <v>19</v>
      </c>
      <c r="C30" s="2">
        <f>'1ª Parte (v)'!R64</f>
        <v>10787</v>
      </c>
      <c r="F30" s="1">
        <v>9</v>
      </c>
      <c r="G30" s="25">
        <f t="shared" si="9"/>
        <v>2.6094000000000003E-2</v>
      </c>
      <c r="H30" s="1">
        <f t="shared" si="10"/>
        <v>2.6094000000000004</v>
      </c>
      <c r="I30" s="2">
        <f>Tubos!J12*10^-1</f>
        <v>3.668787265568864E-3</v>
      </c>
      <c r="J30" s="2">
        <f>1/C95</f>
        <v>6.1881188118811882E-4</v>
      </c>
      <c r="K30" s="2">
        <f t="shared" si="11"/>
        <v>6.1881188118811883</v>
      </c>
      <c r="M30" s="2">
        <f t="shared" si="12"/>
        <v>2.6019911970911327</v>
      </c>
      <c r="N30" s="2">
        <f t="shared" si="13"/>
        <v>-7.4088029088676954E-3</v>
      </c>
      <c r="Q30" s="3"/>
      <c r="R30" s="1">
        <f>2*R27</f>
        <v>0.56249991005844047</v>
      </c>
      <c r="AC30" s="37" t="s">
        <v>75</v>
      </c>
      <c r="AD30" s="43">
        <f>AH28</f>
        <v>-1.7190131271457641E-3</v>
      </c>
      <c r="AG30" s="1" t="s">
        <v>67</v>
      </c>
      <c r="AH30" s="1">
        <f>AH29/AH28*100</f>
        <v>-140.92480061689014</v>
      </c>
    </row>
    <row r="31" spans="2:34" ht="19.5">
      <c r="B31" s="24"/>
      <c r="AC31" s="37" t="s">
        <v>76</v>
      </c>
      <c r="AD31" s="43">
        <f>AH29</f>
        <v>2.4225158220083365E-3</v>
      </c>
      <c r="AG31" s="1" t="s">
        <v>42</v>
      </c>
      <c r="AH31" s="32">
        <f>(AH28-AB3)/AB3*100</f>
        <v>-647.55384485878324</v>
      </c>
    </row>
    <row r="32" spans="2:34" ht="19.5">
      <c r="AC32" s="37" t="s">
        <v>77</v>
      </c>
      <c r="AD32" s="38">
        <f>AH30</f>
        <v>-140.92480061689014</v>
      </c>
    </row>
    <row r="33" spans="2:30">
      <c r="F33" s="1" t="s">
        <v>100</v>
      </c>
      <c r="G33" s="67" t="s">
        <v>78</v>
      </c>
      <c r="H33" s="68"/>
      <c r="I33" s="68"/>
      <c r="J33" s="68"/>
      <c r="K33" s="68"/>
      <c r="L33" s="68"/>
      <c r="M33" s="68"/>
      <c r="N33" s="69"/>
      <c r="AC33" s="37" t="s">
        <v>42</v>
      </c>
      <c r="AD33" s="38">
        <f>AH31</f>
        <v>-647.55384485878324</v>
      </c>
    </row>
    <row r="34" spans="2:30" ht="17.25">
      <c r="F34" s="47" t="s">
        <v>0</v>
      </c>
      <c r="G34" s="47" t="s">
        <v>17</v>
      </c>
      <c r="H34" s="47" t="s">
        <v>59</v>
      </c>
      <c r="I34" s="47" t="s">
        <v>18</v>
      </c>
      <c r="J34" s="47" t="s">
        <v>60</v>
      </c>
      <c r="K34" s="47" t="s">
        <v>61</v>
      </c>
      <c r="L34" s="47" t="s">
        <v>62</v>
      </c>
      <c r="M34" s="47" t="s">
        <v>69</v>
      </c>
      <c r="N34" s="47" t="s">
        <v>70</v>
      </c>
    </row>
    <row r="35" spans="2:30">
      <c r="F35" s="2">
        <v>4</v>
      </c>
      <c r="G35" s="2">
        <f t="shared" ref="G35:G40" si="14">G25</f>
        <v>1.4069999999999999E-2</v>
      </c>
      <c r="H35" s="2">
        <f>G35*10^2</f>
        <v>1.407</v>
      </c>
      <c r="I35" s="2">
        <f>Tubos!J7*10^-1</f>
        <v>1.6733200530681472E-3</v>
      </c>
      <c r="J35" s="2">
        <f>1/C8</f>
        <v>2.3952095808383233E-4</v>
      </c>
      <c r="K35" s="2">
        <f>J35*10^4</f>
        <v>2.3952095808383231</v>
      </c>
      <c r="L35" s="2"/>
      <c r="M35" s="2">
        <f>$Q$35*K35+$R$35</f>
        <v>1.6645843482381562</v>
      </c>
      <c r="N35" s="2">
        <f>M35-H35</f>
        <v>0.25758434823815612</v>
      </c>
      <c r="P35" s="2"/>
      <c r="Q35" s="2" cm="1">
        <f t="array" ref="Q35:R39">LINEST(H35:H40,K35:K40,1,1)</f>
        <v>0.49292241350976906</v>
      </c>
      <c r="R35" s="2">
        <v>0.4839318607896077</v>
      </c>
      <c r="S35" s="2"/>
    </row>
    <row r="36" spans="2:30">
      <c r="F36" s="2">
        <v>5</v>
      </c>
      <c r="G36" s="2">
        <f t="shared" si="14"/>
        <v>1.4968E-2</v>
      </c>
      <c r="H36" s="2">
        <f t="shared" ref="H36:H40" si="15">G36*10^2</f>
        <v>1.4968000000000001</v>
      </c>
      <c r="I36" s="2">
        <f>Tubos!J8*10^-1</f>
        <v>1.9849433241279171E-3</v>
      </c>
      <c r="J36" s="2">
        <f>1/C24</f>
        <v>2.5536261491317672E-4</v>
      </c>
      <c r="K36" s="2">
        <f t="shared" ref="K36:K40" si="16">J36*10^4</f>
        <v>2.5536261491317673</v>
      </c>
      <c r="L36" s="2"/>
      <c r="M36" s="2">
        <f t="shared" ref="M36:M40" si="17">$Q$35*K36+$R$35</f>
        <v>1.7426714254212958</v>
      </c>
      <c r="N36" s="2">
        <f t="shared" ref="N36:N40" si="18">M36-H36</f>
        <v>0.2458714254212957</v>
      </c>
      <c r="P36" s="2"/>
      <c r="Q36" s="2">
        <v>0.13826598965511275</v>
      </c>
      <c r="R36" s="2">
        <v>0.40174800859874055</v>
      </c>
      <c r="S36" s="2"/>
    </row>
    <row r="37" spans="2:30">
      <c r="C37" s="51">
        <v>6</v>
      </c>
      <c r="F37" s="2">
        <v>6</v>
      </c>
      <c r="G37" s="2">
        <f t="shared" si="14"/>
        <v>1.7000000000000001E-2</v>
      </c>
      <c r="H37" s="2">
        <f t="shared" si="15"/>
        <v>1.7000000000000002</v>
      </c>
      <c r="I37" s="2">
        <f>Tubos!J9*10^-1</f>
        <v>7.071067811865576E-4</v>
      </c>
      <c r="J37" s="2">
        <f>1/C42</f>
        <v>2.2532672374943669E-4</v>
      </c>
      <c r="K37" s="2">
        <f t="shared" si="16"/>
        <v>2.253267237494367</v>
      </c>
      <c r="L37" s="2"/>
      <c r="M37" s="2">
        <f t="shared" si="17"/>
        <v>1.594617785777821</v>
      </c>
      <c r="N37" s="2">
        <f t="shared" si="18"/>
        <v>-0.10538221422217919</v>
      </c>
      <c r="P37" s="2"/>
      <c r="Q37" s="2">
        <v>0.76061435273009936</v>
      </c>
      <c r="R37" s="2">
        <v>0.2499663052405407</v>
      </c>
      <c r="S37" s="2"/>
    </row>
    <row r="38" spans="2:30">
      <c r="B38" s="53" t="s">
        <v>21</v>
      </c>
      <c r="C38" s="53" t="s">
        <v>22</v>
      </c>
      <c r="F38" s="2">
        <v>7</v>
      </c>
      <c r="G38" s="2">
        <f t="shared" si="14"/>
        <v>1.8004000000000003E-2</v>
      </c>
      <c r="H38" s="2">
        <f t="shared" si="15"/>
        <v>1.8004000000000002</v>
      </c>
      <c r="I38" s="2">
        <f>Tubos!J10*10^-1</f>
        <v>8.1240384046361381E-4</v>
      </c>
      <c r="J38" s="2">
        <f>1/C61</f>
        <v>2.3815194093831864E-4</v>
      </c>
      <c r="K38" s="2">
        <f t="shared" si="16"/>
        <v>2.3815194093831864</v>
      </c>
      <c r="L38" s="2"/>
      <c r="M38" s="2">
        <f t="shared" si="17"/>
        <v>1.6578361558831276</v>
      </c>
      <c r="N38" s="2">
        <f t="shared" si="18"/>
        <v>-0.14256384411687262</v>
      </c>
      <c r="Q38" s="3">
        <v>12.709439540834756</v>
      </c>
      <c r="R38" s="3">
        <v>4</v>
      </c>
    </row>
    <row r="39" spans="2:30">
      <c r="B39" s="54">
        <v>1</v>
      </c>
      <c r="C39" s="2">
        <f>'1ª Parte (v)'!R70</f>
        <v>1443</v>
      </c>
      <c r="F39" s="2">
        <v>8</v>
      </c>
      <c r="G39" s="2">
        <f t="shared" si="14"/>
        <v>2.2015999999999997E-2</v>
      </c>
      <c r="H39" s="2">
        <f t="shared" si="15"/>
        <v>2.2015999999999996</v>
      </c>
      <c r="I39" s="2">
        <f>Tubos!J11*10^-1</f>
        <v>3.6687872655688709E-3</v>
      </c>
      <c r="J39" s="2">
        <f>1/C79</f>
        <v>2.8768699654775604E-4</v>
      </c>
      <c r="K39" s="2">
        <f t="shared" si="16"/>
        <v>2.8768699654775602</v>
      </c>
      <c r="L39" s="2"/>
      <c r="M39" s="2">
        <f t="shared" si="17"/>
        <v>1.9020055475265727</v>
      </c>
      <c r="N39" s="2">
        <f t="shared" si="18"/>
        <v>-0.29959445247342686</v>
      </c>
      <c r="Q39" s="3">
        <v>0.79412586497757132</v>
      </c>
      <c r="R39" s="3">
        <v>0.24993261502242864</v>
      </c>
    </row>
    <row r="40" spans="2:30">
      <c r="B40" s="54">
        <v>2</v>
      </c>
      <c r="C40" s="2">
        <f>'1ª Parte (v)'!R71</f>
        <v>2477</v>
      </c>
      <c r="F40" s="1">
        <v>9</v>
      </c>
      <c r="G40" s="25">
        <f t="shared" si="14"/>
        <v>2.6094000000000003E-2</v>
      </c>
      <c r="H40" s="2">
        <f t="shared" si="15"/>
        <v>2.6094000000000004</v>
      </c>
      <c r="I40" s="2">
        <f>Tubos!J12*10^-1</f>
        <v>3.668787265568864E-3</v>
      </c>
      <c r="J40" s="1">
        <f>1/C96</f>
        <v>4.4014084507042255E-4</v>
      </c>
      <c r="K40" s="2">
        <f t="shared" si="16"/>
        <v>4.401408450704225</v>
      </c>
      <c r="M40" s="2">
        <f t="shared" si="17"/>
        <v>2.6534847371530277</v>
      </c>
      <c r="N40" s="2">
        <f t="shared" si="18"/>
        <v>4.4084737153027298E-2</v>
      </c>
      <c r="R40" s="1">
        <f>2*R37</f>
        <v>0.4999326104810814</v>
      </c>
    </row>
    <row r="41" spans="2:30">
      <c r="B41" s="54">
        <v>3</v>
      </c>
      <c r="C41" s="2">
        <f>'1ª Parte (v)'!R72</f>
        <v>3470</v>
      </c>
    </row>
    <row r="42" spans="2:30">
      <c r="B42" s="54">
        <v>4</v>
      </c>
      <c r="C42" s="2">
        <f>'1ª Parte (v)'!R73</f>
        <v>4438</v>
      </c>
    </row>
    <row r="43" spans="2:30">
      <c r="B43" s="54">
        <v>5</v>
      </c>
      <c r="C43" s="2">
        <f>'1ª Parte (v)'!R74</f>
        <v>5423</v>
      </c>
      <c r="F43" s="1" t="s">
        <v>100</v>
      </c>
      <c r="G43" s="60" t="s">
        <v>79</v>
      </c>
      <c r="H43" s="60"/>
      <c r="I43" s="60"/>
      <c r="J43" s="60"/>
      <c r="K43" s="60"/>
      <c r="L43" s="60"/>
      <c r="M43" s="60"/>
      <c r="N43" s="60"/>
    </row>
    <row r="44" spans="2:30" ht="17.25">
      <c r="B44" s="54">
        <v>6</v>
      </c>
      <c r="C44" s="2">
        <f>'1ª Parte (v)'!R75</f>
        <v>6453</v>
      </c>
      <c r="F44" s="47" t="s">
        <v>0</v>
      </c>
      <c r="G44" s="47" t="s">
        <v>17</v>
      </c>
      <c r="H44" s="47" t="s">
        <v>59</v>
      </c>
      <c r="I44" s="47" t="s">
        <v>18</v>
      </c>
      <c r="J44" s="47" t="s">
        <v>60</v>
      </c>
      <c r="K44" s="47" t="s">
        <v>61</v>
      </c>
      <c r="L44" s="47" t="s">
        <v>62</v>
      </c>
      <c r="M44" s="47" t="s">
        <v>69</v>
      </c>
      <c r="N44" s="47" t="s">
        <v>70</v>
      </c>
    </row>
    <row r="45" spans="2:30">
      <c r="B45" s="54">
        <v>7</v>
      </c>
      <c r="C45" s="2">
        <f>'1ª Parte (v)'!R76</f>
        <v>7292</v>
      </c>
      <c r="F45" s="1">
        <v>4</v>
      </c>
      <c r="G45" s="1">
        <f t="shared" ref="G45:G50" si="19">G35</f>
        <v>1.4069999999999999E-2</v>
      </c>
      <c r="H45" s="2">
        <f t="shared" ref="H45:H50" si="20">G45*10^2</f>
        <v>1.407</v>
      </c>
      <c r="I45" s="23">
        <f>Tubos!J7*10^-1</f>
        <v>1.6733200530681472E-3</v>
      </c>
      <c r="J45" s="1">
        <f>1/C9</f>
        <v>1.8639328984156571E-4</v>
      </c>
      <c r="K45" s="2">
        <f t="shared" ref="K45:K50" si="21">J45*10^4</f>
        <v>1.8639328984156571</v>
      </c>
      <c r="M45" s="1">
        <f t="shared" ref="M45:M50" si="22">$Q$45*K45+$R$45</f>
        <v>1.6116358683901908</v>
      </c>
      <c r="N45" s="1">
        <f t="shared" ref="N45:N50" si="23">M45-H45</f>
        <v>0.20463586839019077</v>
      </c>
      <c r="P45" s="2"/>
      <c r="Q45" s="2" cm="1">
        <f t="array" ref="Q45:R49">LINEST(H45:H50,K45:K50,1,1)</f>
        <v>0.68627521605174358</v>
      </c>
      <c r="R45" s="2">
        <v>0.33246491582403315</v>
      </c>
      <c r="S45" s="2"/>
    </row>
    <row r="46" spans="2:30">
      <c r="B46" s="54">
        <v>8</v>
      </c>
      <c r="C46" s="2">
        <f>'1ª Parte (v)'!R77</f>
        <v>8481</v>
      </c>
      <c r="F46" s="1">
        <v>5</v>
      </c>
      <c r="G46" s="1">
        <f t="shared" si="19"/>
        <v>1.4968E-2</v>
      </c>
      <c r="H46" s="2">
        <f t="shared" si="20"/>
        <v>1.4968000000000001</v>
      </c>
      <c r="I46" s="23">
        <f>Tubos!J8*10^-1</f>
        <v>1.9849433241279171E-3</v>
      </c>
      <c r="J46" s="1">
        <f>1/C25</f>
        <v>1.9932230416583617E-4</v>
      </c>
      <c r="K46" s="2">
        <f t="shared" si="21"/>
        <v>1.9932230416583616</v>
      </c>
      <c r="M46" s="1">
        <f t="shared" si="22"/>
        <v>1.7003644893774388</v>
      </c>
      <c r="N46" s="1">
        <f t="shared" si="23"/>
        <v>0.20356448937743865</v>
      </c>
      <c r="P46" s="2"/>
      <c r="Q46" s="2">
        <v>0.15351333890539451</v>
      </c>
      <c r="R46" s="2">
        <v>0.35414860133685416</v>
      </c>
      <c r="S46" s="2"/>
    </row>
    <row r="47" spans="2:30">
      <c r="B47" s="54">
        <v>9</v>
      </c>
      <c r="C47" s="2">
        <f>'1ª Parte (v)'!R78</f>
        <v>9509</v>
      </c>
      <c r="F47" s="1">
        <v>6</v>
      </c>
      <c r="G47" s="1">
        <f t="shared" si="19"/>
        <v>1.7000000000000001E-2</v>
      </c>
      <c r="H47" s="2">
        <f t="shared" si="20"/>
        <v>1.7000000000000002</v>
      </c>
      <c r="I47" s="23">
        <f>Tubos!J9*10^-1</f>
        <v>7.071067811865576E-4</v>
      </c>
      <c r="J47" s="1">
        <f>1/C43</f>
        <v>1.8439977872026554E-4</v>
      </c>
      <c r="K47" s="2">
        <f t="shared" si="21"/>
        <v>1.8439977872026554</v>
      </c>
      <c r="M47" s="1">
        <f t="shared" si="22"/>
        <v>1.5979548956354725</v>
      </c>
      <c r="N47" s="1">
        <f t="shared" si="23"/>
        <v>-0.10204510436452763</v>
      </c>
      <c r="P47" s="2"/>
      <c r="Q47" s="2">
        <v>0.83322917909131422</v>
      </c>
      <c r="R47" s="2">
        <v>0.20863753844063795</v>
      </c>
      <c r="S47" s="2"/>
    </row>
    <row r="48" spans="2:30">
      <c r="B48" s="54">
        <v>10</v>
      </c>
      <c r="C48" s="2">
        <f>'1ª Parte (v)'!R79</f>
        <v>10446</v>
      </c>
      <c r="F48" s="1">
        <v>7</v>
      </c>
      <c r="G48" s="1">
        <f t="shared" si="19"/>
        <v>1.8004000000000003E-2</v>
      </c>
      <c r="H48" s="2">
        <f t="shared" si="20"/>
        <v>1.8004000000000002</v>
      </c>
      <c r="I48" s="23">
        <f>Tubos!J10*10^-1</f>
        <v>8.1240384046361381E-4</v>
      </c>
      <c r="J48" s="1">
        <f>1/C62</f>
        <v>1.945903872348706E-4</v>
      </c>
      <c r="K48" s="2">
        <f t="shared" si="21"/>
        <v>1.9459038723487061</v>
      </c>
      <c r="M48" s="1">
        <f t="shared" si="22"/>
        <v>1.6678905162360658</v>
      </c>
      <c r="N48" s="1">
        <f t="shared" si="23"/>
        <v>-0.13250948376393445</v>
      </c>
      <c r="Q48" s="3">
        <v>19.985011156059322</v>
      </c>
      <c r="R48" s="3">
        <v>4</v>
      </c>
    </row>
    <row r="49" spans="2:19">
      <c r="B49" s="54">
        <v>11</v>
      </c>
      <c r="C49" s="2">
        <f>'1ª Parte (v)'!R80</f>
        <v>11407</v>
      </c>
      <c r="F49" s="1">
        <v>8</v>
      </c>
      <c r="G49" s="1">
        <f t="shared" si="19"/>
        <v>2.2015999999999997E-2</v>
      </c>
      <c r="H49" s="2">
        <f t="shared" si="20"/>
        <v>2.2015999999999996</v>
      </c>
      <c r="I49" s="23">
        <f>Tubos!J11*10^-1</f>
        <v>3.6687872655688709E-3</v>
      </c>
      <c r="J49" s="1">
        <f>1/C80</f>
        <v>2.3719165085388995E-4</v>
      </c>
      <c r="K49" s="2">
        <f t="shared" si="21"/>
        <v>2.3719165085388996</v>
      </c>
      <c r="M49" s="1">
        <f t="shared" si="22"/>
        <v>1.9602524301782638</v>
      </c>
      <c r="N49" s="1">
        <f t="shared" si="23"/>
        <v>-0.24134756982173577</v>
      </c>
      <c r="Q49" s="3">
        <v>0.86993999021372526</v>
      </c>
      <c r="R49" s="3">
        <v>0.1741184897862747</v>
      </c>
    </row>
    <row r="50" spans="2:19">
      <c r="F50" s="1">
        <v>9</v>
      </c>
      <c r="G50" s="25">
        <f t="shared" si="19"/>
        <v>2.6094000000000003E-2</v>
      </c>
      <c r="H50" s="2">
        <f t="shared" si="20"/>
        <v>2.6094000000000004</v>
      </c>
      <c r="I50" s="23">
        <f>Tubos!J12*10^-1</f>
        <v>3.668787265568864E-3</v>
      </c>
      <c r="J50" s="1">
        <f>1/C97</f>
        <v>3.4164673727365904E-4</v>
      </c>
      <c r="K50" s="2">
        <f t="shared" si="21"/>
        <v>3.4164673727365904</v>
      </c>
      <c r="M50" s="1">
        <f t="shared" si="22"/>
        <v>2.6771018001825695</v>
      </c>
      <c r="N50" s="1">
        <f t="shared" si="23"/>
        <v>6.7701800182569105E-2</v>
      </c>
      <c r="Q50" s="3"/>
      <c r="R50" s="1">
        <f>2*R47</f>
        <v>0.41727507688127591</v>
      </c>
    </row>
    <row r="51" spans="2:19">
      <c r="Q51" s="3"/>
      <c r="R51" s="3"/>
    </row>
    <row r="53" spans="2:19">
      <c r="F53" s="1" t="s">
        <v>100</v>
      </c>
      <c r="G53" s="60" t="s">
        <v>80</v>
      </c>
      <c r="H53" s="60"/>
      <c r="I53" s="60"/>
      <c r="J53" s="60"/>
      <c r="K53" s="60"/>
      <c r="L53" s="60"/>
      <c r="M53" s="60"/>
      <c r="N53" s="60"/>
    </row>
    <row r="54" spans="2:19" ht="17.25">
      <c r="F54" s="47" t="s">
        <v>0</v>
      </c>
      <c r="G54" s="47" t="s">
        <v>17</v>
      </c>
      <c r="H54" s="47" t="s">
        <v>59</v>
      </c>
      <c r="I54" s="47" t="s">
        <v>18</v>
      </c>
      <c r="J54" s="47" t="s">
        <v>60</v>
      </c>
      <c r="K54" s="47" t="s">
        <v>61</v>
      </c>
      <c r="L54" s="47" t="s">
        <v>62</v>
      </c>
      <c r="M54" s="47" t="s">
        <v>69</v>
      </c>
      <c r="N54" s="47" t="s">
        <v>70</v>
      </c>
    </row>
    <row r="55" spans="2:19">
      <c r="F55" s="1">
        <v>4</v>
      </c>
      <c r="G55" s="1">
        <f>G45</f>
        <v>1.4069999999999999E-2</v>
      </c>
      <c r="H55" s="2">
        <f>G55*10^2</f>
        <v>1.407</v>
      </c>
      <c r="I55" s="1">
        <f>Tubos!J7*10^-1</f>
        <v>1.6733200530681472E-3</v>
      </c>
      <c r="J55" s="1">
        <f>1/C10</f>
        <v>1.5199878400972791E-4</v>
      </c>
      <c r="K55" s="2">
        <f>J55*10^4</f>
        <v>1.5199878400972791</v>
      </c>
      <c r="M55" s="1">
        <f>$Q$55*K55+$R$55</f>
        <v>1.7211008017523584</v>
      </c>
      <c r="N55" s="1">
        <f>M55-H55</f>
        <v>0.31410080175235833</v>
      </c>
      <c r="P55" s="2"/>
      <c r="Q55" s="2" cm="1">
        <f t="array" ref="Q55:R59">LINEST(H55:H60,K55:K60,1,1)</f>
        <v>0.67658819889978361</v>
      </c>
      <c r="R55" s="2">
        <v>0.69269496667136798</v>
      </c>
      <c r="S55" s="2"/>
    </row>
    <row r="56" spans="2:19">
      <c r="C56" s="52">
        <v>7</v>
      </c>
      <c r="F56" s="1">
        <v>5</v>
      </c>
      <c r="G56" s="1">
        <f>G46</f>
        <v>1.4968E-2</v>
      </c>
      <c r="H56" s="2">
        <f t="shared" ref="H56" si="24">G56*10^2</f>
        <v>1.4968000000000001</v>
      </c>
      <c r="I56" s="1">
        <f>Tubos!J8*10^-1</f>
        <v>1.9849433241279171E-3</v>
      </c>
      <c r="J56" s="1">
        <f>1/C30</f>
        <v>9.2704180958561231E-5</v>
      </c>
      <c r="K56" s="2">
        <f t="shared" ref="K56" si="25">J56*10^4</f>
        <v>0.92704180958561233</v>
      </c>
      <c r="M56" s="1">
        <f t="shared" ref="M56" si="26">$Q$55*K56+$R$55</f>
        <v>1.3199205149236937</v>
      </c>
      <c r="N56" s="1">
        <f t="shared" ref="N56" si="27">M56-H56</f>
        <v>-0.17687948507630646</v>
      </c>
      <c r="P56" s="2"/>
      <c r="Q56" s="2">
        <v>0.14312179624096921</v>
      </c>
      <c r="R56" s="2">
        <v>0.2618039790372868</v>
      </c>
      <c r="S56" s="2"/>
    </row>
    <row r="57" spans="2:19">
      <c r="B57" s="53" t="s">
        <v>21</v>
      </c>
      <c r="C57" s="53" t="s">
        <v>22</v>
      </c>
      <c r="F57" s="1">
        <v>6</v>
      </c>
      <c r="G57" s="1">
        <f t="shared" ref="G57:G60" si="28">G47</f>
        <v>1.7000000000000001E-2</v>
      </c>
      <c r="H57" s="2">
        <f>G57*10^2</f>
        <v>1.7000000000000002</v>
      </c>
      <c r="I57" s="1">
        <f>Tubos!J9*10^-1</f>
        <v>7.071067811865576E-4</v>
      </c>
      <c r="J57" s="1">
        <f>1/C44</f>
        <v>1.5496668216333489E-4</v>
      </c>
      <c r="K57" s="2">
        <f>J57*10^4</f>
        <v>1.5496668216333489</v>
      </c>
      <c r="M57" s="1">
        <f>$Q$55*K57+$R$55</f>
        <v>1.7411812504150277</v>
      </c>
      <c r="N57" s="1">
        <f>M57-H57</f>
        <v>4.1181250415027515E-2</v>
      </c>
      <c r="P57" s="2"/>
      <c r="Q57" s="2">
        <v>0.84818541079726451</v>
      </c>
      <c r="R57" s="2">
        <v>0.19906237040487618</v>
      </c>
      <c r="S57" s="2"/>
    </row>
    <row r="58" spans="2:19">
      <c r="B58" s="54">
        <v>1</v>
      </c>
      <c r="C58" s="2">
        <f>'1ª Parte (v)'!R86</f>
        <v>1376</v>
      </c>
      <c r="F58" s="1">
        <v>7</v>
      </c>
      <c r="G58" s="1">
        <f>G48</f>
        <v>1.8004000000000003E-2</v>
      </c>
      <c r="H58" s="2">
        <f>G58*10^2</f>
        <v>1.8004000000000002</v>
      </c>
      <c r="I58" s="1">
        <f>Tubos!J10*10^-1</f>
        <v>8.1240384046361381E-4</v>
      </c>
      <c r="J58" s="1">
        <f>1/C63</f>
        <v>1.6485328058028355E-4</v>
      </c>
      <c r="K58" s="2">
        <f>J58*10^4</f>
        <v>1.6485328058028355</v>
      </c>
      <c r="M58" s="1">
        <f>$Q$55*K58+$R$55</f>
        <v>1.8080728085767153</v>
      </c>
      <c r="N58" s="1">
        <f>M58-H58</f>
        <v>7.67280857671504E-3</v>
      </c>
      <c r="Q58" s="3">
        <v>22.347928884873756</v>
      </c>
      <c r="R58" s="3">
        <v>4</v>
      </c>
    </row>
    <row r="59" spans="2:19">
      <c r="B59" s="54">
        <v>2</v>
      </c>
      <c r="C59" s="2">
        <f>'1ª Parte (v)'!R87</f>
        <v>2324</v>
      </c>
      <c r="F59" s="1">
        <v>8</v>
      </c>
      <c r="G59" s="1">
        <f>G49</f>
        <v>2.2015999999999997E-2</v>
      </c>
      <c r="H59" s="2">
        <f>G59*10^2</f>
        <v>2.2015999999999996</v>
      </c>
      <c r="I59" s="1">
        <f>Tubos!J11*10^-1</f>
        <v>3.6687872655688709E-3</v>
      </c>
      <c r="J59" s="1">
        <f>1/C81</f>
        <v>1.9908421262193908E-4</v>
      </c>
      <c r="K59" s="2">
        <f>J59*10^4</f>
        <v>1.9908421262193907</v>
      </c>
      <c r="M59" s="1">
        <f>$Q$55*K59+$R$55</f>
        <v>2.039675255143961</v>
      </c>
      <c r="N59" s="1">
        <f>M59-H59</f>
        <v>-0.16192474485603858</v>
      </c>
      <c r="Q59" s="3">
        <v>0.88555517075516743</v>
      </c>
      <c r="R59" s="3">
        <v>0.1585033092448325</v>
      </c>
    </row>
    <row r="60" spans="2:19">
      <c r="B60" s="54">
        <v>3</v>
      </c>
      <c r="C60" s="2">
        <f>'1ª Parte (v)'!R88</f>
        <v>3269</v>
      </c>
      <c r="F60" s="1">
        <v>9</v>
      </c>
      <c r="G60" s="25">
        <f t="shared" si="28"/>
        <v>2.6094000000000003E-2</v>
      </c>
      <c r="H60" s="2">
        <f>G60*10^2</f>
        <v>2.6094000000000004</v>
      </c>
      <c r="I60" s="1">
        <f>Tubos!J12*10^-1</f>
        <v>3.668787265568864E-3</v>
      </c>
      <c r="J60" s="1">
        <f>1/C98</f>
        <v>2.7972027972027972E-4</v>
      </c>
      <c r="K60" s="2">
        <f>J60*10^4</f>
        <v>2.7972027972027971</v>
      </c>
      <c r="M60" s="1">
        <f>$Q$55*K60+$R$55</f>
        <v>2.5852493691882454</v>
      </c>
      <c r="N60" s="1">
        <f>M60-H60</f>
        <v>-2.4150630811754947E-2</v>
      </c>
      <c r="Q60" s="3"/>
      <c r="R60" s="1">
        <f>2*R57</f>
        <v>0.39812474080975235</v>
      </c>
    </row>
    <row r="61" spans="2:19">
      <c r="B61" s="54">
        <v>4</v>
      </c>
      <c r="C61" s="2">
        <f>'1ª Parte (v)'!R89</f>
        <v>4199</v>
      </c>
    </row>
    <row r="62" spans="2:19">
      <c r="B62" s="54">
        <v>5</v>
      </c>
      <c r="C62" s="2">
        <f>'1ª Parte (v)'!R90</f>
        <v>5139</v>
      </c>
    </row>
    <row r="63" spans="2:19">
      <c r="B63" s="54">
        <v>6</v>
      </c>
      <c r="C63" s="2">
        <f>'1ª Parte (v)'!R91</f>
        <v>6066</v>
      </c>
      <c r="F63" s="1" t="s">
        <v>100</v>
      </c>
      <c r="G63" s="60" t="s">
        <v>81</v>
      </c>
      <c r="H63" s="60"/>
      <c r="I63" s="60"/>
      <c r="J63" s="60"/>
      <c r="K63" s="60"/>
      <c r="L63" s="60"/>
      <c r="M63" s="60"/>
      <c r="N63" s="60"/>
    </row>
    <row r="64" spans="2:19" ht="17.25">
      <c r="B64" s="54">
        <v>7</v>
      </c>
      <c r="C64" s="2">
        <f>'1ª Parte (v)'!R92</f>
        <v>7000</v>
      </c>
      <c r="F64" s="47" t="s">
        <v>0</v>
      </c>
      <c r="G64" s="47" t="s">
        <v>17</v>
      </c>
      <c r="H64" s="47" t="s">
        <v>59</v>
      </c>
      <c r="I64" s="47" t="s">
        <v>18</v>
      </c>
      <c r="J64" s="47" t="s">
        <v>60</v>
      </c>
      <c r="K64" s="47" t="s">
        <v>61</v>
      </c>
      <c r="L64" s="47" t="s">
        <v>62</v>
      </c>
      <c r="M64" s="47" t="s">
        <v>69</v>
      </c>
      <c r="N64" s="47" t="s">
        <v>70</v>
      </c>
    </row>
    <row r="65" spans="2:19">
      <c r="B65" s="54">
        <v>8</v>
      </c>
      <c r="C65" s="2">
        <f>'1ª Parte (v)'!R93</f>
        <v>7969</v>
      </c>
      <c r="F65" s="1">
        <v>4</v>
      </c>
      <c r="G65" s="1">
        <f>G55</f>
        <v>1.4069999999999999E-2</v>
      </c>
      <c r="H65" s="2">
        <f>G65*10^2</f>
        <v>1.407</v>
      </c>
      <c r="I65" s="1">
        <f>Tubos!J7*10^-1</f>
        <v>1.6733200530681472E-3</v>
      </c>
      <c r="J65" s="1">
        <f>1/C11</f>
        <v>1.2805736970162632E-4</v>
      </c>
      <c r="K65" s="2">
        <f>J65*10^4</f>
        <v>1.2805736970162633</v>
      </c>
      <c r="M65" s="1">
        <f>$Q$65*K65+$R$65</f>
        <v>1.5416951161407806</v>
      </c>
      <c r="N65" s="1">
        <f>M65-H65</f>
        <v>0.13469511614078056</v>
      </c>
      <c r="P65" s="2"/>
      <c r="Q65" s="2" cm="1">
        <f t="array" ref="Q65:R69">LINEST(H65:H70,K65:K70,1,1)</f>
        <v>1.0686488383580368</v>
      </c>
      <c r="R65" s="2">
        <v>0.17321152239249415</v>
      </c>
      <c r="S65" s="2"/>
    </row>
    <row r="66" spans="2:19">
      <c r="B66" s="54">
        <v>9</v>
      </c>
      <c r="C66" s="2">
        <f>'1ª Parte (v)'!R94</f>
        <v>8866</v>
      </c>
      <c r="F66" s="1">
        <v>5</v>
      </c>
      <c r="G66" s="1">
        <f>G56</f>
        <v>1.4968E-2</v>
      </c>
      <c r="H66" s="2">
        <f t="shared" ref="H66:H70" si="29">G66*10^2</f>
        <v>1.4968000000000001</v>
      </c>
      <c r="I66" s="1">
        <f>Tubos!J8*10^-1</f>
        <v>1.9849433241279171E-3</v>
      </c>
      <c r="J66" s="1">
        <f>1/C27</f>
        <v>1.3607293509320997E-4</v>
      </c>
      <c r="K66" s="2">
        <f t="shared" ref="K66:K70" si="30">J66*10^4</f>
        <v>1.3607293509320997</v>
      </c>
      <c r="M66" s="1">
        <f t="shared" ref="M66:M70" si="31">$Q$65*K66+$R$65</f>
        <v>1.6273533625857679</v>
      </c>
      <c r="N66" s="1">
        <f t="shared" ref="N66:N70" si="32">M66-H66</f>
        <v>0.13055336258576777</v>
      </c>
      <c r="P66" s="2"/>
      <c r="Q66" s="2">
        <v>0.16674554080378498</v>
      </c>
      <c r="R66" s="2">
        <v>0.2718282420539106</v>
      </c>
      <c r="S66" s="2"/>
    </row>
    <row r="67" spans="2:19">
      <c r="B67" s="54">
        <v>10</v>
      </c>
      <c r="C67" s="2">
        <f>'1ª Parte (v)'!R95</f>
        <v>9771</v>
      </c>
      <c r="F67" s="1">
        <v>6</v>
      </c>
      <c r="G67" s="1">
        <f>G57</f>
        <v>1.7000000000000001E-2</v>
      </c>
      <c r="H67" s="2">
        <f t="shared" si="29"/>
        <v>1.7000000000000002</v>
      </c>
      <c r="I67" s="1">
        <f>Tubos!J9*10^-1</f>
        <v>7.071067811865576E-4</v>
      </c>
      <c r="J67" s="1">
        <f>1/C45</f>
        <v>1.3713658804168953E-4</v>
      </c>
      <c r="K67" s="2">
        <f t="shared" si="30"/>
        <v>1.3713658804168953</v>
      </c>
      <c r="M67" s="1">
        <f t="shared" si="31"/>
        <v>1.6387200774638557</v>
      </c>
      <c r="N67" s="1">
        <f t="shared" si="32"/>
        <v>-6.1279922536144449E-2</v>
      </c>
      <c r="P67" s="2"/>
      <c r="Q67" s="2">
        <v>0.91125603474075534</v>
      </c>
      <c r="R67" s="2">
        <v>0.15219550706060592</v>
      </c>
      <c r="S67" s="2"/>
    </row>
    <row r="68" spans="2:19">
      <c r="B68" s="54">
        <v>11</v>
      </c>
      <c r="C68" s="2">
        <f>'1ª Parte (v)'!R96</f>
        <v>10749</v>
      </c>
      <c r="F68" s="1">
        <v>7</v>
      </c>
      <c r="G68" s="1">
        <f t="shared" ref="G68:G70" si="33">G58</f>
        <v>1.8004000000000003E-2</v>
      </c>
      <c r="H68" s="2">
        <f t="shared" si="29"/>
        <v>1.8004000000000002</v>
      </c>
      <c r="I68" s="1">
        <f>Tubos!J10*10^-1</f>
        <v>8.1240384046361381E-4</v>
      </c>
      <c r="J68" s="1">
        <f>1/C64</f>
        <v>1.4285714285714287E-4</v>
      </c>
      <c r="K68" s="2">
        <f t="shared" si="30"/>
        <v>1.4285714285714286</v>
      </c>
      <c r="M68" s="1">
        <f t="shared" si="31"/>
        <v>1.6998527200468325</v>
      </c>
      <c r="N68" s="1">
        <f t="shared" si="32"/>
        <v>-0.1005472799531677</v>
      </c>
      <c r="Q68" s="3">
        <v>41.07348740069186</v>
      </c>
      <c r="R68" s="3">
        <v>4</v>
      </c>
    </row>
    <row r="69" spans="2:19">
      <c r="F69" s="1">
        <v>8</v>
      </c>
      <c r="G69" s="1">
        <f>G59</f>
        <v>2.2015999999999997E-2</v>
      </c>
      <c r="H69" s="2">
        <f t="shared" si="29"/>
        <v>2.2015999999999996</v>
      </c>
      <c r="I69" s="1">
        <f>Tubos!J11*10^-1</f>
        <v>3.6687872655688709E-3</v>
      </c>
      <c r="J69" s="1">
        <f>1/C82</f>
        <v>1.720282126268708E-4</v>
      </c>
      <c r="K69" s="2">
        <f t="shared" si="30"/>
        <v>1.720282126268708</v>
      </c>
      <c r="M69" s="1">
        <f t="shared" si="31"/>
        <v>2.0115890182776424</v>
      </c>
      <c r="N69" s="1">
        <f t="shared" si="32"/>
        <v>-0.1900109817223572</v>
      </c>
      <c r="Q69" s="3">
        <v>0.95140459052226012</v>
      </c>
      <c r="R69" s="3">
        <v>9.2653889477739768E-2</v>
      </c>
    </row>
    <row r="70" spans="2:19">
      <c r="F70" s="1">
        <v>9</v>
      </c>
      <c r="G70" s="25">
        <f t="shared" si="33"/>
        <v>2.6094000000000003E-2</v>
      </c>
      <c r="H70" s="2">
        <f t="shared" si="29"/>
        <v>2.6094000000000004</v>
      </c>
      <c r="I70" s="1">
        <f>Tubos!J12*10^-1</f>
        <v>3.668787265568864E-3</v>
      </c>
      <c r="J70" s="1">
        <f>1/C99</f>
        <v>2.3607176581680832E-4</v>
      </c>
      <c r="K70" s="2">
        <f t="shared" si="30"/>
        <v>2.3607176581680833</v>
      </c>
      <c r="M70" s="1">
        <f t="shared" si="31"/>
        <v>2.6959897054851218</v>
      </c>
      <c r="N70" s="1">
        <f t="shared" si="32"/>
        <v>8.658970548512146E-2</v>
      </c>
      <c r="Q70" s="3"/>
      <c r="R70" s="1">
        <f>2*R67</f>
        <v>0.30439101412121183</v>
      </c>
    </row>
    <row r="73" spans="2:19">
      <c r="G73" s="60" t="s">
        <v>82</v>
      </c>
      <c r="H73" s="60"/>
      <c r="I73" s="60"/>
      <c r="J73" s="60"/>
      <c r="K73" s="60"/>
      <c r="L73" s="60"/>
      <c r="M73" s="60"/>
      <c r="N73" s="60"/>
    </row>
    <row r="74" spans="2:19" ht="17.25">
      <c r="C74" s="52">
        <v>8</v>
      </c>
      <c r="F74" s="47" t="s">
        <v>0</v>
      </c>
      <c r="G74" s="47" t="s">
        <v>17</v>
      </c>
      <c r="H74" s="47" t="s">
        <v>59</v>
      </c>
      <c r="I74" s="47" t="s">
        <v>18</v>
      </c>
      <c r="J74" s="47" t="s">
        <v>60</v>
      </c>
      <c r="K74" s="47" t="s">
        <v>61</v>
      </c>
      <c r="L74" s="47" t="s">
        <v>62</v>
      </c>
      <c r="M74" s="47" t="s">
        <v>69</v>
      </c>
      <c r="N74" s="47" t="s">
        <v>70</v>
      </c>
    </row>
    <row r="75" spans="2:19">
      <c r="B75" s="53" t="s">
        <v>21</v>
      </c>
      <c r="C75" s="53" t="s">
        <v>22</v>
      </c>
      <c r="F75" s="1">
        <v>4</v>
      </c>
      <c r="G75" s="1">
        <f t="shared" ref="G75:G80" si="34">G65</f>
        <v>1.4069999999999999E-2</v>
      </c>
      <c r="H75" s="2">
        <f>G75*10^2</f>
        <v>1.407</v>
      </c>
      <c r="I75" s="1">
        <f>Tubos!J7*10^-1</f>
        <v>1.6733200530681472E-3</v>
      </c>
      <c r="J75" s="1">
        <f>1/C12</f>
        <v>1.1116051578479324E-4</v>
      </c>
      <c r="K75" s="2">
        <f>J75*10^4</f>
        <v>1.1116051578479325</v>
      </c>
      <c r="M75" s="1">
        <f>$Q$75*K75+$R$75</f>
        <v>1.4656305954297737</v>
      </c>
      <c r="N75" s="1">
        <f>M75-H75</f>
        <v>5.8630595429773669E-2</v>
      </c>
      <c r="P75" s="2"/>
      <c r="Q75" s="2" cm="1">
        <f t="array" ref="Q75:R79">LINEST(H75:H79,K75:K79,1,1)</f>
        <v>1.88476990341113</v>
      </c>
      <c r="R75" s="2">
        <v>-0.62948935055858812</v>
      </c>
      <c r="S75" s="2"/>
    </row>
    <row r="76" spans="2:19">
      <c r="B76" s="54">
        <v>1</v>
      </c>
      <c r="C76" s="2">
        <f>'1ª Parte (v)'!R102</f>
        <v>1149</v>
      </c>
      <c r="F76" s="1">
        <v>5</v>
      </c>
      <c r="G76" s="1">
        <f t="shared" si="34"/>
        <v>1.4968E-2</v>
      </c>
      <c r="H76" s="2">
        <f t="shared" ref="H76:H78" si="35">G76*10^2</f>
        <v>1.4968000000000001</v>
      </c>
      <c r="I76" s="1">
        <f>Tubos!J8*10^-1</f>
        <v>1.9849433241279171E-3</v>
      </c>
      <c r="J76" s="1">
        <f>1/C28</f>
        <v>1.1735711770918906E-4</v>
      </c>
      <c r="K76" s="2">
        <f t="shared" ref="K76:K78" si="36">J76*10^4</f>
        <v>1.1735711770918906</v>
      </c>
      <c r="M76" s="1">
        <f t="shared" ref="M76:M78" si="37">$Q$75*K76+$R$75</f>
        <v>1.5824222835349808</v>
      </c>
      <c r="N76" s="1">
        <f t="shared" ref="N76:N78" si="38">M76-H76</f>
        <v>8.5622283534980692E-2</v>
      </c>
      <c r="P76" s="2"/>
      <c r="Q76" s="2">
        <v>0.2994125175522433</v>
      </c>
      <c r="R76" s="2">
        <v>0.37584246849494601</v>
      </c>
      <c r="S76" s="2"/>
    </row>
    <row r="77" spans="2:19">
      <c r="B77" s="54">
        <v>2</v>
      </c>
      <c r="C77" s="2">
        <f>'1ª Parte (v)'!R103</f>
        <v>1930</v>
      </c>
      <c r="F77" s="1">
        <v>6</v>
      </c>
      <c r="G77" s="1">
        <f t="shared" si="34"/>
        <v>1.7000000000000001E-2</v>
      </c>
      <c r="H77" s="2">
        <f t="shared" si="35"/>
        <v>1.7000000000000002</v>
      </c>
      <c r="I77" s="1">
        <f>Tubos!J9*10^-1</f>
        <v>7.071067811865576E-4</v>
      </c>
      <c r="J77" s="1">
        <f>1/C46</f>
        <v>1.1791062374719962E-4</v>
      </c>
      <c r="K77" s="2">
        <f t="shared" si="36"/>
        <v>1.1791062374719961</v>
      </c>
      <c r="M77" s="1">
        <f t="shared" si="37"/>
        <v>1.592854598752967</v>
      </c>
      <c r="N77" s="1">
        <f>M77-H77</f>
        <v>-0.1071454012470332</v>
      </c>
      <c r="P77" s="2"/>
      <c r="Q77" s="2">
        <v>0.92961989750733509</v>
      </c>
      <c r="R77" s="2">
        <v>9.5232640570527119E-2</v>
      </c>
      <c r="S77" s="2"/>
    </row>
    <row r="78" spans="2:19">
      <c r="B78" s="54">
        <v>3</v>
      </c>
      <c r="C78" s="2">
        <f>'1ª Parte (v)'!R104</f>
        <v>2697</v>
      </c>
      <c r="F78" s="1">
        <v>7</v>
      </c>
      <c r="G78" s="1">
        <f t="shared" si="34"/>
        <v>1.8004000000000003E-2</v>
      </c>
      <c r="H78" s="2">
        <f t="shared" si="35"/>
        <v>1.8004000000000002</v>
      </c>
      <c r="I78" s="1">
        <f>Tubos!J10*10^-1</f>
        <v>8.1240384046361381E-4</v>
      </c>
      <c r="J78" s="1">
        <f>1/C65</f>
        <v>1.2548625925461163E-4</v>
      </c>
      <c r="K78" s="2">
        <f t="shared" si="36"/>
        <v>1.2548625925461163</v>
      </c>
      <c r="M78" s="1">
        <f t="shared" si="37"/>
        <v>1.7356378967887955</v>
      </c>
      <c r="N78" s="1">
        <f t="shared" si="38"/>
        <v>-6.476210321120468E-2</v>
      </c>
      <c r="Q78" s="3">
        <v>39.625683875817934</v>
      </c>
      <c r="R78" s="3">
        <v>3</v>
      </c>
    </row>
    <row r="79" spans="2:19">
      <c r="B79" s="54">
        <v>4</v>
      </c>
      <c r="C79" s="2">
        <f>'1ª Parte (v)'!R105</f>
        <v>3476</v>
      </c>
      <c r="F79" s="1">
        <v>8</v>
      </c>
      <c r="G79" s="25">
        <f t="shared" si="34"/>
        <v>2.2015999999999997E-2</v>
      </c>
      <c r="H79" s="2">
        <f>G79*10^2</f>
        <v>2.2015999999999996</v>
      </c>
      <c r="I79" s="1">
        <f>Tubos!J12*10^-1</f>
        <v>3.668787265568864E-3</v>
      </c>
      <c r="J79" s="1">
        <f>1/C83</f>
        <v>1.5167602002123465E-4</v>
      </c>
      <c r="K79" s="2">
        <f>J79*10^4</f>
        <v>1.5167602002123464</v>
      </c>
      <c r="M79" s="1">
        <f>$Q$75*K79+$R$75</f>
        <v>2.229254625493482</v>
      </c>
      <c r="N79" s="1">
        <f>M79-H79</f>
        <v>2.765462549348241E-2</v>
      </c>
      <c r="Q79" s="3">
        <v>0.35937546450989394</v>
      </c>
      <c r="R79" s="3">
        <v>2.720776749010562E-2</v>
      </c>
    </row>
    <row r="80" spans="2:19">
      <c r="B80" s="54">
        <v>5</v>
      </c>
      <c r="C80" s="2">
        <f>'1ª Parte (v)'!R106</f>
        <v>4216</v>
      </c>
      <c r="F80" s="1">
        <v>9</v>
      </c>
      <c r="G80" s="25">
        <f t="shared" si="34"/>
        <v>2.6094000000000003E-2</v>
      </c>
      <c r="H80" s="2">
        <f>G80*10^2</f>
        <v>2.6094000000000004</v>
      </c>
      <c r="I80" s="1">
        <f>Tubos!J11*10^-1</f>
        <v>3.6687872655688709E-3</v>
      </c>
      <c r="J80" s="1">
        <f>1/C100</f>
        <v>2.0500205002050019E-4</v>
      </c>
      <c r="K80" s="2">
        <f>J80*10^4</f>
        <v>2.0500205002050018</v>
      </c>
      <c r="M80" s="1">
        <f>$Q$75*K80+$R$75</f>
        <v>3.2343275896036294</v>
      </c>
      <c r="N80" s="1">
        <f>M80-H80</f>
        <v>0.62492758960362904</v>
      </c>
      <c r="R80" s="1">
        <f>2*R77</f>
        <v>0.19046528114105424</v>
      </c>
    </row>
    <row r="81" spans="2:19">
      <c r="B81" s="54">
        <v>6</v>
      </c>
      <c r="C81" s="2">
        <f>'1ª Parte (v)'!R107</f>
        <v>5023</v>
      </c>
    </row>
    <row r="82" spans="2:19">
      <c r="B82" s="54">
        <v>7</v>
      </c>
      <c r="C82" s="2">
        <f>'1ª Parte (v)'!R108</f>
        <v>5813</v>
      </c>
    </row>
    <row r="83" spans="2:19">
      <c r="B83" s="54">
        <v>8</v>
      </c>
      <c r="C83" s="2">
        <f>'1ª Parte (v)'!R109</f>
        <v>6593</v>
      </c>
      <c r="G83" s="60" t="s">
        <v>83</v>
      </c>
      <c r="H83" s="60"/>
      <c r="I83" s="60"/>
      <c r="J83" s="60"/>
      <c r="K83" s="60"/>
      <c r="L83" s="60"/>
      <c r="M83" s="60"/>
      <c r="N83" s="60"/>
    </row>
    <row r="84" spans="2:19" ht="17.25">
      <c r="B84" s="54">
        <v>9</v>
      </c>
      <c r="C84" s="2">
        <f>'1ª Parte (v)'!R110</f>
        <v>7267</v>
      </c>
      <c r="F84" s="47" t="s">
        <v>0</v>
      </c>
      <c r="G84" s="47" t="s">
        <v>17</v>
      </c>
      <c r="H84" s="47" t="s">
        <v>59</v>
      </c>
      <c r="I84" s="47" t="s">
        <v>18</v>
      </c>
      <c r="J84" s="47" t="s">
        <v>60</v>
      </c>
      <c r="K84" s="47" t="s">
        <v>61</v>
      </c>
      <c r="L84" s="47" t="s">
        <v>62</v>
      </c>
      <c r="M84" s="47" t="s">
        <v>69</v>
      </c>
      <c r="N84" s="47" t="s">
        <v>70</v>
      </c>
    </row>
    <row r="85" spans="2:19">
      <c r="B85" s="54">
        <v>10</v>
      </c>
      <c r="C85" s="2">
        <f>'1ª Parte (v)'!R111</f>
        <v>8081</v>
      </c>
      <c r="F85" s="1">
        <v>4</v>
      </c>
      <c r="G85" s="1">
        <f t="shared" ref="G85:G90" si="39">G75</f>
        <v>1.4069999999999999E-2</v>
      </c>
      <c r="H85" s="2">
        <f>G85*10^2</f>
        <v>1.407</v>
      </c>
      <c r="I85" s="1">
        <f>Tubos!J7*10^-1</f>
        <v>1.6733200530681472E-3</v>
      </c>
      <c r="J85" s="1">
        <f>1/C13</f>
        <v>9.776126698602014E-5</v>
      </c>
      <c r="K85" s="2">
        <f>J85*10^4</f>
        <v>0.97761266986020134</v>
      </c>
      <c r="M85" s="1">
        <f>$Q$85*K85+$R$85</f>
        <v>1.5115152603526927</v>
      </c>
      <c r="N85" s="1">
        <f>M85-H85</f>
        <v>0.10451526035269265</v>
      </c>
      <c r="P85" s="2"/>
      <c r="Q85" s="2" cm="1">
        <f t="array" ref="Q85:R89">LINEST(H85:H90,K85:K90,1,1)</f>
        <v>1.4401799641948521</v>
      </c>
      <c r="R85" s="2">
        <v>0.10357708047699421</v>
      </c>
      <c r="S85" s="2"/>
    </row>
    <row r="86" spans="2:19">
      <c r="B86" s="54">
        <v>11</v>
      </c>
      <c r="C86" s="2">
        <f>'1ª Parte (v)'!R112</f>
        <v>8755</v>
      </c>
      <c r="F86" s="1">
        <v>5</v>
      </c>
      <c r="G86" s="1">
        <f t="shared" si="39"/>
        <v>1.4968E-2</v>
      </c>
      <c r="H86" s="2">
        <f t="shared" ref="H86:H90" si="40">G86*10^2</f>
        <v>1.4968000000000001</v>
      </c>
      <c r="I86" s="1">
        <f>Tubos!J8*10^-1</f>
        <v>1.9849433241279171E-3</v>
      </c>
      <c r="J86" s="1">
        <f>1/C29</f>
        <v>1.0330578512396694E-4</v>
      </c>
      <c r="K86" s="2">
        <f t="shared" ref="K86:K90" si="41">J86*10^4</f>
        <v>1.0330578512396693</v>
      </c>
      <c r="M86" s="1">
        <f t="shared" ref="M86:M90" si="42">$Q$85*K86+$R$85</f>
        <v>1.5913662996865519</v>
      </c>
      <c r="N86" s="1">
        <f t="shared" ref="N86:N90" si="43">M86-H86</f>
        <v>9.4566299686551725E-2</v>
      </c>
      <c r="P86" s="2"/>
      <c r="Q86" s="2">
        <v>0.1622230580513826</v>
      </c>
      <c r="R86" s="2">
        <v>0.20409539115546538</v>
      </c>
      <c r="S86" s="2"/>
    </row>
    <row r="87" spans="2:19">
      <c r="B87" s="54">
        <v>12</v>
      </c>
      <c r="C87" s="2">
        <f>'1ª Parte (v)'!R113</f>
        <v>9645</v>
      </c>
      <c r="F87" s="1">
        <v>6</v>
      </c>
      <c r="G87" s="1">
        <f t="shared" si="39"/>
        <v>1.7000000000000001E-2</v>
      </c>
      <c r="H87" s="2">
        <f t="shared" si="40"/>
        <v>1.7000000000000002</v>
      </c>
      <c r="I87" s="1">
        <f>Tubos!J9*10^-1</f>
        <v>7.071067811865576E-4</v>
      </c>
      <c r="J87" s="1">
        <f>1/C47</f>
        <v>1.051635292880429E-4</v>
      </c>
      <c r="K87" s="2">
        <f t="shared" si="41"/>
        <v>1.0516352928804291</v>
      </c>
      <c r="M87" s="1">
        <f t="shared" si="42"/>
        <v>1.6181211589235733</v>
      </c>
      <c r="N87" s="1">
        <f t="shared" si="43"/>
        <v>-8.1878841076426845E-2</v>
      </c>
      <c r="P87" s="2"/>
      <c r="Q87" s="2">
        <v>0.95169951646069606</v>
      </c>
      <c r="R87" s="2">
        <v>0.11228148715094426</v>
      </c>
      <c r="S87" s="2"/>
    </row>
    <row r="88" spans="2:19">
      <c r="B88" s="54">
        <v>13</v>
      </c>
      <c r="C88" s="2">
        <f>'1ª Parte (v)'!R114</f>
        <v>10414</v>
      </c>
      <c r="F88" s="1">
        <v>7</v>
      </c>
      <c r="G88" s="1">
        <f t="shared" si="39"/>
        <v>1.8004000000000003E-2</v>
      </c>
      <c r="H88" s="2">
        <f t="shared" si="40"/>
        <v>1.8004000000000002</v>
      </c>
      <c r="I88" s="1">
        <f>Tubos!J10*10^-1</f>
        <v>8.1240384046361381E-4</v>
      </c>
      <c r="J88" s="1">
        <f>1/C66</f>
        <v>1.1279043537108053E-4</v>
      </c>
      <c r="K88" s="2">
        <f t="shared" si="41"/>
        <v>1.1279043537108053</v>
      </c>
      <c r="M88" s="1">
        <f t="shared" si="42"/>
        <v>1.7279623322194395</v>
      </c>
      <c r="N88" s="1">
        <f t="shared" si="43"/>
        <v>-7.2437667780560711E-2</v>
      </c>
      <c r="Q88" s="3">
        <v>78.814905915901477</v>
      </c>
      <c r="R88" s="3">
        <v>4</v>
      </c>
    </row>
    <row r="89" spans="2:19">
      <c r="F89" s="1">
        <v>8</v>
      </c>
      <c r="G89" s="25">
        <f t="shared" si="39"/>
        <v>2.2015999999999997E-2</v>
      </c>
      <c r="H89" s="2">
        <f t="shared" si="40"/>
        <v>2.2015999999999996</v>
      </c>
      <c r="I89" s="1">
        <f>Tubos!J11*10^-1</f>
        <v>3.6687872655688709E-3</v>
      </c>
      <c r="J89" s="1">
        <f>1/C84</f>
        <v>1.3760836658868861E-4</v>
      </c>
      <c r="K89" s="2">
        <f t="shared" si="41"/>
        <v>1.376083665886886</v>
      </c>
      <c r="M89" s="1">
        <f t="shared" si="42"/>
        <v>2.0853852051430906</v>
      </c>
      <c r="N89" s="1">
        <f t="shared" si="43"/>
        <v>-0.116214794856909</v>
      </c>
      <c r="Q89" s="3">
        <v>0.99362995057268921</v>
      </c>
      <c r="R89" s="3">
        <v>5.0428529427310638E-2</v>
      </c>
    </row>
    <row r="90" spans="2:19">
      <c r="F90" s="1">
        <v>9</v>
      </c>
      <c r="G90" s="25">
        <f t="shared" si="39"/>
        <v>2.6094000000000003E-2</v>
      </c>
      <c r="H90" s="2">
        <f t="shared" si="40"/>
        <v>2.6094000000000004</v>
      </c>
      <c r="I90" s="1">
        <f>Tubos!J12*10^-1</f>
        <v>3.668787265568864E-3</v>
      </c>
      <c r="J90" s="1">
        <f>1/C101</f>
        <v>1.7895490336435218E-4</v>
      </c>
      <c r="K90" s="2">
        <f t="shared" si="41"/>
        <v>1.7895490336435218</v>
      </c>
      <c r="M90" s="1">
        <f t="shared" si="42"/>
        <v>2.6808497436746537</v>
      </c>
      <c r="N90" s="1">
        <f t="shared" si="43"/>
        <v>7.1449743674653288E-2</v>
      </c>
      <c r="Q90" s="3"/>
      <c r="R90" s="1">
        <f>2*R87</f>
        <v>0.22456297430188851</v>
      </c>
    </row>
    <row r="92" spans="2:19">
      <c r="C92" s="52">
        <v>9</v>
      </c>
    </row>
    <row r="93" spans="2:19">
      <c r="B93" s="53" t="s">
        <v>21</v>
      </c>
      <c r="C93" s="48" t="s">
        <v>22</v>
      </c>
    </row>
    <row r="94" spans="2:19">
      <c r="B94" s="54">
        <v>2</v>
      </c>
      <c r="C94" s="2">
        <f>'1ª Parte (v)'!R120</f>
        <v>964</v>
      </c>
    </row>
    <row r="95" spans="2:19">
      <c r="B95" s="54">
        <v>3</v>
      </c>
      <c r="C95" s="2">
        <f>'1ª Parte (v)'!R121</f>
        <v>1616</v>
      </c>
    </row>
    <row r="96" spans="2:19">
      <c r="B96" s="54">
        <v>4</v>
      </c>
      <c r="C96" s="2">
        <f>'1ª Parte (v)'!R122</f>
        <v>2272</v>
      </c>
    </row>
    <row r="97" spans="2:22">
      <c r="B97" s="54">
        <v>5</v>
      </c>
      <c r="C97" s="2">
        <f>'1ª Parte (v)'!R123</f>
        <v>2927</v>
      </c>
    </row>
    <row r="98" spans="2:22">
      <c r="B98" s="54">
        <v>6</v>
      </c>
      <c r="C98" s="2">
        <f>'1ª Parte (v)'!R124</f>
        <v>3575</v>
      </c>
    </row>
    <row r="99" spans="2:22">
      <c r="B99" s="54">
        <v>7</v>
      </c>
      <c r="C99" s="2">
        <f>'1ª Parte (v)'!R125</f>
        <v>4236</v>
      </c>
      <c r="V99" s="33"/>
    </row>
    <row r="100" spans="2:22">
      <c r="B100" s="54">
        <v>8</v>
      </c>
      <c r="C100" s="2">
        <f>'1ª Parte (v)'!R126</f>
        <v>4878</v>
      </c>
    </row>
    <row r="101" spans="2:22">
      <c r="B101" s="54">
        <v>9</v>
      </c>
      <c r="C101" s="2">
        <f>'1ª Parte (v)'!R127</f>
        <v>5588</v>
      </c>
    </row>
    <row r="102" spans="2:22">
      <c r="B102" s="54">
        <v>10</v>
      </c>
      <c r="C102" s="2">
        <f>'1ª Parte (v)'!R128</f>
        <v>6149</v>
      </c>
    </row>
    <row r="103" spans="2:22">
      <c r="B103" s="54">
        <v>11</v>
      </c>
      <c r="C103" s="2">
        <f>'1ª Parte (v)'!R129</f>
        <v>6866</v>
      </c>
    </row>
    <row r="104" spans="2:22">
      <c r="B104" s="54">
        <v>12</v>
      </c>
      <c r="C104" s="2">
        <f>'1ª Parte (v)'!R130</f>
        <v>7516</v>
      </c>
    </row>
    <row r="105" spans="2:22">
      <c r="B105" s="54">
        <v>13</v>
      </c>
      <c r="C105" s="2">
        <f>'1ª Parte (v)'!R131</f>
        <v>0</v>
      </c>
    </row>
    <row r="106" spans="2:22">
      <c r="B106" s="54">
        <v>14</v>
      </c>
      <c r="C106" s="2">
        <f>'1ª Parte (v)'!R132</f>
        <v>0</v>
      </c>
    </row>
    <row r="107" spans="2:22">
      <c r="B107" s="54">
        <v>15</v>
      </c>
      <c r="C107" s="2">
        <f>'1ª Parte (v)'!R133</f>
        <v>0</v>
      </c>
    </row>
  </sheetData>
  <mergeCells count="9">
    <mergeCell ref="G53:N53"/>
    <mergeCell ref="G63:N63"/>
    <mergeCell ref="G73:N73"/>
    <mergeCell ref="G83:N83"/>
    <mergeCell ref="G3:N3"/>
    <mergeCell ref="G13:N13"/>
    <mergeCell ref="G23:N23"/>
    <mergeCell ref="G33:N33"/>
    <mergeCell ref="G43:N4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73D1-7BCE-4848-9EB5-DA2BAAC563F9}">
  <dimension ref="B2:X49"/>
  <sheetViews>
    <sheetView zoomScale="130" zoomScaleNormal="130" workbookViewId="0">
      <selection activeCell="F3" sqref="F3"/>
    </sheetView>
  </sheetViews>
  <sheetFormatPr defaultColWidth="10.75" defaultRowHeight="15.75"/>
  <cols>
    <col min="1" max="1" width="5.5" style="1" customWidth="1"/>
    <col min="2" max="2" width="12.75" style="1" customWidth="1"/>
    <col min="3" max="5" width="10.75" style="1"/>
    <col min="6" max="6" width="13.25" style="1" customWidth="1"/>
    <col min="7" max="16384" width="10.75" style="1"/>
  </cols>
  <sheetData>
    <row r="2" spans="2:13" ht="18">
      <c r="B2" s="47" t="s">
        <v>84</v>
      </c>
      <c r="C2" s="47" t="s">
        <v>85</v>
      </c>
      <c r="D2" s="47" t="s">
        <v>17</v>
      </c>
      <c r="E2" s="47" t="s">
        <v>18</v>
      </c>
      <c r="F2" s="47" t="s">
        <v>13</v>
      </c>
      <c r="G2" s="47" t="s">
        <v>86</v>
      </c>
      <c r="H2" s="47" t="s">
        <v>19</v>
      </c>
      <c r="I2" s="47" t="s">
        <v>20</v>
      </c>
      <c r="J2" s="47" t="s">
        <v>87</v>
      </c>
      <c r="K2" s="47" t="s">
        <v>88</v>
      </c>
      <c r="L2" s="47" t="s">
        <v>89</v>
      </c>
      <c r="M2" s="47" t="s">
        <v>90</v>
      </c>
    </row>
    <row r="3" spans="2:13">
      <c r="B3" s="2"/>
      <c r="C3" s="2">
        <v>0.1</v>
      </c>
      <c r="D3" s="2">
        <f>B3/100</f>
        <v>0</v>
      </c>
      <c r="E3" s="2">
        <f>C3/100</f>
        <v>1E-3</v>
      </c>
      <c r="F3" s="2"/>
      <c r="G3" s="2"/>
      <c r="H3" s="2">
        <f>F3/1000</f>
        <v>0</v>
      </c>
      <c r="I3" s="2">
        <f>G3/1000</f>
        <v>0</v>
      </c>
      <c r="J3" s="2">
        <f>0.305*H3</f>
        <v>0</v>
      </c>
      <c r="K3" s="2"/>
      <c r="L3" s="2"/>
      <c r="M3" s="7">
        <f>0.1*(4*7*10^-6*K3^3-3*0.0003*K3^2+2*0.0305*K3+0.055)</f>
        <v>5.5000000000000005E-3</v>
      </c>
    </row>
    <row r="6" spans="2:13" ht="19.5">
      <c r="B6" s="37" t="s">
        <v>49</v>
      </c>
      <c r="C6" s="39">
        <f>331.4+0.607*$K$3+0.08*$L$3</f>
        <v>331.4</v>
      </c>
    </row>
    <row r="7" spans="2:13" ht="19.5">
      <c r="B7" s="37" t="s">
        <v>50</v>
      </c>
      <c r="C7" s="39">
        <f>SQRT((0.607*0.1)^2+(0.08*M3)^2)</f>
        <v>6.0701594707223305E-2</v>
      </c>
      <c r="I7" s="4" t="s">
        <v>21</v>
      </c>
      <c r="J7" s="4" t="s">
        <v>22</v>
      </c>
      <c r="K7" s="4" t="s">
        <v>91</v>
      </c>
      <c r="L7" s="4" t="s">
        <v>92</v>
      </c>
    </row>
    <row r="8" spans="2:13" ht="19.5">
      <c r="B8" s="37" t="s">
        <v>51</v>
      </c>
      <c r="C8" s="39">
        <f>C7/C6*100</f>
        <v>1.8316715361262313E-2</v>
      </c>
      <c r="I8" s="2">
        <v>1</v>
      </c>
      <c r="J8" s="45">
        <v>1360</v>
      </c>
      <c r="K8" s="5">
        <f t="shared" ref="K8:K41" si="0">$V$25*I8+$W$25</f>
        <v>1433.3333333333362</v>
      </c>
      <c r="L8" s="5">
        <f>K8-J8</f>
        <v>73.333333333336213</v>
      </c>
    </row>
    <row r="9" spans="2:13">
      <c r="B9" s="41"/>
      <c r="C9" s="41"/>
      <c r="I9" s="2">
        <v>2</v>
      </c>
      <c r="J9" s="45">
        <v>1703</v>
      </c>
      <c r="K9" s="5">
        <f t="shared" si="0"/>
        <v>1771.9674796747995</v>
      </c>
      <c r="L9" s="5">
        <f>K9-J9</f>
        <v>68.967479674799506</v>
      </c>
    </row>
    <row r="10" spans="2:13" ht="18">
      <c r="B10" s="37" t="s">
        <v>93</v>
      </c>
      <c r="C10" s="40">
        <f>2*V25*D3</f>
        <v>0</v>
      </c>
      <c r="I10" s="2">
        <v>3</v>
      </c>
      <c r="J10" s="57">
        <v>2048</v>
      </c>
      <c r="K10" s="5">
        <f t="shared" si="0"/>
        <v>2110.6016260162628</v>
      </c>
      <c r="L10" s="5">
        <f t="shared" ref="L10:L49" si="1">K10-J10</f>
        <v>62.601626016262799</v>
      </c>
    </row>
    <row r="11" spans="2:13" ht="18">
      <c r="B11" s="37" t="s">
        <v>94</v>
      </c>
      <c r="C11" s="40">
        <f>SQRT((2*D3)^2*V26^2+(2*V25)^2*E3^2)</f>
        <v>0.67726829268292654</v>
      </c>
      <c r="I11" s="2">
        <v>4</v>
      </c>
      <c r="J11" s="57">
        <v>2392</v>
      </c>
      <c r="K11" s="5">
        <f t="shared" si="0"/>
        <v>2449.2357723577261</v>
      </c>
      <c r="L11" s="5">
        <f t="shared" si="1"/>
        <v>57.235772357726091</v>
      </c>
    </row>
    <row r="12" spans="2:13">
      <c r="B12" s="37" t="s">
        <v>95</v>
      </c>
      <c r="C12" s="40" t="e">
        <f>C11/C10*100</f>
        <v>#DIV/0!</v>
      </c>
      <c r="I12" s="2">
        <v>5</v>
      </c>
      <c r="J12" s="57">
        <v>2735</v>
      </c>
      <c r="K12" s="5">
        <f t="shared" si="0"/>
        <v>2787.8699186991894</v>
      </c>
      <c r="L12" s="5">
        <f t="shared" si="1"/>
        <v>52.869918699189384</v>
      </c>
    </row>
    <row r="13" spans="2:13">
      <c r="B13" s="37" t="s">
        <v>42</v>
      </c>
      <c r="C13" s="40">
        <f>(C6-C10)*100/C6</f>
        <v>100</v>
      </c>
      <c r="I13" s="2">
        <v>6</v>
      </c>
      <c r="J13" s="57">
        <v>3077</v>
      </c>
      <c r="K13" s="5">
        <f t="shared" si="0"/>
        <v>3126.5040650406527</v>
      </c>
      <c r="L13" s="5">
        <f t="shared" si="1"/>
        <v>49.504065040652677</v>
      </c>
    </row>
    <row r="14" spans="2:13">
      <c r="I14" s="2">
        <v>7</v>
      </c>
      <c r="J14" s="57">
        <v>3412</v>
      </c>
      <c r="K14" s="5">
        <f t="shared" si="0"/>
        <v>3465.138211382116</v>
      </c>
      <c r="L14" s="5">
        <f t="shared" si="1"/>
        <v>53.138211382115969</v>
      </c>
    </row>
    <row r="15" spans="2:13">
      <c r="I15" s="2">
        <v>8</v>
      </c>
      <c r="J15" s="57">
        <v>3789</v>
      </c>
      <c r="K15" s="5">
        <f t="shared" si="0"/>
        <v>3803.7723577235793</v>
      </c>
      <c r="L15" s="5">
        <f t="shared" si="1"/>
        <v>14.772357723579262</v>
      </c>
    </row>
    <row r="16" spans="2:13">
      <c r="I16" s="2">
        <v>9</v>
      </c>
      <c r="J16" s="57">
        <v>4141</v>
      </c>
      <c r="K16" s="5">
        <f t="shared" si="0"/>
        <v>4142.4065040650421</v>
      </c>
      <c r="L16" s="5">
        <f t="shared" si="1"/>
        <v>1.4065040650420997</v>
      </c>
    </row>
    <row r="17" spans="2:24">
      <c r="I17" s="2">
        <v>10</v>
      </c>
      <c r="J17" s="57">
        <v>4456</v>
      </c>
      <c r="K17" s="5">
        <f t="shared" si="0"/>
        <v>4481.0406504065058</v>
      </c>
      <c r="L17" s="5">
        <f t="shared" si="1"/>
        <v>25.040650406505847</v>
      </c>
    </row>
    <row r="18" spans="2:24">
      <c r="I18" s="2">
        <v>11</v>
      </c>
      <c r="J18" s="45">
        <v>4810</v>
      </c>
      <c r="K18" s="5">
        <f t="shared" si="0"/>
        <v>4819.6747967479696</v>
      </c>
      <c r="L18" s="5">
        <f t="shared" si="1"/>
        <v>9.6747967479695944</v>
      </c>
    </row>
    <row r="19" spans="2:24">
      <c r="I19" s="2">
        <v>12</v>
      </c>
      <c r="J19" s="45">
        <v>5123</v>
      </c>
      <c r="K19" s="5">
        <f t="shared" si="0"/>
        <v>5158.3089430894324</v>
      </c>
      <c r="L19" s="5">
        <f t="shared" si="1"/>
        <v>35.308943089432432</v>
      </c>
    </row>
    <row r="20" spans="2:24">
      <c r="I20" s="2">
        <v>13</v>
      </c>
      <c r="J20" s="45">
        <v>5490</v>
      </c>
      <c r="K20" s="5">
        <f t="shared" si="0"/>
        <v>5496.9430894308953</v>
      </c>
      <c r="L20" s="5">
        <f t="shared" si="1"/>
        <v>6.9430894308952702</v>
      </c>
    </row>
    <row r="21" spans="2:24">
      <c r="I21" s="2">
        <v>14</v>
      </c>
      <c r="J21" s="45">
        <v>5836</v>
      </c>
      <c r="K21" s="5">
        <f t="shared" si="0"/>
        <v>5835.577235772359</v>
      </c>
      <c r="L21" s="5">
        <f t="shared" si="1"/>
        <v>-0.42276422764098243</v>
      </c>
    </row>
    <row r="22" spans="2:24">
      <c r="I22" s="2">
        <v>15</v>
      </c>
      <c r="J22" s="45">
        <v>6181</v>
      </c>
      <c r="K22" s="5">
        <f t="shared" si="0"/>
        <v>6174.2113821138228</v>
      </c>
      <c r="L22" s="5">
        <f t="shared" si="1"/>
        <v>-6.7886178861772351</v>
      </c>
    </row>
    <row r="23" spans="2:24" ht="18">
      <c r="B23" s="47" t="s">
        <v>84</v>
      </c>
      <c r="C23" s="47" t="s">
        <v>85</v>
      </c>
      <c r="D23" s="47" t="s">
        <v>88</v>
      </c>
      <c r="E23" s="47" t="s">
        <v>89</v>
      </c>
      <c r="F23" s="47" t="s">
        <v>96</v>
      </c>
      <c r="I23" s="2">
        <v>16</v>
      </c>
      <c r="J23" s="45">
        <v>6525</v>
      </c>
      <c r="K23" s="5">
        <f t="shared" si="0"/>
        <v>6512.8455284552856</v>
      </c>
      <c r="L23" s="5">
        <f t="shared" si="1"/>
        <v>-12.154471544714397</v>
      </c>
    </row>
    <row r="24" spans="2:24">
      <c r="B24" s="2"/>
      <c r="C24" s="2">
        <v>0.1</v>
      </c>
      <c r="D24" s="2"/>
      <c r="E24" s="7"/>
      <c r="F24" s="7">
        <f>0.1*(4*7*10^-6*D24^3-3*0.0003*D24^2+2*0.0305*D24+0.055)</f>
        <v>5.5000000000000005E-3</v>
      </c>
      <c r="I24" s="2">
        <v>17</v>
      </c>
      <c r="J24" s="45">
        <v>6879</v>
      </c>
      <c r="K24" s="5">
        <f t="shared" si="0"/>
        <v>6851.4796747967484</v>
      </c>
      <c r="L24" s="5">
        <f t="shared" si="1"/>
        <v>-27.520325203251559</v>
      </c>
    </row>
    <row r="25" spans="2:24">
      <c r="I25" s="2">
        <v>18</v>
      </c>
      <c r="J25" s="45">
        <v>7224</v>
      </c>
      <c r="K25" s="5">
        <f t="shared" si="0"/>
        <v>7190.1138211382122</v>
      </c>
      <c r="L25" s="5">
        <f t="shared" si="1"/>
        <v>-33.886178861787812</v>
      </c>
      <c r="U25" s="55" t="s">
        <v>25</v>
      </c>
      <c r="V25" s="5" cm="1">
        <f t="array" ref="V25:W29">LINEST(J8:J49,I8:I49,1,1)</f>
        <v>338.63414634146329</v>
      </c>
      <c r="W25" s="6">
        <v>1094.6991869918729</v>
      </c>
      <c r="X25" s="55" t="s">
        <v>26</v>
      </c>
    </row>
    <row r="26" spans="2:24">
      <c r="I26" s="2">
        <v>19</v>
      </c>
      <c r="J26" s="45">
        <v>7573</v>
      </c>
      <c r="K26" s="5">
        <f t="shared" si="0"/>
        <v>7528.7479674796759</v>
      </c>
      <c r="L26" s="5">
        <f t="shared" si="1"/>
        <v>-44.252032520324065</v>
      </c>
      <c r="U26" s="55" t="s">
        <v>97</v>
      </c>
      <c r="V26" s="5">
        <v>1.2301514138550456</v>
      </c>
      <c r="W26" s="6">
        <v>30.361738507508566</v>
      </c>
      <c r="X26" s="55" t="s">
        <v>98</v>
      </c>
    </row>
    <row r="27" spans="2:24" ht="17.25">
      <c r="I27" s="2">
        <v>20</v>
      </c>
      <c r="J27" s="45">
        <v>7911</v>
      </c>
      <c r="K27" s="5">
        <f t="shared" si="0"/>
        <v>7867.3821138211388</v>
      </c>
      <c r="L27" s="5">
        <f t="shared" si="1"/>
        <v>-43.617886178861227</v>
      </c>
      <c r="U27" s="55" t="s">
        <v>99</v>
      </c>
      <c r="V27" s="35">
        <v>0.9994724222754644</v>
      </c>
      <c r="W27" s="6">
        <v>96.631506080985503</v>
      </c>
      <c r="X27" s="55" t="s">
        <v>31</v>
      </c>
    </row>
    <row r="28" spans="2:24">
      <c r="I28" s="2">
        <v>21</v>
      </c>
      <c r="J28" s="45">
        <v>8253</v>
      </c>
      <c r="K28" s="5">
        <f t="shared" si="0"/>
        <v>8206.0162601626016</v>
      </c>
      <c r="L28" s="5">
        <f t="shared" si="1"/>
        <v>-46.983739837398389</v>
      </c>
      <c r="V28" s="3">
        <v>75778.212444823002</v>
      </c>
      <c r="W28" s="3">
        <v>40</v>
      </c>
    </row>
    <row r="29" spans="2:24">
      <c r="I29" s="2">
        <v>22</v>
      </c>
      <c r="J29" s="45">
        <v>8602</v>
      </c>
      <c r="K29" s="5">
        <f t="shared" si="0"/>
        <v>8544.6504065040644</v>
      </c>
      <c r="L29" s="5">
        <f t="shared" si="1"/>
        <v>-57.349593495935551</v>
      </c>
      <c r="V29" s="3">
        <v>707590271.41463423</v>
      </c>
      <c r="W29" s="3">
        <v>373505.91869918158</v>
      </c>
    </row>
    <row r="30" spans="2:24">
      <c r="I30" s="2">
        <v>23</v>
      </c>
      <c r="J30" s="45">
        <v>8941</v>
      </c>
      <c r="K30" s="5">
        <f t="shared" si="0"/>
        <v>8883.2845528455291</v>
      </c>
      <c r="L30" s="5">
        <f t="shared" si="1"/>
        <v>-57.715447154470894</v>
      </c>
    </row>
    <row r="31" spans="2:24">
      <c r="I31" s="2">
        <v>24</v>
      </c>
      <c r="J31" s="45">
        <v>9285</v>
      </c>
      <c r="K31" s="5">
        <f t="shared" si="0"/>
        <v>9221.9186991869919</v>
      </c>
      <c r="L31" s="5">
        <f t="shared" si="1"/>
        <v>-63.081300813008056</v>
      </c>
      <c r="V31" s="37" t="s">
        <v>31</v>
      </c>
      <c r="W31" s="36">
        <f>2*W27</f>
        <v>193.26301216197101</v>
      </c>
    </row>
    <row r="32" spans="2:24">
      <c r="I32" s="2">
        <v>25</v>
      </c>
      <c r="J32" s="45">
        <v>9628</v>
      </c>
      <c r="K32" s="5">
        <f t="shared" si="0"/>
        <v>9560.5528455284548</v>
      </c>
      <c r="L32" s="5">
        <f t="shared" si="1"/>
        <v>-67.447154471545218</v>
      </c>
    </row>
    <row r="33" spans="9:12">
      <c r="I33" s="2">
        <v>26</v>
      </c>
      <c r="J33" s="45">
        <v>9976</v>
      </c>
      <c r="K33" s="5">
        <f t="shared" si="0"/>
        <v>9899.1869918699176</v>
      </c>
      <c r="L33" s="5">
        <f t="shared" si="1"/>
        <v>-76.81300813008238</v>
      </c>
    </row>
    <row r="34" spans="9:12">
      <c r="I34" s="2">
        <v>27</v>
      </c>
      <c r="J34" s="45">
        <v>10318</v>
      </c>
      <c r="K34" s="5">
        <f t="shared" si="0"/>
        <v>10237.821138211382</v>
      </c>
      <c r="L34" s="5">
        <f t="shared" si="1"/>
        <v>-80.178861788617724</v>
      </c>
    </row>
    <row r="35" spans="9:12">
      <c r="I35" s="2">
        <v>28</v>
      </c>
      <c r="J35" s="45">
        <v>10669</v>
      </c>
      <c r="K35" s="5">
        <f t="shared" si="0"/>
        <v>10576.455284552845</v>
      </c>
      <c r="L35" s="5">
        <f t="shared" si="1"/>
        <v>-92.544715447154886</v>
      </c>
    </row>
    <row r="36" spans="9:12">
      <c r="I36" s="2">
        <v>29</v>
      </c>
      <c r="J36" s="45">
        <v>11007</v>
      </c>
      <c r="K36" s="5">
        <f t="shared" si="0"/>
        <v>10915.089430894308</v>
      </c>
      <c r="L36" s="5">
        <f t="shared" si="1"/>
        <v>-91.910569105692048</v>
      </c>
    </row>
    <row r="37" spans="9:12">
      <c r="I37" s="2">
        <v>30</v>
      </c>
      <c r="J37" s="45">
        <v>11361</v>
      </c>
      <c r="K37" s="5">
        <f t="shared" si="0"/>
        <v>11253.723577235773</v>
      </c>
      <c r="L37" s="5">
        <f t="shared" si="1"/>
        <v>-107.27642276422739</v>
      </c>
    </row>
    <row r="38" spans="9:12">
      <c r="I38" s="2">
        <v>31</v>
      </c>
      <c r="J38" s="45">
        <v>11700</v>
      </c>
      <c r="K38" s="5">
        <f t="shared" si="0"/>
        <v>11592.357723577235</v>
      </c>
      <c r="L38" s="5">
        <f t="shared" si="1"/>
        <v>-107.64227642276455</v>
      </c>
    </row>
    <row r="39" spans="9:12">
      <c r="I39" s="2">
        <v>32</v>
      </c>
      <c r="J39" s="45">
        <v>12046</v>
      </c>
      <c r="K39" s="5">
        <f t="shared" si="0"/>
        <v>11930.991869918698</v>
      </c>
      <c r="L39" s="5">
        <f t="shared" si="1"/>
        <v>-115.00813008130172</v>
      </c>
    </row>
    <row r="40" spans="9:12">
      <c r="I40" s="2">
        <v>33</v>
      </c>
      <c r="J40" s="45">
        <v>12395</v>
      </c>
      <c r="K40" s="5">
        <f t="shared" si="0"/>
        <v>12269.626016260161</v>
      </c>
      <c r="L40" s="5">
        <f t="shared" si="1"/>
        <v>-125.37398373983888</v>
      </c>
    </row>
    <row r="41" spans="9:12">
      <c r="I41" s="2">
        <v>34</v>
      </c>
      <c r="J41" s="45">
        <v>12739</v>
      </c>
      <c r="K41" s="5">
        <f t="shared" si="0"/>
        <v>12608.260162601624</v>
      </c>
      <c r="L41" s="5">
        <f t="shared" si="1"/>
        <v>-130.73983739837604</v>
      </c>
    </row>
    <row r="42" spans="9:12">
      <c r="I42" s="2">
        <v>35</v>
      </c>
      <c r="J42" s="45">
        <v>13093</v>
      </c>
      <c r="K42" s="5">
        <f>$V$25*I42+$W$25</f>
        <v>12946.894308943089</v>
      </c>
      <c r="L42" s="5">
        <f t="shared" si="1"/>
        <v>-146.10569105691138</v>
      </c>
    </row>
    <row r="43" spans="9:12">
      <c r="I43" s="2">
        <v>36</v>
      </c>
      <c r="J43" s="45">
        <v>13343</v>
      </c>
      <c r="K43" s="5">
        <f>$V$25*I43+$W$25</f>
        <v>13285.528455284551</v>
      </c>
      <c r="L43" s="5">
        <f t="shared" si="1"/>
        <v>-57.471544715448545</v>
      </c>
    </row>
    <row r="44" spans="9:12">
      <c r="I44" s="2">
        <v>37</v>
      </c>
      <c r="J44" s="45">
        <v>13489</v>
      </c>
      <c r="K44" s="5">
        <f t="shared" ref="K44:K49" si="2">$V$25*I44+$W$25</f>
        <v>13624.162601626014</v>
      </c>
      <c r="L44" s="5">
        <f t="shared" si="1"/>
        <v>135.16260162601429</v>
      </c>
    </row>
    <row r="45" spans="9:12">
      <c r="I45" s="2">
        <v>38</v>
      </c>
      <c r="J45" s="45">
        <v>13748</v>
      </c>
      <c r="K45" s="5">
        <f t="shared" si="2"/>
        <v>13962.796747967479</v>
      </c>
      <c r="L45" s="5">
        <f t="shared" si="1"/>
        <v>214.79674796747895</v>
      </c>
    </row>
    <row r="46" spans="9:12">
      <c r="I46" s="2">
        <v>39</v>
      </c>
      <c r="J46" s="45">
        <v>14089</v>
      </c>
      <c r="K46" s="5">
        <f t="shared" si="2"/>
        <v>14301.430894308942</v>
      </c>
      <c r="L46" s="5">
        <f t="shared" si="1"/>
        <v>212.43089430894179</v>
      </c>
    </row>
    <row r="47" spans="9:12">
      <c r="I47" s="2">
        <v>40</v>
      </c>
      <c r="J47" s="45">
        <v>14461</v>
      </c>
      <c r="K47" s="58">
        <f t="shared" si="2"/>
        <v>14640.065040650405</v>
      </c>
      <c r="L47" s="5">
        <f t="shared" si="1"/>
        <v>179.06504065040463</v>
      </c>
    </row>
    <row r="48" spans="9:12">
      <c r="I48" s="2">
        <v>41</v>
      </c>
      <c r="J48" s="2">
        <v>14812</v>
      </c>
      <c r="K48" s="58">
        <f t="shared" si="2"/>
        <v>14978.699186991867</v>
      </c>
      <c r="L48" s="5">
        <f>K48-J48</f>
        <v>166.69918699186746</v>
      </c>
    </row>
    <row r="49" spans="9:12">
      <c r="I49" s="2">
        <v>42</v>
      </c>
      <c r="J49" s="2">
        <v>15144</v>
      </c>
      <c r="K49" s="58">
        <f t="shared" si="2"/>
        <v>15317.33333333333</v>
      </c>
      <c r="L49" s="5">
        <f t="shared" si="1"/>
        <v>173.3333333333303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0B8D-6736-FF40-9ACF-76D3E9489959}">
  <dimension ref="C3:D24"/>
  <sheetViews>
    <sheetView topLeftCell="A2" zoomScale="130" zoomScaleNormal="130" workbookViewId="0">
      <selection activeCell="E22" sqref="E22"/>
    </sheetView>
  </sheetViews>
  <sheetFormatPr defaultColWidth="11" defaultRowHeight="15.75"/>
  <sheetData>
    <row r="3" spans="3:4" ht="18">
      <c r="C3" s="47" t="s">
        <v>88</v>
      </c>
      <c r="D3" s="47" t="s">
        <v>89</v>
      </c>
    </row>
    <row r="4" spans="3:4">
      <c r="C4" s="2">
        <v>0</v>
      </c>
      <c r="D4" s="2"/>
    </row>
    <row r="5" spans="3:4">
      <c r="C5" s="2">
        <v>5</v>
      </c>
      <c r="D5" s="2"/>
    </row>
    <row r="6" spans="3:4">
      <c r="C6" s="2">
        <v>10</v>
      </c>
      <c r="D6" s="2"/>
    </row>
    <row r="7" spans="3:4">
      <c r="C7" s="2">
        <v>15</v>
      </c>
      <c r="D7" s="2"/>
    </row>
    <row r="8" spans="3:4">
      <c r="C8" s="2">
        <v>20</v>
      </c>
      <c r="D8" s="2"/>
    </row>
    <row r="9" spans="3:4">
      <c r="C9" s="2">
        <v>25</v>
      </c>
      <c r="D9" s="2"/>
    </row>
    <row r="10" spans="3:4">
      <c r="C10" s="2">
        <v>30</v>
      </c>
      <c r="D10" s="2"/>
    </row>
    <row r="11" spans="3:4">
      <c r="C11" s="2">
        <v>35</v>
      </c>
      <c r="D11" s="2"/>
    </row>
    <row r="12" spans="3:4">
      <c r="C12" s="2">
        <v>40</v>
      </c>
      <c r="D12" s="2"/>
    </row>
    <row r="13" spans="3:4">
      <c r="C13" s="2">
        <v>45</v>
      </c>
      <c r="D13" s="2"/>
    </row>
    <row r="14" spans="3:4">
      <c r="C14" s="2">
        <v>50</v>
      </c>
      <c r="D14" s="2"/>
    </row>
    <row r="15" spans="3:4">
      <c r="C15" s="2">
        <v>55</v>
      </c>
      <c r="D15" s="2"/>
    </row>
    <row r="16" spans="3:4">
      <c r="C16" s="2">
        <v>60</v>
      </c>
      <c r="D16" s="2"/>
    </row>
    <row r="17" spans="3:4">
      <c r="C17" s="2">
        <v>65</v>
      </c>
      <c r="D17" s="2"/>
    </row>
    <row r="18" spans="3:4">
      <c r="C18" s="2">
        <v>70</v>
      </c>
      <c r="D18" s="2"/>
    </row>
    <row r="19" spans="3:4">
      <c r="C19" s="2">
        <v>75</v>
      </c>
      <c r="D19" s="2"/>
    </row>
    <row r="20" spans="3:4">
      <c r="C20" s="2">
        <v>80</v>
      </c>
      <c r="D20" s="2"/>
    </row>
    <row r="21" spans="3:4">
      <c r="C21" s="2">
        <v>85</v>
      </c>
      <c r="D21" s="2"/>
    </row>
    <row r="22" spans="3:4">
      <c r="C22" s="2">
        <v>90</v>
      </c>
      <c r="D22" s="2"/>
    </row>
    <row r="23" spans="3:4">
      <c r="C23" s="2">
        <v>95</v>
      </c>
      <c r="D23" s="2"/>
    </row>
    <row r="24" spans="3:4">
      <c r="C24" s="2">
        <v>100</v>
      </c>
      <c r="D2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Tubos</vt:lpstr>
      <vt:lpstr>1ª Parte (v)</vt:lpstr>
      <vt:lpstr>Δy</vt:lpstr>
      <vt:lpstr>2ª Parte (v)</vt:lpstr>
      <vt:lpstr>p(T)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Inês Pascoal Nogueira</dc:creator>
  <cp:keywords/>
  <dc:description/>
  <cp:lastModifiedBy>Sérgio Sousa</cp:lastModifiedBy>
  <cp:revision/>
  <dcterms:created xsi:type="dcterms:W3CDTF">2020-10-19T21:06:49Z</dcterms:created>
  <dcterms:modified xsi:type="dcterms:W3CDTF">2023-02-25T01:54:53Z</dcterms:modified>
  <cp:category/>
  <cp:contentStatus/>
</cp:coreProperties>
</file>