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3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4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5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6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7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8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22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3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4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drawings/drawing2.xml" ContentType="application/vnd.openxmlformats-officedocument.drawing+xml"/>
  <Override PartName="/xl/charts/chart29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30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31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32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33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34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drawings/drawing3.xml" ContentType="application/vnd.openxmlformats-officedocument.drawing+xml"/>
  <Override PartName="/xl/charts/chart35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36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7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8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9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40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41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42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43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44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45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46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7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8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9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50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53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54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55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56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57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drawings/drawing4.xml" ContentType="application/vnd.openxmlformats-officedocument.drawing+xml"/>
  <Override PartName="/xl/charts/chart62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63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harts/chart64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65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harts/chart66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charts/chart67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charts/chart68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charts/chart69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charts/chart70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xl/charts/chart71.xml" ContentType="application/vnd.openxmlformats-officedocument.drawingml.chart+xml"/>
  <Override PartName="/xl/charts/style59.xml" ContentType="application/vnd.ms-office.chartstyle+xml"/>
  <Override PartName="/xl/charts/colors59.xml" ContentType="application/vnd.ms-office.chartcolorstyle+xml"/>
  <Override PartName="/xl/charts/chart72.xml" ContentType="application/vnd.openxmlformats-officedocument.drawingml.chart+xml"/>
  <Override PartName="/xl/charts/style60.xml" ContentType="application/vnd.ms-office.chartstyle+xml"/>
  <Override PartName="/xl/charts/colors60.xml" ContentType="application/vnd.ms-office.chartcolorstyle+xml"/>
  <Override PartName="/xl/charts/chart73.xml" ContentType="application/vnd.openxmlformats-officedocument.drawingml.chart+xml"/>
  <Override PartName="/xl/charts/style61.xml" ContentType="application/vnd.ms-office.chartstyle+xml"/>
  <Override PartName="/xl/charts/colors61.xml" ContentType="application/vnd.ms-office.chartcolorstyle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ergi\Desktop\reset\faculdade\2º Ano\2ºS\LABS\LABSFISICAII\016\T4B\"/>
    </mc:Choice>
  </mc:AlternateContent>
  <xr:revisionPtr revIDLastSave="0" documentId="13_ncr:1_{83231942-B55C-4C3F-95CE-8F773F32D537}" xr6:coauthVersionLast="47" xr6:coauthVersionMax="47" xr10:uidLastSave="{00000000-0000-0000-0000-000000000000}"/>
  <bookViews>
    <workbookView xWindow="-120" yWindow="-120" windowWidth="29040" windowHeight="15720" activeTab="1" xr2:uid="{607D7311-D258-4AD3-A8E4-DF0E570C6269}"/>
  </bookViews>
  <sheets>
    <sheet name="Barra #1" sheetId="1" r:id="rId1"/>
    <sheet name="Pêndulo" sheetId="2" r:id="rId2"/>
    <sheet name="Barra #2" sheetId="5" r:id="rId3"/>
    <sheet name="Barra (2)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67" i="1" l="1"/>
  <c r="AB74" i="1"/>
  <c r="N73" i="1"/>
  <c r="AE33" i="2"/>
  <c r="AE34" i="2"/>
  <c r="AE35" i="2"/>
  <c r="AE32" i="2"/>
  <c r="AS78" i="1"/>
  <c r="AS77" i="1"/>
  <c r="L7" i="5"/>
  <c r="BZ44" i="5" s="1"/>
  <c r="K7" i="5"/>
  <c r="R7" i="5"/>
  <c r="CF44" i="5"/>
  <c r="L9" i="5"/>
  <c r="BZ45" i="5"/>
  <c r="N76" i="1"/>
  <c r="AD22" i="2"/>
  <c r="AD24" i="2"/>
  <c r="AC22" i="2"/>
  <c r="AC23" i="2"/>
  <c r="AD23" i="2" s="1"/>
  <c r="AC24" i="2"/>
  <c r="AC21" i="2"/>
  <c r="AD21" i="2" s="1"/>
  <c r="AF58" i="2"/>
  <c r="AF57" i="2"/>
  <c r="AF60" i="2" s="1"/>
  <c r="U68" i="2"/>
  <c r="U12" i="2"/>
  <c r="T12" i="2"/>
  <c r="Q70" i="2"/>
  <c r="Q71" i="2" s="1"/>
  <c r="Q69" i="2"/>
  <c r="L12" i="2"/>
  <c r="K12" i="2"/>
  <c r="J12" i="2"/>
  <c r="I12" i="2"/>
  <c r="H12" i="2"/>
  <c r="G12" i="2"/>
  <c r="F12" i="2"/>
  <c r="E12" i="2"/>
  <c r="EA78" i="5" a="1"/>
  <c r="EA78" i="5" s="1"/>
  <c r="DO54" i="5"/>
  <c r="DN54" i="5"/>
  <c r="DO51" i="5"/>
  <c r="DN51" i="5"/>
  <c r="DM54" i="5"/>
  <c r="DL54" i="5"/>
  <c r="N51" i="5" a="1"/>
  <c r="N51" i="5" s="1"/>
  <c r="DJ48" i="5"/>
  <c r="AR121" i="5" a="1"/>
  <c r="AR121" i="5" s="1"/>
  <c r="AS92" i="5" a="1"/>
  <c r="AS92" i="5" s="1"/>
  <c r="AS90" i="5" a="1"/>
  <c r="AS90" i="5" s="1"/>
  <c r="AR92" i="5" a="1"/>
  <c r="AR92" i="5" s="1"/>
  <c r="AR90" i="5" a="1"/>
  <c r="AR90" i="5" s="1"/>
  <c r="AT76" i="5"/>
  <c r="AB34" i="5"/>
  <c r="E23" i="5"/>
  <c r="E21" i="5"/>
  <c r="E19" i="5"/>
  <c r="E17" i="5"/>
  <c r="E15" i="5"/>
  <c r="E13" i="5"/>
  <c r="E11" i="5"/>
  <c r="E9" i="5"/>
  <c r="E7" i="5"/>
  <c r="CL100" i="5"/>
  <c r="CF100" i="5"/>
  <c r="BZ100" i="5"/>
  <c r="BU100" i="5"/>
  <c r="DR83" i="5"/>
  <c r="J74" i="5"/>
  <c r="E74" i="5"/>
  <c r="AM76" i="5"/>
  <c r="AB69" i="5"/>
  <c r="CI54" i="5"/>
  <c r="BZ53" i="5"/>
  <c r="DI51" i="5"/>
  <c r="DY50" i="5" s="1"/>
  <c r="C43" i="5"/>
  <c r="D88" i="5" s="1"/>
  <c r="U81" i="5" s="1"/>
  <c r="AK97" i="5" s="1"/>
  <c r="C42" i="5"/>
  <c r="DI55" i="5" s="1"/>
  <c r="DY54" i="5" s="1"/>
  <c r="C41" i="5"/>
  <c r="DI54" i="5" s="1"/>
  <c r="DY53" i="5" s="1"/>
  <c r="C40" i="5"/>
  <c r="BV49" i="5" s="1"/>
  <c r="BW49" i="5" s="1"/>
  <c r="C39" i="5"/>
  <c r="DI52" i="5" s="1"/>
  <c r="DY51" i="5" s="1"/>
  <c r="C38" i="5"/>
  <c r="D83" i="5" s="1"/>
  <c r="C37" i="5"/>
  <c r="C36" i="5"/>
  <c r="BV45" i="5" s="1"/>
  <c r="BW45" i="5" s="1"/>
  <c r="C35" i="5"/>
  <c r="CJ55" i="5"/>
  <c r="CF55" i="5"/>
  <c r="BZ55" i="5"/>
  <c r="CJ54" i="5"/>
  <c r="CF54" i="5"/>
  <c r="BZ54" i="5"/>
  <c r="CJ53" i="5"/>
  <c r="CF53" i="5"/>
  <c r="V24" i="5"/>
  <c r="P24" i="5"/>
  <c r="Q23" i="5" s="1"/>
  <c r="J24" i="5"/>
  <c r="X23" i="5"/>
  <c r="CJ52" i="5" s="1"/>
  <c r="V23" i="5"/>
  <c r="R23" i="5"/>
  <c r="CF52" i="5" s="1"/>
  <c r="P23" i="5"/>
  <c r="L23" i="5"/>
  <c r="BZ52" i="5" s="1"/>
  <c r="J23" i="5"/>
  <c r="G23" i="5"/>
  <c r="D43" i="5" s="1"/>
  <c r="V22" i="5"/>
  <c r="P22" i="5"/>
  <c r="J22" i="5"/>
  <c r="X21" i="5"/>
  <c r="CJ51" i="5" s="1"/>
  <c r="V21" i="5"/>
  <c r="R21" i="5"/>
  <c r="CF51" i="5" s="1"/>
  <c r="P21" i="5"/>
  <c r="L21" i="5"/>
  <c r="BZ51" i="5" s="1"/>
  <c r="J21" i="5"/>
  <c r="G21" i="5"/>
  <c r="V20" i="5"/>
  <c r="P20" i="5"/>
  <c r="J20" i="5"/>
  <c r="X19" i="5"/>
  <c r="CJ50" i="5" s="1"/>
  <c r="V19" i="5"/>
  <c r="R19" i="5"/>
  <c r="CF50" i="5" s="1"/>
  <c r="P19" i="5"/>
  <c r="L19" i="5"/>
  <c r="BZ50" i="5" s="1"/>
  <c r="J19" i="5"/>
  <c r="G19" i="5"/>
  <c r="V18" i="5"/>
  <c r="P18" i="5"/>
  <c r="J18" i="5"/>
  <c r="X17" i="5"/>
  <c r="CJ49" i="5" s="1"/>
  <c r="V17" i="5"/>
  <c r="W17" i="5" s="1"/>
  <c r="R17" i="5"/>
  <c r="CF49" i="5" s="1"/>
  <c r="P17" i="5"/>
  <c r="L17" i="5"/>
  <c r="BZ49" i="5" s="1"/>
  <c r="J17" i="5"/>
  <c r="G17" i="5"/>
  <c r="D40" i="5" s="1"/>
  <c r="V16" i="5"/>
  <c r="P16" i="5"/>
  <c r="J16" i="5"/>
  <c r="X15" i="5"/>
  <c r="CJ48" i="5" s="1"/>
  <c r="V15" i="5"/>
  <c r="R15" i="5"/>
  <c r="CF48" i="5" s="1"/>
  <c r="P15" i="5"/>
  <c r="L15" i="5"/>
  <c r="BZ48" i="5" s="1"/>
  <c r="J15" i="5"/>
  <c r="K15" i="5" s="1"/>
  <c r="G15" i="5"/>
  <c r="D39" i="5" s="1"/>
  <c r="V14" i="5"/>
  <c r="P14" i="5"/>
  <c r="J14" i="5"/>
  <c r="AE13" i="5"/>
  <c r="AD13" i="5"/>
  <c r="AC13" i="5"/>
  <c r="X13" i="5"/>
  <c r="CJ47" i="5" s="1"/>
  <c r="V13" i="5"/>
  <c r="R13" i="5"/>
  <c r="CF47" i="5" s="1"/>
  <c r="P13" i="5"/>
  <c r="Q13" i="5" s="1"/>
  <c r="L13" i="5"/>
  <c r="BZ47" i="5" s="1"/>
  <c r="J13" i="5"/>
  <c r="K13" i="5" s="1"/>
  <c r="N13" i="5" s="1"/>
  <c r="G38" i="5" s="1"/>
  <c r="G13" i="5"/>
  <c r="AE12" i="5"/>
  <c r="AD12" i="5"/>
  <c r="AC12" i="5"/>
  <c r="V12" i="5"/>
  <c r="P12" i="5"/>
  <c r="J12" i="5"/>
  <c r="X11" i="5"/>
  <c r="CJ46" i="5" s="1"/>
  <c r="V11" i="5"/>
  <c r="W11" i="5" s="1"/>
  <c r="R11" i="5"/>
  <c r="CF46" i="5" s="1"/>
  <c r="P11" i="5"/>
  <c r="L11" i="5"/>
  <c r="BZ46" i="5" s="1"/>
  <c r="J11" i="5"/>
  <c r="G11" i="5"/>
  <c r="D37" i="5" s="1"/>
  <c r="DJ50" i="5" s="1"/>
  <c r="V10" i="5"/>
  <c r="P10" i="5"/>
  <c r="J10" i="5"/>
  <c r="X9" i="5"/>
  <c r="CJ45" i="5" s="1"/>
  <c r="V9" i="5"/>
  <c r="R9" i="5"/>
  <c r="CF45" i="5" s="1"/>
  <c r="P9" i="5"/>
  <c r="Q9" i="5" s="1"/>
  <c r="J9" i="5"/>
  <c r="G9" i="5"/>
  <c r="V8" i="5"/>
  <c r="P8" i="5"/>
  <c r="J8" i="5"/>
  <c r="X7" i="5"/>
  <c r="CJ44" i="5" s="1"/>
  <c r="V7" i="5"/>
  <c r="P7" i="5"/>
  <c r="Q7" i="5" s="1"/>
  <c r="J7" i="5"/>
  <c r="G7" i="5"/>
  <c r="J3" i="5"/>
  <c r="G3" i="5"/>
  <c r="Q72" i="2" l="1"/>
  <c r="AF59" i="2"/>
  <c r="EB80" i="5"/>
  <c r="EA80" i="5"/>
  <c r="EB79" i="5"/>
  <c r="EA79" i="5"/>
  <c r="EB78" i="5"/>
  <c r="AS123" i="5"/>
  <c r="AR123" i="5"/>
  <c r="AS122" i="5"/>
  <c r="AR122" i="5"/>
  <c r="AS121" i="5"/>
  <c r="AT96" i="5" s="1"/>
  <c r="K21" i="5"/>
  <c r="BV50" i="5"/>
  <c r="BW50" i="5" s="1"/>
  <c r="AS126" i="5"/>
  <c r="AH6" i="5"/>
  <c r="AH7" i="5" s="1"/>
  <c r="K11" i="5"/>
  <c r="K17" i="5"/>
  <c r="Q19" i="5"/>
  <c r="W21" i="5"/>
  <c r="W19" i="5"/>
  <c r="EA53" i="5" s="1"/>
  <c r="DZ50" i="5"/>
  <c r="DI56" i="5"/>
  <c r="DY55" i="5" s="1"/>
  <c r="DZ55" i="5" s="1"/>
  <c r="H21" i="5"/>
  <c r="E42" i="5" s="1"/>
  <c r="DK55" i="5" s="1"/>
  <c r="H13" i="5"/>
  <c r="E38" i="5" s="1"/>
  <c r="DK51" i="5" s="1"/>
  <c r="H7" i="5"/>
  <c r="E35" i="5" s="1"/>
  <c r="DK48" i="5" s="1"/>
  <c r="Q15" i="5"/>
  <c r="DM52" i="5" s="1"/>
  <c r="DI49" i="5"/>
  <c r="DY48" i="5" s="1"/>
  <c r="DZ48" i="5" s="1"/>
  <c r="K19" i="5"/>
  <c r="H11" i="5"/>
  <c r="E37" i="5" s="1"/>
  <c r="DK50" i="5" s="1"/>
  <c r="W23" i="5"/>
  <c r="CI52" i="5" s="1"/>
  <c r="W13" i="5"/>
  <c r="Z13" i="5" s="1"/>
  <c r="Q38" i="5" s="1"/>
  <c r="DL51" i="5"/>
  <c r="EA50" i="5" s="1"/>
  <c r="EB50" i="5" s="1"/>
  <c r="W7" i="5"/>
  <c r="Y7" i="5" s="1"/>
  <c r="P35" i="5" s="1"/>
  <c r="W9" i="5"/>
  <c r="Z9" i="5" s="1"/>
  <c r="Q36" i="5" s="1"/>
  <c r="W15" i="5"/>
  <c r="CI48" i="5" s="1"/>
  <c r="CE44" i="5"/>
  <c r="T7" i="5"/>
  <c r="M35" i="5" s="1"/>
  <c r="Q21" i="5"/>
  <c r="T21" i="5" s="1"/>
  <c r="M42" i="5" s="1"/>
  <c r="Q11" i="5"/>
  <c r="DM50" i="5" s="1"/>
  <c r="Q17" i="5"/>
  <c r="DL53" i="5" s="1"/>
  <c r="EA52" i="5" s="1"/>
  <c r="K9" i="5"/>
  <c r="BY45" i="5" s="1"/>
  <c r="K23" i="5"/>
  <c r="M23" i="5" s="1"/>
  <c r="F43" i="5" s="1"/>
  <c r="D38" i="5"/>
  <c r="V81" i="5"/>
  <c r="BV47" i="5"/>
  <c r="BX47" i="5" s="1"/>
  <c r="DI53" i="5"/>
  <c r="DY52" i="5" s="1"/>
  <c r="DZ52" i="5" s="1"/>
  <c r="D84" i="5"/>
  <c r="U77" i="5" s="1"/>
  <c r="AK93" i="5" s="1"/>
  <c r="AL93" i="5" s="1"/>
  <c r="BV48" i="5"/>
  <c r="BX48" i="5" s="1"/>
  <c r="W81" i="5"/>
  <c r="CE52" i="5"/>
  <c r="T23" i="5"/>
  <c r="M43" i="5" s="1"/>
  <c r="S23" i="5"/>
  <c r="L43" i="5" s="1"/>
  <c r="F81" i="5"/>
  <c r="BY48" i="5"/>
  <c r="M15" i="5"/>
  <c r="F39" i="5" s="1"/>
  <c r="F84" i="5"/>
  <c r="BY49" i="5"/>
  <c r="DM53" i="5"/>
  <c r="F85" i="5"/>
  <c r="N17" i="5"/>
  <c r="G40" i="5" s="1"/>
  <c r="BY50" i="5"/>
  <c r="F86" i="5"/>
  <c r="CE55" i="5"/>
  <c r="BY51" i="5"/>
  <c r="F87" i="5"/>
  <c r="N21" i="5"/>
  <c r="G42" i="5" s="1"/>
  <c r="M21" i="5"/>
  <c r="F42" i="5" s="1"/>
  <c r="O57" i="5" s="1" a="1"/>
  <c r="O57" i="5" s="1"/>
  <c r="F88" i="5"/>
  <c r="DL56" i="5"/>
  <c r="EA55" i="5" s="1"/>
  <c r="DM56" i="5"/>
  <c r="E83" i="5"/>
  <c r="U76" i="5"/>
  <c r="CE53" i="5"/>
  <c r="DJ53" i="5"/>
  <c r="AM92" i="5"/>
  <c r="N15" i="5"/>
  <c r="G39" i="5" s="1"/>
  <c r="M17" i="5"/>
  <c r="F40" i="5" s="1"/>
  <c r="BY53" i="5"/>
  <c r="BY54" i="5"/>
  <c r="BY44" i="5"/>
  <c r="F80" i="5"/>
  <c r="N7" i="5"/>
  <c r="G35" i="5" s="1"/>
  <c r="M7" i="5"/>
  <c r="F35" i="5" s="1"/>
  <c r="T19" i="5"/>
  <c r="M41" i="5" s="1"/>
  <c r="S19" i="5"/>
  <c r="L41" i="5" s="1"/>
  <c r="BY55" i="5"/>
  <c r="CE50" i="5"/>
  <c r="N23" i="5"/>
  <c r="G43" i="5" s="1"/>
  <c r="AM91" i="5"/>
  <c r="CI46" i="5"/>
  <c r="Z11" i="5"/>
  <c r="Q37" i="5" s="1"/>
  <c r="Y11" i="5"/>
  <c r="P37" i="5" s="1"/>
  <c r="D36" i="5"/>
  <c r="H9" i="5"/>
  <c r="E36" i="5" s="1"/>
  <c r="DK49" i="5" s="1"/>
  <c r="AM93" i="5"/>
  <c r="D41" i="5"/>
  <c r="H19" i="5"/>
  <c r="E41" i="5" s="1"/>
  <c r="DK54" i="5" s="1"/>
  <c r="BY46" i="5"/>
  <c r="M11" i="5"/>
  <c r="F37" i="5" s="1"/>
  <c r="F82" i="5"/>
  <c r="CI50" i="5"/>
  <c r="Y19" i="5"/>
  <c r="P41" i="5" s="1"/>
  <c r="AM95" i="5"/>
  <c r="CE54" i="5"/>
  <c r="AM96" i="5"/>
  <c r="CI51" i="5"/>
  <c r="Z21" i="5"/>
  <c r="Q42" i="5" s="1"/>
  <c r="W74" i="5"/>
  <c r="CE45" i="5"/>
  <c r="T9" i="5"/>
  <c r="M36" i="5" s="1"/>
  <c r="S9" i="5"/>
  <c r="L36" i="5" s="1"/>
  <c r="N11" i="5"/>
  <c r="G37" i="5" s="1"/>
  <c r="Y23" i="5"/>
  <c r="P43" i="5" s="1"/>
  <c r="Z23" i="5"/>
  <c r="Q43" i="5" s="1"/>
  <c r="AM97" i="5"/>
  <c r="CI53" i="5"/>
  <c r="DZ53" i="5"/>
  <c r="DJ52" i="5"/>
  <c r="AM94" i="5"/>
  <c r="CI49" i="5"/>
  <c r="Z17" i="5"/>
  <c r="Q40" i="5" s="1"/>
  <c r="Y17" i="5"/>
  <c r="P40" i="5" s="1"/>
  <c r="DZ51" i="5"/>
  <c r="F83" i="5"/>
  <c r="M13" i="5"/>
  <c r="F38" i="5" s="1"/>
  <c r="BY47" i="5"/>
  <c r="T17" i="5"/>
  <c r="M40" i="5" s="1"/>
  <c r="S17" i="5"/>
  <c r="L40" i="5" s="1"/>
  <c r="Y21" i="5"/>
  <c r="P42" i="5" s="1"/>
  <c r="CI55" i="5"/>
  <c r="CI44" i="5"/>
  <c r="Z7" i="5"/>
  <c r="Q35" i="5" s="1"/>
  <c r="AM89" i="5"/>
  <c r="AM90" i="5"/>
  <c r="Y9" i="5"/>
  <c r="P36" i="5" s="1"/>
  <c r="W79" i="5"/>
  <c r="E88" i="5"/>
  <c r="BX49" i="5"/>
  <c r="AL97" i="5"/>
  <c r="BV46" i="5"/>
  <c r="D82" i="5"/>
  <c r="DI50" i="5"/>
  <c r="DY49" i="5" s="1"/>
  <c r="S13" i="5"/>
  <c r="L38" i="5" s="1"/>
  <c r="H17" i="5"/>
  <c r="E40" i="5" s="1"/>
  <c r="DK53" i="5" s="1"/>
  <c r="BV53" i="5"/>
  <c r="W73" i="5"/>
  <c r="D80" i="5"/>
  <c r="DI48" i="5"/>
  <c r="DY47" i="5" s="1"/>
  <c r="BV44" i="5"/>
  <c r="BV51" i="5"/>
  <c r="D87" i="5"/>
  <c r="DZ54" i="5"/>
  <c r="D81" i="5"/>
  <c r="P3" i="5"/>
  <c r="DJ56" i="5"/>
  <c r="D35" i="5"/>
  <c r="D42" i="5"/>
  <c r="CE47" i="5"/>
  <c r="T13" i="5"/>
  <c r="M38" i="5" s="1"/>
  <c r="S7" i="5"/>
  <c r="L35" i="5" s="1"/>
  <c r="H15" i="5"/>
  <c r="E39" i="5" s="1"/>
  <c r="DK52" i="5" s="1"/>
  <c r="H23" i="5"/>
  <c r="E43" i="5" s="1"/>
  <c r="DK56" i="5" s="1"/>
  <c r="BX45" i="5"/>
  <c r="BV55" i="5"/>
  <c r="W76" i="5"/>
  <c r="BV52" i="5"/>
  <c r="BV54" i="5"/>
  <c r="D86" i="5"/>
  <c r="D85" i="5"/>
  <c r="J3" i="1"/>
  <c r="BC102" i="1"/>
  <c r="C48" i="1"/>
  <c r="AE13" i="1"/>
  <c r="AD13" i="1"/>
  <c r="AC13" i="1"/>
  <c r="BC112" i="1"/>
  <c r="BC107" i="1"/>
  <c r="BC97" i="1"/>
  <c r="AD38" i="3"/>
  <c r="AD39" i="3"/>
  <c r="AD40" i="3"/>
  <c r="AD41" i="3"/>
  <c r="AD42" i="3"/>
  <c r="AD43" i="3"/>
  <c r="AD44" i="3"/>
  <c r="AD45" i="3"/>
  <c r="AD37" i="3"/>
  <c r="AC13" i="3"/>
  <c r="AB13" i="3"/>
  <c r="AA13" i="3"/>
  <c r="F7" i="3"/>
  <c r="AF6" i="3"/>
  <c r="AF7" i="3" s="1"/>
  <c r="D111" i="3" s="1"/>
  <c r="BG47" i="3" a="1"/>
  <c r="BG47" i="3" s="1"/>
  <c r="BH48" i="3"/>
  <c r="BG49" i="3"/>
  <c r="AP47" i="3" a="1"/>
  <c r="AP48" i="3" s="1"/>
  <c r="S102" i="3" a="1"/>
  <c r="S103" i="3" s="1"/>
  <c r="S102" i="3"/>
  <c r="T102" i="3"/>
  <c r="T104" i="3"/>
  <c r="L107" i="3" a="1"/>
  <c r="L107" i="3" s="1"/>
  <c r="M108" i="3"/>
  <c r="L109" i="3"/>
  <c r="M109" i="3"/>
  <c r="L102" i="3" a="1"/>
  <c r="L102" i="3" s="1"/>
  <c r="M104" i="3"/>
  <c r="G13" i="1"/>
  <c r="P12" i="2"/>
  <c r="P10" i="2"/>
  <c r="D23" i="2"/>
  <c r="P9" i="2"/>
  <c r="P8" i="2"/>
  <c r="AC12" i="3"/>
  <c r="AB12" i="3"/>
  <c r="C102" i="3" a="1"/>
  <c r="C103" i="3" s="1"/>
  <c r="C107" i="3" a="1"/>
  <c r="C107" i="3" s="1"/>
  <c r="N10" i="3"/>
  <c r="E7" i="1"/>
  <c r="E9" i="1"/>
  <c r="C9" i="3"/>
  <c r="C11" i="3"/>
  <c r="C13" i="3"/>
  <c r="C15" i="3"/>
  <c r="C17" i="3"/>
  <c r="C19" i="3"/>
  <c r="C21" i="3"/>
  <c r="C23" i="3"/>
  <c r="C7" i="3"/>
  <c r="S114" i="3"/>
  <c r="M114" i="3"/>
  <c r="D114" i="3"/>
  <c r="H79" i="3"/>
  <c r="P79" i="3" s="1"/>
  <c r="Y79" i="3" s="1"/>
  <c r="AU49" i="3"/>
  <c r="C45" i="3"/>
  <c r="C44" i="3"/>
  <c r="H83" i="3" s="1"/>
  <c r="P83" i="3" s="1"/>
  <c r="Y83" i="3" s="1"/>
  <c r="C43" i="3"/>
  <c r="H82" i="3" s="1"/>
  <c r="P82" i="3" s="1"/>
  <c r="Y82" i="3" s="1"/>
  <c r="C42" i="3"/>
  <c r="H81" i="3" s="1"/>
  <c r="P81" i="3" s="1"/>
  <c r="Y81" i="3" s="1"/>
  <c r="C41" i="3"/>
  <c r="AC40" i="3"/>
  <c r="AL40" i="3" s="1"/>
  <c r="C40" i="3"/>
  <c r="C39" i="3"/>
  <c r="H78" i="3" s="1"/>
  <c r="P78" i="3" s="1"/>
  <c r="Y78" i="3" s="1"/>
  <c r="C38" i="3"/>
  <c r="H77" i="3" s="1"/>
  <c r="P77" i="3" s="1"/>
  <c r="Y77" i="3" s="1"/>
  <c r="D37" i="3"/>
  <c r="C37" i="3"/>
  <c r="T24" i="3"/>
  <c r="N24" i="3"/>
  <c r="H24" i="3"/>
  <c r="I23" i="3" s="1"/>
  <c r="V23" i="3"/>
  <c r="T23" i="3"/>
  <c r="P23" i="3"/>
  <c r="N23" i="3"/>
  <c r="J23" i="3"/>
  <c r="H23" i="3"/>
  <c r="E23" i="3"/>
  <c r="D45" i="3" s="1"/>
  <c r="T22" i="3"/>
  <c r="U21" i="3" s="1"/>
  <c r="Z83" i="3" s="1"/>
  <c r="N22" i="3"/>
  <c r="O21" i="3" s="1"/>
  <c r="R21" i="3" s="1"/>
  <c r="K44" i="3" s="1"/>
  <c r="H22" i="3"/>
  <c r="V21" i="3"/>
  <c r="T21" i="3"/>
  <c r="P21" i="3"/>
  <c r="N21" i="3"/>
  <c r="J21" i="3"/>
  <c r="H21" i="3"/>
  <c r="I21" i="3" s="1"/>
  <c r="E21" i="3"/>
  <c r="D44" i="3" s="1"/>
  <c r="T20" i="3"/>
  <c r="N20" i="3"/>
  <c r="H20" i="3"/>
  <c r="V19" i="3"/>
  <c r="T19" i="3"/>
  <c r="U19" i="3" s="1"/>
  <c r="P19" i="3"/>
  <c r="N19" i="3"/>
  <c r="J19" i="3"/>
  <c r="H19" i="3"/>
  <c r="I19" i="3" s="1"/>
  <c r="E19" i="3"/>
  <c r="D43" i="3" s="1"/>
  <c r="T18" i="3"/>
  <c r="N18" i="3"/>
  <c r="H18" i="3"/>
  <c r="V17" i="3"/>
  <c r="T17" i="3"/>
  <c r="P17" i="3"/>
  <c r="N17" i="3"/>
  <c r="O17" i="3" s="1"/>
  <c r="Q81" i="3" s="1"/>
  <c r="J17" i="3"/>
  <c r="H17" i="3"/>
  <c r="E17" i="3"/>
  <c r="F17" i="3" s="1"/>
  <c r="E42" i="3" s="1"/>
  <c r="AE42" i="3" s="1"/>
  <c r="T16" i="3"/>
  <c r="N16" i="3"/>
  <c r="H16" i="3"/>
  <c r="V15" i="3"/>
  <c r="T15" i="3"/>
  <c r="U15" i="3" s="1"/>
  <c r="P15" i="3"/>
  <c r="N15" i="3"/>
  <c r="J15" i="3"/>
  <c r="H15" i="3"/>
  <c r="E15" i="3"/>
  <c r="D41" i="3" s="1"/>
  <c r="T14" i="3"/>
  <c r="N14" i="3"/>
  <c r="H14" i="3"/>
  <c r="V13" i="3"/>
  <c r="T13" i="3"/>
  <c r="P13" i="3"/>
  <c r="N13" i="3"/>
  <c r="J13" i="3"/>
  <c r="H13" i="3"/>
  <c r="E13" i="3"/>
  <c r="D40" i="3" s="1"/>
  <c r="AA12" i="3"/>
  <c r="T12" i="3"/>
  <c r="N12" i="3"/>
  <c r="H12" i="3"/>
  <c r="V11" i="3"/>
  <c r="T11" i="3"/>
  <c r="U11" i="3" s="1"/>
  <c r="X11" i="3" s="1"/>
  <c r="O39" i="3" s="1"/>
  <c r="P11" i="3"/>
  <c r="N11" i="3"/>
  <c r="O11" i="3" s="1"/>
  <c r="J11" i="3"/>
  <c r="H11" i="3"/>
  <c r="I11" i="3" s="1"/>
  <c r="L11" i="3" s="1"/>
  <c r="G39" i="3" s="1"/>
  <c r="E11" i="3"/>
  <c r="D39" i="3" s="1"/>
  <c r="T10" i="3"/>
  <c r="H10" i="3"/>
  <c r="V9" i="3"/>
  <c r="T9" i="3"/>
  <c r="P9" i="3"/>
  <c r="N9" i="3"/>
  <c r="J9" i="3"/>
  <c r="H9" i="3"/>
  <c r="E9" i="3"/>
  <c r="D38" i="3" s="1"/>
  <c r="T8" i="3"/>
  <c r="U7" i="3" s="1"/>
  <c r="N8" i="3"/>
  <c r="H8" i="3"/>
  <c r="V7" i="3"/>
  <c r="T7" i="3"/>
  <c r="P7" i="3"/>
  <c r="N7" i="3"/>
  <c r="J7" i="3"/>
  <c r="H7" i="3"/>
  <c r="I7" i="3" s="1"/>
  <c r="E37" i="3"/>
  <c r="AE37" i="3" s="1"/>
  <c r="E7" i="3"/>
  <c r="E3" i="3"/>
  <c r="E11" i="1"/>
  <c r="E13" i="1"/>
  <c r="E15" i="1"/>
  <c r="E17" i="1"/>
  <c r="E19" i="1"/>
  <c r="E21" i="1"/>
  <c r="E23" i="1"/>
  <c r="E25" i="1"/>
  <c r="E27" i="1"/>
  <c r="E29" i="1"/>
  <c r="X7" i="1"/>
  <c r="BQ47" i="1" s="1"/>
  <c r="C38" i="1"/>
  <c r="B82" i="1" s="1"/>
  <c r="U83" i="1" s="1"/>
  <c r="C39" i="1"/>
  <c r="B83" i="1" s="1"/>
  <c r="U84" i="1" s="1"/>
  <c r="C40" i="1"/>
  <c r="C46" i="1"/>
  <c r="B90" i="1" s="1"/>
  <c r="U91" i="1" s="1"/>
  <c r="C47" i="1"/>
  <c r="B91" i="1" s="1"/>
  <c r="U92" i="1" s="1"/>
  <c r="B92" i="1"/>
  <c r="U93" i="1" s="1"/>
  <c r="C42" i="1"/>
  <c r="B86" i="1" s="1"/>
  <c r="U87" i="1" s="1"/>
  <c r="C43" i="1"/>
  <c r="B87" i="1" s="1"/>
  <c r="U88" i="1" s="1"/>
  <c r="C44" i="1"/>
  <c r="B88" i="1" s="1"/>
  <c r="U89" i="1" s="1"/>
  <c r="X9" i="1"/>
  <c r="BQ48" i="1" s="1"/>
  <c r="X11" i="1"/>
  <c r="BQ49" i="1" s="1"/>
  <c r="X13" i="1"/>
  <c r="BQ50" i="1" s="1"/>
  <c r="X15" i="1"/>
  <c r="BQ51" i="1" s="1"/>
  <c r="X17" i="1"/>
  <c r="BQ52" i="1" s="1"/>
  <c r="X19" i="1"/>
  <c r="BQ53" i="1" s="1"/>
  <c r="X21" i="1"/>
  <c r="BQ54" i="1" s="1"/>
  <c r="X23" i="1"/>
  <c r="BQ55" i="1" s="1"/>
  <c r="X25" i="1"/>
  <c r="BQ56" i="1" s="1"/>
  <c r="X27" i="1"/>
  <c r="BQ57" i="1" s="1"/>
  <c r="X29" i="1"/>
  <c r="BQ58" i="1" s="1"/>
  <c r="R9" i="1"/>
  <c r="BM48" i="1" s="1"/>
  <c r="R11" i="1"/>
  <c r="BM49" i="1" s="1"/>
  <c r="R13" i="1"/>
  <c r="BM50" i="1" s="1"/>
  <c r="R15" i="1"/>
  <c r="BM51" i="1" s="1"/>
  <c r="R17" i="1"/>
  <c r="BM52" i="1" s="1"/>
  <c r="R19" i="1"/>
  <c r="BM53" i="1" s="1"/>
  <c r="R21" i="1"/>
  <c r="BM54" i="1" s="1"/>
  <c r="R23" i="1"/>
  <c r="BM55" i="1" s="1"/>
  <c r="R25" i="1"/>
  <c r="BM56" i="1" s="1"/>
  <c r="R27" i="1"/>
  <c r="BM57" i="1" s="1"/>
  <c r="R29" i="1"/>
  <c r="BM58" i="1" s="1"/>
  <c r="R7" i="1"/>
  <c r="BM47" i="1" s="1"/>
  <c r="L9" i="1"/>
  <c r="BG48" i="1" s="1"/>
  <c r="L11" i="1"/>
  <c r="BG49" i="1" s="1"/>
  <c r="L13" i="1"/>
  <c r="BG50" i="1" s="1"/>
  <c r="L15" i="1"/>
  <c r="BG51" i="1" s="1"/>
  <c r="L17" i="1"/>
  <c r="BG52" i="1" s="1"/>
  <c r="L19" i="1"/>
  <c r="BG53" i="1" s="1"/>
  <c r="L21" i="1"/>
  <c r="BG54" i="1" s="1"/>
  <c r="L23" i="1"/>
  <c r="BG55" i="1" s="1"/>
  <c r="L25" i="1"/>
  <c r="BG56" i="1" s="1"/>
  <c r="L27" i="1"/>
  <c r="BG57" i="1" s="1"/>
  <c r="L29" i="1"/>
  <c r="BG58" i="1" s="1"/>
  <c r="L7" i="1"/>
  <c r="BG47" i="1" s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7" i="1"/>
  <c r="AE12" i="1"/>
  <c r="AC12" i="1"/>
  <c r="AD12" i="1"/>
  <c r="K11" i="2"/>
  <c r="G31" i="2"/>
  <c r="G30" i="2"/>
  <c r="I29" i="2" s="1"/>
  <c r="T24" i="2" s="1"/>
  <c r="G29" i="2"/>
  <c r="G28" i="2"/>
  <c r="G27" i="2"/>
  <c r="G26" i="2"/>
  <c r="G25" i="2"/>
  <c r="G24" i="2"/>
  <c r="G23" i="2"/>
  <c r="U11" i="2"/>
  <c r="T11" i="2"/>
  <c r="G21" i="2"/>
  <c r="G22" i="2"/>
  <c r="G20" i="2"/>
  <c r="J11" i="2"/>
  <c r="H11" i="2"/>
  <c r="G11" i="2"/>
  <c r="I11" i="2"/>
  <c r="L11" i="2"/>
  <c r="F11" i="2"/>
  <c r="E11" i="2"/>
  <c r="CY86" i="1"/>
  <c r="AB77" i="1"/>
  <c r="AB71" i="1"/>
  <c r="N70" i="1"/>
  <c r="C37" i="1"/>
  <c r="B81" i="1" s="1"/>
  <c r="C41" i="1"/>
  <c r="B85" i="1" s="1"/>
  <c r="C45" i="1"/>
  <c r="B89" i="1" s="1"/>
  <c r="U90" i="1" s="1"/>
  <c r="W11" i="1" l="1"/>
  <c r="BP49" i="1" s="1"/>
  <c r="B84" i="1"/>
  <c r="U85" i="1" s="1"/>
  <c r="AR79" i="1" s="1"/>
  <c r="AT90" i="5"/>
  <c r="AU90" i="5" s="1"/>
  <c r="AT95" i="5"/>
  <c r="AT92" i="5"/>
  <c r="AT93" i="5"/>
  <c r="AT91" i="5"/>
  <c r="AT94" i="5"/>
  <c r="AY54" i="5" a="1"/>
  <c r="AZ54" i="5" a="1"/>
  <c r="AH8" i="5"/>
  <c r="AH9" i="5" s="1"/>
  <c r="DL50" i="5"/>
  <c r="EA49" i="5" s="1"/>
  <c r="EB49" i="5" s="1"/>
  <c r="E111" i="5" a="1"/>
  <c r="DJ51" i="5"/>
  <c r="DL48" i="5"/>
  <c r="EA47" i="5" s="1"/>
  <c r="BX50" i="5"/>
  <c r="N57" i="5" a="1"/>
  <c r="N57" i="5" s="1"/>
  <c r="CE48" i="5"/>
  <c r="S21" i="5"/>
  <c r="L42" i="5" s="1"/>
  <c r="DN55" i="5" s="1"/>
  <c r="BW47" i="5"/>
  <c r="N9" i="5"/>
  <c r="G36" i="5" s="1"/>
  <c r="S11" i="5"/>
  <c r="L37" i="5" s="1"/>
  <c r="W68" i="5" s="1" a="1"/>
  <c r="Z15" i="5"/>
  <c r="Q39" i="5" s="1"/>
  <c r="W75" i="5"/>
  <c r="T11" i="5"/>
  <c r="M37" i="5" s="1"/>
  <c r="CI45" i="5"/>
  <c r="Z19" i="5"/>
  <c r="Q41" i="5" s="1"/>
  <c r="Y15" i="5"/>
  <c r="P39" i="5" s="1"/>
  <c r="AZ57" i="5" s="1" a="1"/>
  <c r="AY57" i="5" a="1"/>
  <c r="AS128" i="5"/>
  <c r="V77" i="5"/>
  <c r="W80" i="5"/>
  <c r="BW48" i="5"/>
  <c r="DL52" i="5"/>
  <c r="EA51" i="5" s="1"/>
  <c r="EB51" i="5" s="1"/>
  <c r="E84" i="5"/>
  <c r="S15" i="5"/>
  <c r="L39" i="5" s="1"/>
  <c r="DO52" i="5" s="1"/>
  <c r="W77" i="5"/>
  <c r="DM55" i="5"/>
  <c r="CE51" i="5"/>
  <c r="T15" i="5"/>
  <c r="M39" i="5" s="1"/>
  <c r="DM48" i="5"/>
  <c r="M19" i="5"/>
  <c r="F41" i="5" s="1"/>
  <c r="N19" i="5"/>
  <c r="G41" i="5" s="1"/>
  <c r="DM51" i="5"/>
  <c r="W78" i="5"/>
  <c r="X78" i="5" s="1"/>
  <c r="CI47" i="5"/>
  <c r="M9" i="5"/>
  <c r="F36" i="5" s="1"/>
  <c r="DO49" i="5" s="1"/>
  <c r="CE49" i="5"/>
  <c r="Y13" i="5"/>
  <c r="P38" i="5" s="1"/>
  <c r="BY52" i="5"/>
  <c r="DL55" i="5"/>
  <c r="EA54" i="5" s="1"/>
  <c r="EB54" i="5" s="1"/>
  <c r="DL49" i="5"/>
  <c r="EA48" i="5" s="1"/>
  <c r="EB48" i="5" s="1"/>
  <c r="DM49" i="5"/>
  <c r="CE46" i="5"/>
  <c r="AN95" i="5"/>
  <c r="DO48" i="5"/>
  <c r="G81" i="5"/>
  <c r="BX54" i="5"/>
  <c r="BW54" i="5"/>
  <c r="AN91" i="5"/>
  <c r="X75" i="5"/>
  <c r="BX53" i="5"/>
  <c r="BW53" i="5"/>
  <c r="G83" i="5"/>
  <c r="X74" i="5"/>
  <c r="G80" i="5"/>
  <c r="V76" i="5"/>
  <c r="AK92" i="5"/>
  <c r="X76" i="5"/>
  <c r="DZ49" i="5"/>
  <c r="X79" i="5"/>
  <c r="BZ105" i="5" a="1"/>
  <c r="G86" i="5"/>
  <c r="G84" i="5"/>
  <c r="G88" i="5"/>
  <c r="BW55" i="5"/>
  <c r="BX55" i="5"/>
  <c r="E87" i="5"/>
  <c r="U80" i="5"/>
  <c r="E82" i="5"/>
  <c r="U75" i="5"/>
  <c r="EB53" i="5"/>
  <c r="BX52" i="5"/>
  <c r="BW52" i="5"/>
  <c r="U74" i="5"/>
  <c r="E81" i="5"/>
  <c r="BX51" i="5"/>
  <c r="BW51" i="5"/>
  <c r="BX46" i="5"/>
  <c r="BW46" i="5"/>
  <c r="AN96" i="5"/>
  <c r="G82" i="5"/>
  <c r="AN93" i="5"/>
  <c r="DO53" i="5"/>
  <c r="DN53" i="5"/>
  <c r="BZ108" i="5" a="1"/>
  <c r="AN92" i="5"/>
  <c r="G85" i="5"/>
  <c r="E85" i="5"/>
  <c r="U78" i="5"/>
  <c r="BX44" i="5"/>
  <c r="BW44" i="5"/>
  <c r="AN90" i="5"/>
  <c r="DN50" i="5"/>
  <c r="DO50" i="5"/>
  <c r="X81" i="5"/>
  <c r="DZ47" i="5"/>
  <c r="AN89" i="5"/>
  <c r="AN97" i="5"/>
  <c r="DJ49" i="5"/>
  <c r="DO56" i="5"/>
  <c r="DN56" i="5"/>
  <c r="G87" i="5"/>
  <c r="X73" i="5"/>
  <c r="X80" i="5"/>
  <c r="E86" i="5"/>
  <c r="U79" i="5"/>
  <c r="DJ55" i="5"/>
  <c r="E80" i="5"/>
  <c r="U73" i="5"/>
  <c r="AN94" i="5"/>
  <c r="X77" i="5"/>
  <c r="DJ54" i="5"/>
  <c r="EB55" i="5"/>
  <c r="EB52" i="5"/>
  <c r="AR85" i="1"/>
  <c r="AR78" i="1"/>
  <c r="AR77" i="1"/>
  <c r="AR84" i="1"/>
  <c r="AR83" i="1"/>
  <c r="AR82" i="1"/>
  <c r="AR81" i="1"/>
  <c r="AR87" i="1"/>
  <c r="AR86" i="1"/>
  <c r="K82" i="1" a="1"/>
  <c r="K82" i="1" s="1"/>
  <c r="U86" i="1"/>
  <c r="K85" i="1" a="1"/>
  <c r="W15" i="1"/>
  <c r="BP51" i="1" s="1"/>
  <c r="AD15" i="1"/>
  <c r="AD16" i="1" s="1"/>
  <c r="BC54" i="1"/>
  <c r="BD54" i="1" s="1"/>
  <c r="BC52" i="1"/>
  <c r="BD52" i="1" s="1"/>
  <c r="BC55" i="1"/>
  <c r="BD55" i="1" s="1"/>
  <c r="BC53" i="1"/>
  <c r="BD53" i="1" s="1"/>
  <c r="BC51" i="1"/>
  <c r="BD51" i="1" s="1"/>
  <c r="BC50" i="1"/>
  <c r="BD50" i="1" s="1"/>
  <c r="BC49" i="1"/>
  <c r="BD49" i="1" s="1"/>
  <c r="BC48" i="1"/>
  <c r="BD48" i="1" s="1"/>
  <c r="BC47" i="1"/>
  <c r="BD47" i="1" s="1"/>
  <c r="BC58" i="1"/>
  <c r="BC57" i="1"/>
  <c r="W23" i="1"/>
  <c r="BP55" i="1" s="1"/>
  <c r="BC56" i="1"/>
  <c r="BD56" i="1" s="1"/>
  <c r="P3" i="1"/>
  <c r="AD17" i="1" s="1"/>
  <c r="AQ47" i="3"/>
  <c r="AP47" i="3"/>
  <c r="AQ49" i="3"/>
  <c r="BH49" i="3"/>
  <c r="BG48" i="3"/>
  <c r="BH47" i="3"/>
  <c r="AP49" i="3"/>
  <c r="AQ48" i="3"/>
  <c r="S104" i="3"/>
  <c r="T103" i="3"/>
  <c r="L108" i="3"/>
  <c r="M107" i="3"/>
  <c r="L104" i="3"/>
  <c r="M103" i="3"/>
  <c r="L103" i="3"/>
  <c r="M102" i="3"/>
  <c r="H29" i="2"/>
  <c r="S24" i="2" s="1"/>
  <c r="X24" i="2" s="1"/>
  <c r="H26" i="2"/>
  <c r="S23" i="2" s="1"/>
  <c r="X23" i="2" s="1"/>
  <c r="I26" i="2"/>
  <c r="T23" i="2" s="1"/>
  <c r="H23" i="2"/>
  <c r="J23" i="2" s="1"/>
  <c r="U22" i="2" s="1"/>
  <c r="I23" i="2"/>
  <c r="T22" i="2" s="1"/>
  <c r="H20" i="2"/>
  <c r="S21" i="2" s="1"/>
  <c r="X21" i="2" s="1"/>
  <c r="I20" i="2"/>
  <c r="T21" i="2" s="1"/>
  <c r="N3" i="3"/>
  <c r="AF8" i="3" s="1"/>
  <c r="AF9" i="3" s="1"/>
  <c r="D102" i="3"/>
  <c r="C104" i="3"/>
  <c r="C102" i="3"/>
  <c r="D104" i="3"/>
  <c r="D103" i="3"/>
  <c r="D109" i="3"/>
  <c r="C109" i="3"/>
  <c r="D108" i="3"/>
  <c r="C108" i="3"/>
  <c r="D107" i="3"/>
  <c r="U23" i="3"/>
  <c r="W23" i="3" s="1"/>
  <c r="N45" i="3" s="1"/>
  <c r="O23" i="3"/>
  <c r="R23" i="3" s="1"/>
  <c r="K45" i="3" s="1"/>
  <c r="AG44" i="3"/>
  <c r="AC44" i="3"/>
  <c r="AL44" i="3" s="1"/>
  <c r="O19" i="3"/>
  <c r="U17" i="3"/>
  <c r="Z81" i="3" s="1"/>
  <c r="I17" i="3"/>
  <c r="I81" i="3" s="1"/>
  <c r="D42" i="3"/>
  <c r="O15" i="3"/>
  <c r="Q15" i="3" s="1"/>
  <c r="J41" i="3" s="1"/>
  <c r="U13" i="3"/>
  <c r="Z79" i="3"/>
  <c r="X13" i="3"/>
  <c r="O40" i="3" s="1"/>
  <c r="O13" i="3"/>
  <c r="R13" i="3" s="1"/>
  <c r="K40" i="3" s="1"/>
  <c r="I13" i="3"/>
  <c r="F13" i="3"/>
  <c r="E40" i="3" s="1"/>
  <c r="AE40" i="3" s="1"/>
  <c r="O9" i="3"/>
  <c r="Q77" i="3" s="1"/>
  <c r="I9" i="3"/>
  <c r="U9" i="3"/>
  <c r="W9" i="3" s="1"/>
  <c r="N38" i="3" s="1"/>
  <c r="AC39" i="3"/>
  <c r="AL39" i="3" s="1"/>
  <c r="W15" i="3"/>
  <c r="N41" i="3" s="1"/>
  <c r="Z80" i="3"/>
  <c r="X15" i="3"/>
  <c r="O41" i="3" s="1"/>
  <c r="X19" i="3"/>
  <c r="O43" i="3" s="1"/>
  <c r="W19" i="3"/>
  <c r="N43" i="3" s="1"/>
  <c r="Z82" i="3"/>
  <c r="L7" i="3"/>
  <c r="G37" i="3" s="1"/>
  <c r="I76" i="3"/>
  <c r="K7" i="3"/>
  <c r="F37" i="3" s="1"/>
  <c r="X7" i="3"/>
  <c r="O37" i="3" s="1"/>
  <c r="W7" i="3"/>
  <c r="N37" i="3" s="1"/>
  <c r="Z76" i="3"/>
  <c r="K19" i="3"/>
  <c r="F43" i="3" s="1"/>
  <c r="I82" i="3"/>
  <c r="L19" i="3"/>
  <c r="G43" i="3" s="1"/>
  <c r="L23" i="3"/>
  <c r="G45" i="3" s="1"/>
  <c r="I84" i="3"/>
  <c r="K23" i="3"/>
  <c r="F45" i="3" s="1"/>
  <c r="K9" i="3"/>
  <c r="F38" i="3" s="1"/>
  <c r="L9" i="3"/>
  <c r="G38" i="3" s="1"/>
  <c r="Q79" i="3"/>
  <c r="R11" i="3"/>
  <c r="K39" i="3" s="1"/>
  <c r="Q78" i="3"/>
  <c r="Q11" i="3"/>
  <c r="J39" i="3" s="1"/>
  <c r="H76" i="3"/>
  <c r="AC37" i="3"/>
  <c r="AL37" i="3" s="1"/>
  <c r="AF44" i="3"/>
  <c r="AM44" i="3" s="1"/>
  <c r="Q83" i="3"/>
  <c r="O7" i="3"/>
  <c r="F11" i="3"/>
  <c r="E39" i="3" s="1"/>
  <c r="AE39" i="3" s="1"/>
  <c r="K13" i="3"/>
  <c r="F40" i="3" s="1"/>
  <c r="W13" i="3"/>
  <c r="N40" i="3" s="1"/>
  <c r="F21" i="3"/>
  <c r="E44" i="3" s="1"/>
  <c r="AE44" i="3" s="1"/>
  <c r="Q21" i="3"/>
  <c r="J44" i="3" s="1"/>
  <c r="AC43" i="3"/>
  <c r="AL43" i="3" s="1"/>
  <c r="F15" i="3"/>
  <c r="E41" i="3" s="1"/>
  <c r="AE41" i="3" s="1"/>
  <c r="K11" i="3"/>
  <c r="F39" i="3" s="1"/>
  <c r="W11" i="3"/>
  <c r="N39" i="3" s="1"/>
  <c r="I15" i="3"/>
  <c r="Q17" i="3"/>
  <c r="J42" i="3" s="1"/>
  <c r="K21" i="3"/>
  <c r="F44" i="3" s="1"/>
  <c r="F23" i="3"/>
  <c r="E45" i="3" s="1"/>
  <c r="AE45" i="3" s="1"/>
  <c r="Z78" i="3"/>
  <c r="I78" i="3"/>
  <c r="R17" i="3"/>
  <c r="K42" i="3" s="1"/>
  <c r="L21" i="3"/>
  <c r="G44" i="3" s="1"/>
  <c r="W21" i="3"/>
  <c r="N44" i="3" s="1"/>
  <c r="AC42" i="3"/>
  <c r="AL42" i="3" s="1"/>
  <c r="H84" i="3"/>
  <c r="P84" i="3" s="1"/>
  <c r="Y84" i="3" s="1"/>
  <c r="AC45" i="3"/>
  <c r="AL45" i="3" s="1"/>
  <c r="I83" i="3"/>
  <c r="F9" i="3"/>
  <c r="E38" i="3" s="1"/>
  <c r="AE38" i="3" s="1"/>
  <c r="F19" i="3"/>
  <c r="E43" i="3" s="1"/>
  <c r="AE43" i="3" s="1"/>
  <c r="X21" i="3"/>
  <c r="O44" i="3" s="1"/>
  <c r="AC38" i="3"/>
  <c r="AL38" i="3" s="1"/>
  <c r="H80" i="3"/>
  <c r="P80" i="3" s="1"/>
  <c r="Y80" i="3" s="1"/>
  <c r="AC41" i="3"/>
  <c r="AL41" i="3" s="1"/>
  <c r="AG39" i="3"/>
  <c r="AF39" i="3"/>
  <c r="AM39" i="3" s="1"/>
  <c r="W17" i="3"/>
  <c r="N42" i="3" s="1"/>
  <c r="Q5" i="2"/>
  <c r="Q6" i="2"/>
  <c r="Q8" i="2"/>
  <c r="Q7" i="2"/>
  <c r="P7" i="2"/>
  <c r="P6" i="2"/>
  <c r="P5" i="2"/>
  <c r="W7" i="1"/>
  <c r="Z7" i="1" s="1"/>
  <c r="Q21" i="1"/>
  <c r="W89" i="1" s="1"/>
  <c r="X89" i="1" s="1"/>
  <c r="Q9" i="1"/>
  <c r="W83" i="1" s="1"/>
  <c r="X83" i="1" s="1"/>
  <c r="Q7" i="1"/>
  <c r="W82" i="1" s="1"/>
  <c r="X82" i="1" s="1"/>
  <c r="W25" i="1"/>
  <c r="Q13" i="1"/>
  <c r="W85" i="1" s="1"/>
  <c r="X85" i="1" s="1"/>
  <c r="CP59" i="1"/>
  <c r="DF58" i="1" s="1"/>
  <c r="CP58" i="1"/>
  <c r="DF57" i="1" s="1"/>
  <c r="CP57" i="1"/>
  <c r="DF56" i="1" s="1"/>
  <c r="CP55" i="1"/>
  <c r="DF54" i="1" s="1"/>
  <c r="W13" i="1"/>
  <c r="CP54" i="1"/>
  <c r="DF53" i="1" s="1"/>
  <c r="CP61" i="1"/>
  <c r="DF60" i="1" s="1"/>
  <c r="W19" i="1"/>
  <c r="CP60" i="1"/>
  <c r="DF59" i="1" s="1"/>
  <c r="CP51" i="1"/>
  <c r="DF50" i="1" s="1"/>
  <c r="CP53" i="1"/>
  <c r="DF52" i="1" s="1"/>
  <c r="CP56" i="1"/>
  <c r="DF55" i="1" s="1"/>
  <c r="CP52" i="1"/>
  <c r="DF51" i="1" s="1"/>
  <c r="CP62" i="1"/>
  <c r="DF61" i="1" s="1"/>
  <c r="Q17" i="1"/>
  <c r="W29" i="1"/>
  <c r="Q19" i="1"/>
  <c r="W88" i="1" s="1"/>
  <c r="X88" i="1" s="1"/>
  <c r="Q25" i="1"/>
  <c r="W27" i="1"/>
  <c r="Q27" i="1"/>
  <c r="W9" i="1"/>
  <c r="W17" i="1"/>
  <c r="Q23" i="1"/>
  <c r="W21" i="1"/>
  <c r="Q29" i="1"/>
  <c r="Q15" i="1"/>
  <c r="Q11" i="1"/>
  <c r="W84" i="1" s="1"/>
  <c r="X84" i="1" s="1"/>
  <c r="U82" i="1"/>
  <c r="K23" i="1"/>
  <c r="BF55" i="1" s="1"/>
  <c r="K19" i="1"/>
  <c r="K25" i="1"/>
  <c r="K27" i="1"/>
  <c r="BF57" i="1" s="1"/>
  <c r="K15" i="1"/>
  <c r="BF51" i="1" s="1"/>
  <c r="K29" i="1"/>
  <c r="BF58" i="1" s="1"/>
  <c r="K21" i="1"/>
  <c r="BF54" i="1" s="1"/>
  <c r="K17" i="1"/>
  <c r="BF52" i="1" s="1"/>
  <c r="K11" i="1"/>
  <c r="BF49" i="1" s="1"/>
  <c r="K7" i="1"/>
  <c r="K9" i="1"/>
  <c r="BF48" i="1" s="1"/>
  <c r="K13" i="1"/>
  <c r="BF50" i="1" s="1"/>
  <c r="AT78" i="1" l="1"/>
  <c r="AU78" i="1" s="1"/>
  <c r="Y11" i="1"/>
  <c r="P39" i="1" s="1"/>
  <c r="Z11" i="1"/>
  <c r="Q39" i="1" s="1"/>
  <c r="DN48" i="5"/>
  <c r="DM81" i="5" s="1" a="1"/>
  <c r="W68" i="5"/>
  <c r="X69" i="5"/>
  <c r="W69" i="5"/>
  <c r="X68" i="5"/>
  <c r="N35" i="5" s="1"/>
  <c r="X70" i="5"/>
  <c r="W70" i="5"/>
  <c r="V106" i="5" a="1"/>
  <c r="DN52" i="5"/>
  <c r="DO55" i="5"/>
  <c r="O51" i="5" a="1"/>
  <c r="O51" i="5" s="1"/>
  <c r="I67" i="5" s="1" a="1"/>
  <c r="AL68" i="5" a="1"/>
  <c r="DN49" i="5"/>
  <c r="D67" i="5" a="1"/>
  <c r="AY54" i="5"/>
  <c r="AY57" i="5"/>
  <c r="AZ54" i="5"/>
  <c r="AZ57" i="5"/>
  <c r="F111" i="5"/>
  <c r="F113" i="5"/>
  <c r="E111" i="5"/>
  <c r="E113" i="5"/>
  <c r="F112" i="5"/>
  <c r="E112" i="5"/>
  <c r="EF77" i="5"/>
  <c r="BY108" i="5" a="1"/>
  <c r="BY108" i="5" s="1"/>
  <c r="V80" i="5"/>
  <c r="AK96" i="5"/>
  <c r="AL92" i="5"/>
  <c r="BZ108" i="5"/>
  <c r="AK90" i="5"/>
  <c r="V74" i="5"/>
  <c r="V79" i="5"/>
  <c r="AK95" i="5"/>
  <c r="BY105" i="5" a="1"/>
  <c r="BT93" i="5" a="1"/>
  <c r="CL93" i="5" a="1"/>
  <c r="CE93" i="5" a="1"/>
  <c r="EB47" i="5"/>
  <c r="V73" i="5"/>
  <c r="AK89" i="5"/>
  <c r="V78" i="5"/>
  <c r="AK94" i="5"/>
  <c r="BZ105" i="5"/>
  <c r="V75" i="5"/>
  <c r="AK91" i="5"/>
  <c r="AR80" i="1"/>
  <c r="Y15" i="1"/>
  <c r="P41" i="1" s="1"/>
  <c r="AT80" i="1"/>
  <c r="AU80" i="1" s="1"/>
  <c r="Z15" i="1"/>
  <c r="Q41" i="1" s="1"/>
  <c r="BL56" i="1"/>
  <c r="W91" i="1"/>
  <c r="X91" i="1" s="1"/>
  <c r="BL58" i="1"/>
  <c r="W93" i="1"/>
  <c r="X93" i="1" s="1"/>
  <c r="BL52" i="1"/>
  <c r="W87" i="1"/>
  <c r="X87" i="1" s="1"/>
  <c r="BL55" i="1"/>
  <c r="W90" i="1"/>
  <c r="X90" i="1" s="1"/>
  <c r="BL51" i="1"/>
  <c r="W86" i="1"/>
  <c r="X86" i="1" s="1"/>
  <c r="BF56" i="1"/>
  <c r="D90" i="1"/>
  <c r="E90" i="1" s="1"/>
  <c r="BL57" i="1"/>
  <c r="W92" i="1"/>
  <c r="X92" i="1" s="1"/>
  <c r="K85" i="1"/>
  <c r="BK110" i="1" a="1"/>
  <c r="BK110" i="1" s="1"/>
  <c r="CS54" i="1"/>
  <c r="DH53" i="1" s="1"/>
  <c r="CT54" i="1"/>
  <c r="BF47" i="1"/>
  <c r="CS51" i="1"/>
  <c r="CU51" i="1" s="1"/>
  <c r="AT84" i="1"/>
  <c r="AU84" i="1" s="1"/>
  <c r="Z23" i="1"/>
  <c r="Q45" i="1" s="1"/>
  <c r="Y23" i="1"/>
  <c r="P45" i="1" s="1"/>
  <c r="Y9" i="1"/>
  <c r="P38" i="1" s="1"/>
  <c r="BP48" i="1"/>
  <c r="S13" i="1"/>
  <c r="L40" i="1" s="1"/>
  <c r="BL50" i="1"/>
  <c r="Y13" i="1"/>
  <c r="P40" i="1" s="1"/>
  <c r="BP50" i="1"/>
  <c r="T7" i="1"/>
  <c r="M37" i="1" s="1"/>
  <c r="BL47" i="1"/>
  <c r="BD57" i="1"/>
  <c r="T9" i="1"/>
  <c r="M38" i="1" s="1"/>
  <c r="BL48" i="1"/>
  <c r="Y17" i="1"/>
  <c r="P42" i="1" s="1"/>
  <c r="BP52" i="1"/>
  <c r="Y19" i="1"/>
  <c r="P43" i="1" s="1"/>
  <c r="BP53" i="1"/>
  <c r="T21" i="1"/>
  <c r="M44" i="1" s="1"/>
  <c r="BL54" i="1"/>
  <c r="BD58" i="1"/>
  <c r="N19" i="1"/>
  <c r="G43" i="1" s="1"/>
  <c r="BF53" i="1"/>
  <c r="Y25" i="1"/>
  <c r="P46" i="1" s="1"/>
  <c r="BP56" i="1"/>
  <c r="AT86" i="1"/>
  <c r="AU86" i="1" s="1"/>
  <c r="BP57" i="1"/>
  <c r="BL53" i="1"/>
  <c r="AT76" i="1"/>
  <c r="AU76" i="1" s="1"/>
  <c r="BP47" i="1"/>
  <c r="Y21" i="1"/>
  <c r="P44" i="1" s="1"/>
  <c r="BP54" i="1"/>
  <c r="S11" i="1"/>
  <c r="L39" i="1" s="1"/>
  <c r="BL49" i="1"/>
  <c r="Z29" i="1"/>
  <c r="Q48" i="1" s="1"/>
  <c r="BP58" i="1"/>
  <c r="Z25" i="1"/>
  <c r="Q46" i="1" s="1"/>
  <c r="AT85" i="1"/>
  <c r="AU85" i="1" s="1"/>
  <c r="J29" i="2"/>
  <c r="U24" i="2" s="1"/>
  <c r="K29" i="2"/>
  <c r="V24" i="2" s="1"/>
  <c r="J26" i="2"/>
  <c r="U23" i="2" s="1"/>
  <c r="K26" i="2"/>
  <c r="V23" i="2" s="1"/>
  <c r="P32" i="2" a="1"/>
  <c r="P32" i="2" s="1"/>
  <c r="Z65" i="2" s="1"/>
  <c r="S22" i="2"/>
  <c r="X22" i="2" s="1"/>
  <c r="K23" i="2"/>
  <c r="V22" i="2" s="1"/>
  <c r="J20" i="2"/>
  <c r="U21" i="2" s="1"/>
  <c r="K20" i="2"/>
  <c r="V21" i="2" s="1"/>
  <c r="Z84" i="3"/>
  <c r="AF45" i="3"/>
  <c r="AM45" i="3" s="1"/>
  <c r="X23" i="3"/>
  <c r="O45" i="3" s="1"/>
  <c r="AG45" i="3"/>
  <c r="Q23" i="3"/>
  <c r="J45" i="3" s="1"/>
  <c r="AH45" i="3" s="1"/>
  <c r="Q84" i="3"/>
  <c r="Q82" i="3"/>
  <c r="R19" i="3"/>
  <c r="K43" i="3" s="1"/>
  <c r="AG43" i="3"/>
  <c r="AF43" i="3"/>
  <c r="AM43" i="3" s="1"/>
  <c r="Q19" i="3"/>
  <c r="J43" i="3" s="1"/>
  <c r="X17" i="3"/>
  <c r="O42" i="3" s="1"/>
  <c r="AG42" i="3"/>
  <c r="AF42" i="3"/>
  <c r="AM42" i="3" s="1"/>
  <c r="K17" i="3"/>
  <c r="F42" i="3" s="1"/>
  <c r="AI42" i="3" s="1"/>
  <c r="L17" i="3"/>
  <c r="G42" i="3" s="1"/>
  <c r="R15" i="3"/>
  <c r="K41" i="3" s="1"/>
  <c r="Q80" i="3"/>
  <c r="AF40" i="3"/>
  <c r="AM40" i="3" s="1"/>
  <c r="Q13" i="3"/>
  <c r="J40" i="3" s="1"/>
  <c r="AG40" i="3"/>
  <c r="L13" i="3"/>
  <c r="G40" i="3" s="1"/>
  <c r="I79" i="3"/>
  <c r="AF38" i="3"/>
  <c r="AM38" i="3" s="1"/>
  <c r="X9" i="3"/>
  <c r="O38" i="3" s="1"/>
  <c r="Z77" i="3"/>
  <c r="R9" i="3"/>
  <c r="K38" i="3" s="1"/>
  <c r="Q9" i="3"/>
  <c r="J38" i="3" s="1"/>
  <c r="AH38" i="3" s="1"/>
  <c r="AG38" i="3"/>
  <c r="I77" i="3"/>
  <c r="AI44" i="3"/>
  <c r="AH44" i="3"/>
  <c r="AH40" i="3"/>
  <c r="AI40" i="3"/>
  <c r="P76" i="3"/>
  <c r="L15" i="3"/>
  <c r="G41" i="3" s="1"/>
  <c r="K15" i="3"/>
  <c r="F41" i="3" s="1"/>
  <c r="AG41" i="3"/>
  <c r="AF41" i="3"/>
  <c r="AM41" i="3" s="1"/>
  <c r="I80" i="3"/>
  <c r="Q7" i="3"/>
  <c r="J37" i="3" s="1"/>
  <c r="AI37" i="3" s="1"/>
  <c r="R7" i="3"/>
  <c r="K37" i="3" s="1"/>
  <c r="Q76" i="3"/>
  <c r="AF37" i="3"/>
  <c r="AM37" i="3" s="1"/>
  <c r="AI43" i="3"/>
  <c r="AH43" i="3"/>
  <c r="AI39" i="3"/>
  <c r="AH39" i="3"/>
  <c r="AG37" i="3"/>
  <c r="S9" i="1"/>
  <c r="L38" i="1" s="1"/>
  <c r="Y7" i="1"/>
  <c r="P37" i="1" s="1"/>
  <c r="Q37" i="1"/>
  <c r="S21" i="1"/>
  <c r="L44" i="1" s="1"/>
  <c r="Q11" i="2"/>
  <c r="R23" i="2" s="1"/>
  <c r="Q9" i="2"/>
  <c r="R21" i="2" s="1"/>
  <c r="Q12" i="2"/>
  <c r="R24" i="2" s="1"/>
  <c r="Q10" i="2"/>
  <c r="R22" i="2" s="1"/>
  <c r="P11" i="2"/>
  <c r="D26" i="2" s="1"/>
  <c r="Q23" i="2" s="1"/>
  <c r="D29" i="2"/>
  <c r="Q24" i="2" s="1"/>
  <c r="Q22" i="2"/>
  <c r="D20" i="2"/>
  <c r="Q21" i="2" s="1"/>
  <c r="Z9" i="1"/>
  <c r="Q38" i="1" s="1"/>
  <c r="T13" i="1"/>
  <c r="M40" i="1" s="1"/>
  <c r="S29" i="1"/>
  <c r="L48" i="1" s="1"/>
  <c r="CT62" i="1"/>
  <c r="CS62" i="1"/>
  <c r="DH61" i="1" s="1"/>
  <c r="T27" i="1"/>
  <c r="M47" i="1" s="1"/>
  <c r="CT61" i="1"/>
  <c r="CS61" i="1"/>
  <c r="DH60" i="1" s="1"/>
  <c r="T15" i="1"/>
  <c r="M41" i="1" s="1"/>
  <c r="CT55" i="1"/>
  <c r="CS55" i="1"/>
  <c r="DH54" i="1" s="1"/>
  <c r="CS59" i="1"/>
  <c r="DH58" i="1" s="1"/>
  <c r="CT59" i="1"/>
  <c r="CT53" i="1"/>
  <c r="CS53" i="1"/>
  <c r="DH52" i="1" s="1"/>
  <c r="S17" i="1"/>
  <c r="L42" i="1" s="1"/>
  <c r="CT56" i="1"/>
  <c r="CS56" i="1"/>
  <c r="DH55" i="1" s="1"/>
  <c r="T25" i="1"/>
  <c r="M46" i="1" s="1"/>
  <c r="CT60" i="1"/>
  <c r="CS60" i="1"/>
  <c r="DH59" i="1" s="1"/>
  <c r="T19" i="1"/>
  <c r="M43" i="1" s="1"/>
  <c r="CT57" i="1"/>
  <c r="CS57" i="1"/>
  <c r="DH56" i="1" s="1"/>
  <c r="CT52" i="1"/>
  <c r="CS52" i="1"/>
  <c r="DH51" i="1" s="1"/>
  <c r="CT51" i="1"/>
  <c r="S7" i="1"/>
  <c r="L37" i="1" s="1"/>
  <c r="CT58" i="1"/>
  <c r="CS58" i="1"/>
  <c r="DH57" i="1" s="1"/>
  <c r="AT77" i="1"/>
  <c r="AU77" i="1" s="1"/>
  <c r="AT79" i="1"/>
  <c r="AU79" i="1" s="1"/>
  <c r="Z21" i="1"/>
  <c r="Q44" i="1" s="1"/>
  <c r="AT83" i="1"/>
  <c r="AU83" i="1" s="1"/>
  <c r="Z13" i="1"/>
  <c r="Q40" i="1" s="1"/>
  <c r="S23" i="1"/>
  <c r="L45" i="1" s="1"/>
  <c r="T23" i="1"/>
  <c r="M45" i="1" s="1"/>
  <c r="Z19" i="1"/>
  <c r="Q43" i="1" s="1"/>
  <c r="AT82" i="1"/>
  <c r="AU82" i="1" s="1"/>
  <c r="Y29" i="1"/>
  <c r="P48" i="1" s="1"/>
  <c r="S25" i="1"/>
  <c r="L46" i="1" s="1"/>
  <c r="S19" i="1"/>
  <c r="L43" i="1" s="1"/>
  <c r="AT87" i="1"/>
  <c r="AU87" i="1" s="1"/>
  <c r="T17" i="1"/>
  <c r="M42" i="1" s="1"/>
  <c r="T11" i="1"/>
  <c r="M39" i="1" s="1"/>
  <c r="T29" i="1"/>
  <c r="M48" i="1" s="1"/>
  <c r="S15" i="1"/>
  <c r="L41" i="1" s="1"/>
  <c r="Z17" i="1"/>
  <c r="Q42" i="1" s="1"/>
  <c r="AT81" i="1"/>
  <c r="AU81" i="1" s="1"/>
  <c r="S27" i="1"/>
  <c r="L47" i="1" s="1"/>
  <c r="Z27" i="1"/>
  <c r="Q47" i="1" s="1"/>
  <c r="Y27" i="1"/>
  <c r="P47" i="1" s="1"/>
  <c r="AR76" i="1"/>
  <c r="M25" i="1"/>
  <c r="F46" i="1" s="1"/>
  <c r="M9" i="1"/>
  <c r="F38" i="1" s="1"/>
  <c r="D82" i="1"/>
  <c r="E82" i="1" s="1"/>
  <c r="M19" i="1"/>
  <c r="F43" i="1" s="1"/>
  <c r="D87" i="1"/>
  <c r="E87" i="1" s="1"/>
  <c r="M23" i="1"/>
  <c r="F45" i="1" s="1"/>
  <c r="D89" i="1"/>
  <c r="E89" i="1" s="1"/>
  <c r="N15" i="1"/>
  <c r="G41" i="1" s="1"/>
  <c r="D85" i="1"/>
  <c r="N13" i="1"/>
  <c r="G40" i="1" s="1"/>
  <c r="D84" i="1"/>
  <c r="E84" i="1" s="1"/>
  <c r="M7" i="1"/>
  <c r="F37" i="1" s="1"/>
  <c r="D81" i="1"/>
  <c r="N11" i="1"/>
  <c r="G39" i="1" s="1"/>
  <c r="D83" i="1"/>
  <c r="E83" i="1" s="1"/>
  <c r="N17" i="1"/>
  <c r="G42" i="1" s="1"/>
  <c r="D86" i="1"/>
  <c r="E86" i="1" s="1"/>
  <c r="M21" i="1"/>
  <c r="F44" i="1" s="1"/>
  <c r="D88" i="1"/>
  <c r="E88" i="1" s="1"/>
  <c r="M29" i="1"/>
  <c r="F48" i="1" s="1"/>
  <c r="D92" i="1"/>
  <c r="E92" i="1" s="1"/>
  <c r="M27" i="1"/>
  <c r="F47" i="1" s="1"/>
  <c r="D91" i="1"/>
  <c r="E91" i="1" s="1"/>
  <c r="N23" i="1"/>
  <c r="G45" i="1" s="1"/>
  <c r="N25" i="1"/>
  <c r="G46" i="1" s="1"/>
  <c r="M17" i="1"/>
  <c r="F42" i="1" s="1"/>
  <c r="M15" i="1"/>
  <c r="F41" i="1" s="1"/>
  <c r="M11" i="1"/>
  <c r="F39" i="1" s="1"/>
  <c r="N7" i="1"/>
  <c r="G37" i="1" s="1"/>
  <c r="N21" i="1"/>
  <c r="G44" i="1" s="1"/>
  <c r="N29" i="1"/>
  <c r="G48" i="1" s="1"/>
  <c r="N27" i="1"/>
  <c r="G47" i="1" s="1"/>
  <c r="M13" i="1"/>
  <c r="F40" i="1" s="1"/>
  <c r="N9" i="1"/>
  <c r="G38" i="1" s="1"/>
  <c r="DM81" i="5" l="1"/>
  <c r="DN82" i="5"/>
  <c r="DM82" i="5"/>
  <c r="DM83" i="5"/>
  <c r="DN81" i="5"/>
  <c r="DN83" i="5"/>
  <c r="DH50" i="1"/>
  <c r="DI50" i="1" s="1"/>
  <c r="BF95" i="1" a="1"/>
  <c r="BG97" i="1" s="1"/>
  <c r="DI54" i="1"/>
  <c r="DI55" i="1"/>
  <c r="DI53" i="1"/>
  <c r="DI51" i="1"/>
  <c r="DI56" i="1"/>
  <c r="DI60" i="1"/>
  <c r="DI52" i="1"/>
  <c r="DI59" i="1"/>
  <c r="DI61" i="1"/>
  <c r="DI57" i="1"/>
  <c r="DI58" i="1"/>
  <c r="EC50" i="5"/>
  <c r="ED50" i="5" s="1"/>
  <c r="EC47" i="5"/>
  <c r="ED47" i="5" s="1"/>
  <c r="EC49" i="5"/>
  <c r="ED49" i="5" s="1"/>
  <c r="I69" i="5"/>
  <c r="I67" i="5"/>
  <c r="I68" i="5"/>
  <c r="J69" i="5"/>
  <c r="J68" i="5"/>
  <c r="J67" i="5"/>
  <c r="V106" i="5"/>
  <c r="V107" i="5"/>
  <c r="W106" i="5"/>
  <c r="W108" i="5"/>
  <c r="V108" i="5"/>
  <c r="W107" i="5"/>
  <c r="AL68" i="5"/>
  <c r="AM70" i="5"/>
  <c r="AM69" i="5"/>
  <c r="AL69" i="5"/>
  <c r="AM74" i="5" s="1"/>
  <c r="AM68" i="5"/>
  <c r="R37" i="5" s="1"/>
  <c r="AL70" i="5"/>
  <c r="H86" i="5"/>
  <c r="H81" i="5"/>
  <c r="H80" i="5"/>
  <c r="H85" i="5"/>
  <c r="H87" i="5"/>
  <c r="H83" i="5"/>
  <c r="H84" i="5"/>
  <c r="H82" i="5"/>
  <c r="H88" i="5"/>
  <c r="AS68" i="5" a="1"/>
  <c r="AL121" i="5" a="1"/>
  <c r="D67" i="5"/>
  <c r="E72" i="5" s="1"/>
  <c r="E69" i="5"/>
  <c r="E67" i="5"/>
  <c r="D69" i="5"/>
  <c r="E68" i="5"/>
  <c r="D68" i="5"/>
  <c r="EC54" i="5"/>
  <c r="ED54" i="5" s="1"/>
  <c r="EC52" i="5"/>
  <c r="ED52" i="5" s="1"/>
  <c r="EC48" i="5"/>
  <c r="ED48" i="5" s="1"/>
  <c r="EC51" i="5"/>
  <c r="ED51" i="5" s="1"/>
  <c r="EC55" i="5"/>
  <c r="ED55" i="5" s="1"/>
  <c r="EC53" i="5"/>
  <c r="ED53" i="5" s="1"/>
  <c r="EF79" i="5"/>
  <c r="K112" i="5"/>
  <c r="R39" i="5"/>
  <c r="S39" i="5" s="1"/>
  <c r="R42" i="5"/>
  <c r="AM73" i="5"/>
  <c r="AM77" i="5" s="1"/>
  <c r="R36" i="5"/>
  <c r="R41" i="5"/>
  <c r="AB67" i="5"/>
  <c r="N43" i="5"/>
  <c r="O43" i="5" s="1"/>
  <c r="N37" i="5"/>
  <c r="O37" i="5" s="1"/>
  <c r="N40" i="5"/>
  <c r="O40" i="5" s="1"/>
  <c r="N39" i="5"/>
  <c r="O39" i="5" s="1"/>
  <c r="N38" i="5"/>
  <c r="O38" i="5" s="1"/>
  <c r="O35" i="5"/>
  <c r="N36" i="5"/>
  <c r="O36" i="5" s="1"/>
  <c r="N41" i="5"/>
  <c r="O41" i="5" s="1"/>
  <c r="AB66" i="5"/>
  <c r="AB70" i="5" s="1"/>
  <c r="N42" i="5"/>
  <c r="O42" i="5" s="1"/>
  <c r="CM94" i="5"/>
  <c r="CM93" i="5"/>
  <c r="CL93" i="5"/>
  <c r="CM95" i="5"/>
  <c r="CL94" i="5"/>
  <c r="CL95" i="5"/>
  <c r="BU94" i="5"/>
  <c r="BT93" i="5"/>
  <c r="BU95" i="5"/>
  <c r="BT95" i="5"/>
  <c r="BT94" i="5"/>
  <c r="BU93" i="5"/>
  <c r="AL95" i="5"/>
  <c r="AL96" i="5"/>
  <c r="E71" i="5"/>
  <c r="E75" i="5" s="1"/>
  <c r="BY105" i="5"/>
  <c r="AL94" i="5"/>
  <c r="AL90" i="5"/>
  <c r="AL89" i="5"/>
  <c r="AL91" i="5"/>
  <c r="CF93" i="5"/>
  <c r="CF95" i="5"/>
  <c r="CF94" i="5"/>
  <c r="CE95" i="5"/>
  <c r="CE94" i="5"/>
  <c r="CE93" i="5"/>
  <c r="K110" i="5"/>
  <c r="L85" i="1" a="1"/>
  <c r="L85" i="1" s="1"/>
  <c r="E85" i="1"/>
  <c r="CU62" i="1"/>
  <c r="L82" i="1" a="1"/>
  <c r="L82" i="1" s="1"/>
  <c r="E81" i="1"/>
  <c r="CU58" i="1"/>
  <c r="CU53" i="1"/>
  <c r="CU57" i="1"/>
  <c r="BL113" i="1" a="1"/>
  <c r="BL113" i="1" s="1"/>
  <c r="CV55" i="1"/>
  <c r="CU55" i="1"/>
  <c r="CU59" i="1"/>
  <c r="CT90" i="1" a="1"/>
  <c r="CT91" i="1" s="1"/>
  <c r="BL110" i="1" a="1"/>
  <c r="BL110" i="1" s="1"/>
  <c r="I125" i="1" a="1"/>
  <c r="CU52" i="1"/>
  <c r="CV51" i="1"/>
  <c r="CU60" i="1"/>
  <c r="CU61" i="1"/>
  <c r="CV54" i="1"/>
  <c r="CU54" i="1"/>
  <c r="CU56" i="1"/>
  <c r="I115" i="1" a="1"/>
  <c r="I115" i="1" s="1"/>
  <c r="I120" i="1" a="1"/>
  <c r="BF105" i="1" a="1"/>
  <c r="BF106" i="1" s="1"/>
  <c r="O53" i="1" a="1"/>
  <c r="O53" i="1" s="1"/>
  <c r="O56" i="1" a="1"/>
  <c r="O56" i="1" s="1"/>
  <c r="BK113" i="1" a="1"/>
  <c r="BF110" i="1" a="1"/>
  <c r="BF111" i="1" s="1"/>
  <c r="AD18" i="1"/>
  <c r="P34" i="2"/>
  <c r="P33" i="2"/>
  <c r="Z66" i="2" s="1"/>
  <c r="Q32" i="2"/>
  <c r="Q34" i="2"/>
  <c r="Q33" i="2"/>
  <c r="AI45" i="3"/>
  <c r="AH42" i="3"/>
  <c r="AI38" i="3"/>
  <c r="AH41" i="3"/>
  <c r="AI41" i="3"/>
  <c r="AH37" i="3"/>
  <c r="BL46" i="3"/>
  <c r="Y76" i="3"/>
  <c r="S107" i="3" s="1" a="1"/>
  <c r="D117" i="3"/>
  <c r="W22" i="2"/>
  <c r="W24" i="2"/>
  <c r="W23" i="2"/>
  <c r="W21" i="2"/>
  <c r="P27" i="2" a="1"/>
  <c r="X27" i="2" a="1"/>
  <c r="CV61" i="1"/>
  <c r="CV53" i="1"/>
  <c r="CV59" i="1"/>
  <c r="CV57" i="1"/>
  <c r="CV52" i="1"/>
  <c r="CV62" i="1"/>
  <c r="CV58" i="1"/>
  <c r="CV56" i="1"/>
  <c r="CV60" i="1"/>
  <c r="H41" i="5" l="1"/>
  <c r="I41" i="5" s="1"/>
  <c r="H36" i="5"/>
  <c r="I36" i="5" s="1"/>
  <c r="H42" i="5"/>
  <c r="I42" i="5" s="1"/>
  <c r="I130" i="1" a="1"/>
  <c r="I130" i="1" s="1"/>
  <c r="F129" i="1" s="1"/>
  <c r="BF95" i="1"/>
  <c r="BF96" i="1"/>
  <c r="BG96" i="1"/>
  <c r="BF97" i="1"/>
  <c r="BG95" i="1"/>
  <c r="BH47" i="1" s="1"/>
  <c r="S37" i="5"/>
  <c r="H39" i="5"/>
  <c r="I39" i="5" s="1"/>
  <c r="S41" i="5"/>
  <c r="S36" i="5"/>
  <c r="H40" i="5"/>
  <c r="I40" i="5" s="1"/>
  <c r="R43" i="5"/>
  <c r="S42" i="5"/>
  <c r="H38" i="5"/>
  <c r="I38" i="5" s="1"/>
  <c r="H37" i="5"/>
  <c r="I37" i="5" s="1"/>
  <c r="R40" i="5"/>
  <c r="S40" i="5" s="1"/>
  <c r="AS68" i="5"/>
  <c r="AT70" i="5"/>
  <c r="AS70" i="5"/>
  <c r="AS69" i="5"/>
  <c r="AT69" i="5"/>
  <c r="AT68" i="5"/>
  <c r="R38" i="5"/>
  <c r="H43" i="5"/>
  <c r="I43" i="5" s="1"/>
  <c r="R35" i="5"/>
  <c r="P51" i="5"/>
  <c r="Q51" i="5" s="1"/>
  <c r="AL121" i="5"/>
  <c r="AM121" i="5"/>
  <c r="AL122" i="5"/>
  <c r="AL123" i="5"/>
  <c r="AM122" i="5"/>
  <c r="AM123" i="5"/>
  <c r="H35" i="5"/>
  <c r="I35" i="5" s="1"/>
  <c r="CA108" i="5"/>
  <c r="CB108" i="5" s="1"/>
  <c r="CA107" i="5"/>
  <c r="CB107" i="5" s="1"/>
  <c r="CA106" i="5"/>
  <c r="CB106" i="5" s="1"/>
  <c r="I84" i="5"/>
  <c r="AM128" i="5"/>
  <c r="I81" i="5"/>
  <c r="AA105" i="5"/>
  <c r="Y77" i="5"/>
  <c r="Z77" i="5" s="1"/>
  <c r="Y81" i="5"/>
  <c r="Z81" i="5" s="1"/>
  <c r="Y76" i="5"/>
  <c r="Z76" i="5" s="1"/>
  <c r="Y73" i="5"/>
  <c r="Z73" i="5" s="1"/>
  <c r="Y74" i="5"/>
  <c r="Z74" i="5" s="1"/>
  <c r="Y80" i="5"/>
  <c r="Z80" i="5" s="1"/>
  <c r="Y79" i="5"/>
  <c r="Z79" i="5" s="1"/>
  <c r="Y78" i="5"/>
  <c r="Z78" i="5" s="1"/>
  <c r="Y75" i="5"/>
  <c r="Z75" i="5" s="1"/>
  <c r="I88" i="5"/>
  <c r="I86" i="5"/>
  <c r="CF98" i="5"/>
  <c r="CG50" i="5"/>
  <c r="CH50" i="5" s="1"/>
  <c r="CG49" i="5"/>
  <c r="CH49" i="5" s="1"/>
  <c r="CG45" i="5"/>
  <c r="CH45" i="5" s="1"/>
  <c r="CG48" i="5"/>
  <c r="CH48" i="5" s="1"/>
  <c r="CG47" i="5"/>
  <c r="CH47" i="5" s="1"/>
  <c r="CF97" i="5"/>
  <c r="CF101" i="5" s="1"/>
  <c r="CG46" i="5"/>
  <c r="CH46" i="5" s="1"/>
  <c r="CG54" i="5"/>
  <c r="CH54" i="5" s="1"/>
  <c r="CG55" i="5"/>
  <c r="CH55" i="5" s="1"/>
  <c r="CG52" i="5"/>
  <c r="CH52" i="5" s="1"/>
  <c r="CG51" i="5"/>
  <c r="CH51" i="5" s="1"/>
  <c r="CG53" i="5"/>
  <c r="CH53" i="5" s="1"/>
  <c r="CG44" i="5"/>
  <c r="CH44" i="5" s="1"/>
  <c r="DR81" i="5"/>
  <c r="DP50" i="5"/>
  <c r="DQ50" i="5" s="1"/>
  <c r="DR80" i="5"/>
  <c r="DR84" i="5" s="1"/>
  <c r="DP51" i="5"/>
  <c r="DQ51" i="5" s="1"/>
  <c r="DP52" i="5"/>
  <c r="DQ52" i="5" s="1"/>
  <c r="DP53" i="5"/>
  <c r="DQ53" i="5" s="1"/>
  <c r="DP56" i="5"/>
  <c r="DQ56" i="5" s="1"/>
  <c r="DP54" i="5"/>
  <c r="DQ54" i="5" s="1"/>
  <c r="DP49" i="5"/>
  <c r="DQ49" i="5" s="1"/>
  <c r="DP55" i="5"/>
  <c r="DQ55" i="5" s="1"/>
  <c r="DP48" i="5"/>
  <c r="DQ48" i="5" s="1"/>
  <c r="AA107" i="5"/>
  <c r="BU98" i="5"/>
  <c r="CA50" i="5"/>
  <c r="CA45" i="5"/>
  <c r="CA49" i="5"/>
  <c r="CA48" i="5"/>
  <c r="BU97" i="5"/>
  <c r="BU101" i="5" s="1"/>
  <c r="CA47" i="5"/>
  <c r="CA54" i="5"/>
  <c r="CA52" i="5"/>
  <c r="CA111" i="5"/>
  <c r="CB111" i="5" s="1"/>
  <c r="CA55" i="5"/>
  <c r="CA114" i="5"/>
  <c r="CB114" i="5" s="1"/>
  <c r="CA109" i="5"/>
  <c r="CB109" i="5" s="1"/>
  <c r="CA51" i="5"/>
  <c r="CA113" i="5"/>
  <c r="CB113" i="5" s="1"/>
  <c r="CA53" i="5"/>
  <c r="CA115" i="5"/>
  <c r="CB115" i="5" s="1"/>
  <c r="CA112" i="5"/>
  <c r="CB112" i="5" s="1"/>
  <c r="CA44" i="5"/>
  <c r="CA110" i="5"/>
  <c r="CB110" i="5" s="1"/>
  <c r="CA46" i="5"/>
  <c r="AB68" i="5"/>
  <c r="I83" i="5"/>
  <c r="CL98" i="5"/>
  <c r="CK50" i="5"/>
  <c r="CL50" i="5" s="1"/>
  <c r="CK49" i="5"/>
  <c r="CL49" i="5" s="1"/>
  <c r="CK45" i="5"/>
  <c r="CL45" i="5" s="1"/>
  <c r="CK48" i="5"/>
  <c r="CL48" i="5" s="1"/>
  <c r="CK47" i="5"/>
  <c r="CL47" i="5" s="1"/>
  <c r="CL97" i="5"/>
  <c r="CL101" i="5" s="1"/>
  <c r="CK54" i="5"/>
  <c r="CL54" i="5" s="1"/>
  <c r="CK51" i="5"/>
  <c r="CL51" i="5" s="1"/>
  <c r="CK55" i="5"/>
  <c r="CL55" i="5" s="1"/>
  <c r="CK52" i="5"/>
  <c r="CL52" i="5" s="1"/>
  <c r="CK53" i="5"/>
  <c r="CL53" i="5" s="1"/>
  <c r="CK44" i="5"/>
  <c r="CL44" i="5" s="1"/>
  <c r="CK46" i="5"/>
  <c r="CL46" i="5" s="1"/>
  <c r="I87" i="5"/>
  <c r="I85" i="5"/>
  <c r="E73" i="5"/>
  <c r="AM75" i="5"/>
  <c r="CA105" i="5"/>
  <c r="CB105" i="5" s="1"/>
  <c r="BY93" i="5" a="1"/>
  <c r="I80" i="5"/>
  <c r="I82" i="5"/>
  <c r="CT90" i="1"/>
  <c r="CT92" i="1"/>
  <c r="CU90" i="1"/>
  <c r="CU91" i="1"/>
  <c r="CU92" i="1"/>
  <c r="I125" i="1"/>
  <c r="F124" i="1" s="1"/>
  <c r="J127" i="1"/>
  <c r="J126" i="1"/>
  <c r="I126" i="1"/>
  <c r="J125" i="1"/>
  <c r="I127" i="1"/>
  <c r="I116" i="1"/>
  <c r="J116" i="1"/>
  <c r="I117" i="1"/>
  <c r="J117" i="1"/>
  <c r="J115" i="1"/>
  <c r="AV77" i="1" s="1"/>
  <c r="AW77" i="1" s="1"/>
  <c r="I120" i="1"/>
  <c r="J122" i="1"/>
  <c r="I121" i="1"/>
  <c r="I122" i="1"/>
  <c r="J121" i="1"/>
  <c r="J120" i="1"/>
  <c r="BF107" i="1"/>
  <c r="BG106" i="1"/>
  <c r="BG107" i="1"/>
  <c r="BF105" i="1"/>
  <c r="BC105" i="1" s="1"/>
  <c r="BG105" i="1"/>
  <c r="BK113" i="1"/>
  <c r="BF100" i="1" s="1" a="1"/>
  <c r="BG112" i="1"/>
  <c r="BF110" i="1"/>
  <c r="BC110" i="1" s="1"/>
  <c r="BG111" i="1"/>
  <c r="BF112" i="1"/>
  <c r="BG110" i="1"/>
  <c r="F114" i="1"/>
  <c r="D119" i="3"/>
  <c r="BL48" i="3"/>
  <c r="S108" i="3"/>
  <c r="T107" i="3"/>
  <c r="S107" i="3"/>
  <c r="S117" i="3" s="1"/>
  <c r="T109" i="3"/>
  <c r="S109" i="3"/>
  <c r="T108" i="3"/>
  <c r="D112" i="3"/>
  <c r="D113" i="3" s="1"/>
  <c r="H40" i="3"/>
  <c r="I40" i="3" s="1"/>
  <c r="H45" i="3"/>
  <c r="I45" i="3" s="1"/>
  <c r="H44" i="3"/>
  <c r="I44" i="3" s="1"/>
  <c r="D115" i="3"/>
  <c r="H41" i="3"/>
  <c r="I41" i="3" s="1"/>
  <c r="H38" i="3"/>
  <c r="I38" i="3" s="1"/>
  <c r="H43" i="3"/>
  <c r="I43" i="3" s="1"/>
  <c r="H39" i="3"/>
  <c r="I39" i="3" s="1"/>
  <c r="H42" i="3"/>
  <c r="I42" i="3" s="1"/>
  <c r="H37" i="3"/>
  <c r="I37" i="3" s="1"/>
  <c r="M117" i="3"/>
  <c r="X27" i="2"/>
  <c r="Y28" i="2"/>
  <c r="X28" i="2"/>
  <c r="Y29" i="2"/>
  <c r="Y27" i="2"/>
  <c r="X29" i="2"/>
  <c r="P27" i="2"/>
  <c r="Q27" i="2"/>
  <c r="Q29" i="2"/>
  <c r="P29" i="2"/>
  <c r="P28" i="2"/>
  <c r="Q28" i="2"/>
  <c r="I132" i="1" l="1"/>
  <c r="J130" i="1"/>
  <c r="H87" i="1" s="1"/>
  <c r="J132" i="1"/>
  <c r="J131" i="1"/>
  <c r="I131" i="1"/>
  <c r="F131" i="1" s="1"/>
  <c r="F82" i="1"/>
  <c r="G82" i="1" s="1"/>
  <c r="F126" i="1"/>
  <c r="CY89" i="1"/>
  <c r="DJ52" i="1"/>
  <c r="DK52" i="1" s="1"/>
  <c r="DJ57" i="1"/>
  <c r="DK57" i="1" s="1"/>
  <c r="DJ61" i="1"/>
  <c r="DK61" i="1" s="1"/>
  <c r="DJ51" i="1"/>
  <c r="DK51" i="1" s="1"/>
  <c r="DJ60" i="1"/>
  <c r="DK60" i="1" s="1"/>
  <c r="DJ56" i="1"/>
  <c r="DK56" i="1" s="1"/>
  <c r="DJ59" i="1"/>
  <c r="DK59" i="1" s="1"/>
  <c r="DJ53" i="1"/>
  <c r="DK53" i="1" s="1"/>
  <c r="DJ58" i="1"/>
  <c r="DK58" i="1" s="1"/>
  <c r="DJ55" i="1"/>
  <c r="DK55" i="1" s="1"/>
  <c r="DJ54" i="1"/>
  <c r="DK54" i="1" s="1"/>
  <c r="DJ50" i="1"/>
  <c r="DK50" i="1" s="1"/>
  <c r="AV85" i="1"/>
  <c r="AW85" i="1" s="1"/>
  <c r="AV83" i="1"/>
  <c r="AW83" i="1" s="1"/>
  <c r="BN57" i="1"/>
  <c r="BO57" i="1" s="1"/>
  <c r="AV84" i="1"/>
  <c r="AW84" i="1" s="1"/>
  <c r="AV82" i="1"/>
  <c r="AW82" i="1" s="1"/>
  <c r="AV81" i="1"/>
  <c r="AW81" i="1" s="1"/>
  <c r="AV76" i="1"/>
  <c r="AW76" i="1" s="1"/>
  <c r="AV78" i="1"/>
  <c r="AW78" i="1" s="1"/>
  <c r="AV79" i="1"/>
  <c r="AW79" i="1" s="1"/>
  <c r="AV87" i="1"/>
  <c r="AW87" i="1" s="1"/>
  <c r="AV80" i="1"/>
  <c r="AW80" i="1" s="1"/>
  <c r="AV86" i="1"/>
  <c r="AW86" i="1" s="1"/>
  <c r="S38" i="5"/>
  <c r="S43" i="5"/>
  <c r="S35" i="5"/>
  <c r="AU95" i="5"/>
  <c r="AU94" i="5"/>
  <c r="AU93" i="5"/>
  <c r="T40" i="5"/>
  <c r="U40" i="5" s="1"/>
  <c r="AT74" i="5"/>
  <c r="AT75" i="5" s="1"/>
  <c r="T43" i="5"/>
  <c r="U43" i="5" s="1"/>
  <c r="AU92" i="5"/>
  <c r="AU91" i="5"/>
  <c r="AU96" i="5"/>
  <c r="T39" i="5"/>
  <c r="U39" i="5" s="1"/>
  <c r="T37" i="5"/>
  <c r="U37" i="5" s="1"/>
  <c r="AT73" i="5"/>
  <c r="AT77" i="5" s="1"/>
  <c r="T38" i="5"/>
  <c r="U38" i="5" s="1"/>
  <c r="T35" i="5"/>
  <c r="U35" i="5" s="1"/>
  <c r="T41" i="5"/>
  <c r="U41" i="5" s="1"/>
  <c r="T42" i="5"/>
  <c r="U42" i="5" s="1"/>
  <c r="T36" i="5"/>
  <c r="U36" i="5" s="1"/>
  <c r="BA59" i="5"/>
  <c r="BB59" i="5" s="1"/>
  <c r="BA61" i="5"/>
  <c r="BB61" i="5" s="1"/>
  <c r="BA58" i="5"/>
  <c r="BB58" i="5" s="1"/>
  <c r="BA56" i="5"/>
  <c r="BB56" i="5" s="1"/>
  <c r="BA60" i="5"/>
  <c r="BB60" i="5" s="1"/>
  <c r="BA55" i="5"/>
  <c r="BB55" i="5" s="1"/>
  <c r="BA57" i="5"/>
  <c r="BB57" i="5" s="1"/>
  <c r="BA54" i="5"/>
  <c r="BB54" i="5" s="1"/>
  <c r="DR82" i="5"/>
  <c r="CB48" i="5"/>
  <c r="CB54" i="5"/>
  <c r="CB53" i="5"/>
  <c r="CB52" i="5"/>
  <c r="CB49" i="5"/>
  <c r="CB45" i="5"/>
  <c r="CB51" i="5"/>
  <c r="CB50" i="5"/>
  <c r="AM126" i="5"/>
  <c r="AO93" i="5"/>
  <c r="AP93" i="5" s="1"/>
  <c r="AO97" i="5"/>
  <c r="AP97" i="5" s="1"/>
  <c r="AO92" i="5"/>
  <c r="AP92" i="5" s="1"/>
  <c r="AO94" i="5"/>
  <c r="AP94" i="5" s="1"/>
  <c r="AO91" i="5"/>
  <c r="AP91" i="5" s="1"/>
  <c r="AO89" i="5"/>
  <c r="AP89" i="5" s="1"/>
  <c r="AO96" i="5"/>
  <c r="AP96" i="5" s="1"/>
  <c r="AO90" i="5"/>
  <c r="AP90" i="5" s="1"/>
  <c r="AO95" i="5"/>
  <c r="AP95" i="5" s="1"/>
  <c r="CB44" i="5"/>
  <c r="BU99" i="5"/>
  <c r="CF99" i="5"/>
  <c r="CB46" i="5"/>
  <c r="CB55" i="5"/>
  <c r="J43" i="5"/>
  <c r="K43" i="5" s="1"/>
  <c r="J72" i="5"/>
  <c r="J40" i="5"/>
  <c r="K40" i="5" s="1"/>
  <c r="J37" i="5"/>
  <c r="K37" i="5" s="1"/>
  <c r="J38" i="5"/>
  <c r="K38" i="5" s="1"/>
  <c r="J39" i="5"/>
  <c r="K39" i="5" s="1"/>
  <c r="P57" i="5"/>
  <c r="Q57" i="5" s="1"/>
  <c r="J42" i="5"/>
  <c r="K42" i="5" s="1"/>
  <c r="P56" i="5"/>
  <c r="Q56" i="5" s="1"/>
  <c r="J41" i="5"/>
  <c r="K41" i="5" s="1"/>
  <c r="J36" i="5"/>
  <c r="K36" i="5" s="1"/>
  <c r="J35" i="5"/>
  <c r="K35" i="5" s="1"/>
  <c r="P55" i="5"/>
  <c r="Q55" i="5" s="1"/>
  <c r="P58" i="5"/>
  <c r="Q58" i="5" s="1"/>
  <c r="J71" i="5"/>
  <c r="J75" i="5" s="1"/>
  <c r="P53" i="5"/>
  <c r="Q53" i="5" s="1"/>
  <c r="P54" i="5"/>
  <c r="Q54" i="5" s="1"/>
  <c r="P52" i="5"/>
  <c r="Q52" i="5" s="1"/>
  <c r="CB47" i="5"/>
  <c r="CL99" i="5"/>
  <c r="BZ95" i="5"/>
  <c r="BZ94" i="5"/>
  <c r="BY94" i="5"/>
  <c r="BY93" i="5"/>
  <c r="BY95" i="5"/>
  <c r="BZ93" i="5"/>
  <c r="F119" i="1"/>
  <c r="Y83" i="1"/>
  <c r="Z83" i="1" s="1"/>
  <c r="Y84" i="1"/>
  <c r="Z84" i="1" s="1"/>
  <c r="Y90" i="1"/>
  <c r="Z90" i="1" s="1"/>
  <c r="Y85" i="1"/>
  <c r="Z85" i="1" s="1"/>
  <c r="Y92" i="1"/>
  <c r="Z92" i="1" s="1"/>
  <c r="Y93" i="1"/>
  <c r="Z93" i="1" s="1"/>
  <c r="Y86" i="1"/>
  <c r="Z86" i="1" s="1"/>
  <c r="Y91" i="1"/>
  <c r="Z91" i="1" s="1"/>
  <c r="Y82" i="1"/>
  <c r="Z82" i="1" s="1"/>
  <c r="Y87" i="1"/>
  <c r="Z87" i="1" s="1"/>
  <c r="Y88" i="1"/>
  <c r="Z88" i="1" s="1"/>
  <c r="Y89" i="1"/>
  <c r="Z89" i="1" s="1"/>
  <c r="BN50" i="1"/>
  <c r="BO50" i="1" s="1"/>
  <c r="BN47" i="1"/>
  <c r="BO47" i="1" s="1"/>
  <c r="BN48" i="1"/>
  <c r="BO48" i="1" s="1"/>
  <c r="CY91" i="1"/>
  <c r="BC104" i="1"/>
  <c r="BC106" i="1" s="1"/>
  <c r="M86" i="1"/>
  <c r="N86" i="1" s="1"/>
  <c r="BF100" i="1"/>
  <c r="BG100" i="1"/>
  <c r="BG101" i="1"/>
  <c r="BF102" i="1"/>
  <c r="BG102" i="1"/>
  <c r="BF101" i="1"/>
  <c r="F88" i="1"/>
  <c r="F85" i="1"/>
  <c r="F89" i="1"/>
  <c r="F90" i="1"/>
  <c r="F91" i="1"/>
  <c r="F92" i="1"/>
  <c r="F81" i="1"/>
  <c r="F83" i="1"/>
  <c r="F84" i="1"/>
  <c r="F87" i="1"/>
  <c r="F86" i="1"/>
  <c r="BR56" i="1"/>
  <c r="BS56" i="1" s="1"/>
  <c r="F121" i="1"/>
  <c r="BN49" i="1"/>
  <c r="BO49" i="1" s="1"/>
  <c r="BN53" i="1"/>
  <c r="BO53" i="1" s="1"/>
  <c r="BN58" i="1"/>
  <c r="BO58" i="1" s="1"/>
  <c r="BN51" i="1"/>
  <c r="BO51" i="1" s="1"/>
  <c r="BR57" i="1"/>
  <c r="BS57" i="1" s="1"/>
  <c r="BN56" i="1"/>
  <c r="BO56" i="1" s="1"/>
  <c r="BN54" i="1"/>
  <c r="BO54" i="1" s="1"/>
  <c r="BR48" i="1"/>
  <c r="BS48" i="1" s="1"/>
  <c r="BN52" i="1"/>
  <c r="BO52" i="1" s="1"/>
  <c r="BR58" i="1"/>
  <c r="BS58" i="1" s="1"/>
  <c r="BN55" i="1"/>
  <c r="BO55" i="1" s="1"/>
  <c r="BC109" i="1"/>
  <c r="BC113" i="1" s="1"/>
  <c r="BR54" i="1"/>
  <c r="BS54" i="1" s="1"/>
  <c r="BR55" i="1"/>
  <c r="BS55" i="1" s="1"/>
  <c r="BR47" i="1"/>
  <c r="BS47" i="1" s="1"/>
  <c r="BR52" i="1"/>
  <c r="BS52" i="1" s="1"/>
  <c r="BR49" i="1"/>
  <c r="BS49" i="1" s="1"/>
  <c r="BR50" i="1"/>
  <c r="BS50" i="1" s="1"/>
  <c r="BR51" i="1"/>
  <c r="BS51" i="1" s="1"/>
  <c r="BR53" i="1"/>
  <c r="BS53" i="1" s="1"/>
  <c r="F116" i="1"/>
  <c r="S119" i="3"/>
  <c r="S112" i="3"/>
  <c r="P37" i="3"/>
  <c r="Q37" i="3" s="1"/>
  <c r="P43" i="3"/>
  <c r="Q43" i="3" s="1"/>
  <c r="P38" i="3"/>
  <c r="Q38" i="3" s="1"/>
  <c r="P40" i="3"/>
  <c r="Q40" i="3" s="1"/>
  <c r="P39" i="3"/>
  <c r="Q39" i="3" s="1"/>
  <c r="P41" i="3"/>
  <c r="Q41" i="3" s="1"/>
  <c r="P42" i="3"/>
  <c r="Q42" i="3" s="1"/>
  <c r="P44" i="3"/>
  <c r="Q44" i="3" s="1"/>
  <c r="P45" i="3"/>
  <c r="Q45" i="3" s="1"/>
  <c r="S111" i="3"/>
  <c r="S115" i="3" s="1"/>
  <c r="M112" i="3"/>
  <c r="L37" i="3"/>
  <c r="M37" i="3" s="1"/>
  <c r="L38" i="3"/>
  <c r="M38" i="3" s="1"/>
  <c r="L41" i="3"/>
  <c r="M41" i="3" s="1"/>
  <c r="M111" i="3"/>
  <c r="M115" i="3" s="1"/>
  <c r="L43" i="3"/>
  <c r="M43" i="3" s="1"/>
  <c r="L45" i="3"/>
  <c r="M45" i="3" s="1"/>
  <c r="L44" i="3"/>
  <c r="M44" i="3" s="1"/>
  <c r="L42" i="3"/>
  <c r="M42" i="3" s="1"/>
  <c r="L40" i="3"/>
  <c r="M40" i="3" s="1"/>
  <c r="L39" i="3"/>
  <c r="M39" i="3" s="1"/>
  <c r="M119" i="3"/>
  <c r="Y21" i="2"/>
  <c r="Z21" i="2" s="1"/>
  <c r="Y22" i="2"/>
  <c r="Z22" i="2" s="1"/>
  <c r="Y23" i="2"/>
  <c r="Z23" i="2" s="1"/>
  <c r="Y24" i="2"/>
  <c r="Z24" i="2" s="1"/>
  <c r="AA22" i="2"/>
  <c r="AB22" i="2" s="1"/>
  <c r="AA24" i="2"/>
  <c r="AB24" i="2" s="1"/>
  <c r="AA23" i="2"/>
  <c r="AB23" i="2" s="1"/>
  <c r="AA21" i="2"/>
  <c r="AB21" i="2" s="1"/>
  <c r="G3" i="1"/>
  <c r="G29" i="1"/>
  <c r="D48" i="1" s="1"/>
  <c r="G27" i="1"/>
  <c r="D47" i="1" s="1"/>
  <c r="G25" i="1"/>
  <c r="D46" i="1" s="1"/>
  <c r="G23" i="1"/>
  <c r="D45" i="1" s="1"/>
  <c r="G21" i="1"/>
  <c r="D44" i="1" s="1"/>
  <c r="G19" i="1"/>
  <c r="D43" i="1" s="1"/>
  <c r="G17" i="1"/>
  <c r="D42" i="1" s="1"/>
  <c r="G15" i="1"/>
  <c r="D41" i="1" s="1"/>
  <c r="D40" i="1"/>
  <c r="G11" i="1"/>
  <c r="D39" i="1" s="1"/>
  <c r="G9" i="1"/>
  <c r="D38" i="1" s="1"/>
  <c r="G7" i="1"/>
  <c r="D37" i="1" s="1"/>
  <c r="BC108" i="1" l="1"/>
  <c r="H89" i="1"/>
  <c r="M83" i="1"/>
  <c r="N83" i="1" s="1"/>
  <c r="H84" i="1"/>
  <c r="H90" i="1"/>
  <c r="I90" i="1" s="1"/>
  <c r="H91" i="1"/>
  <c r="M84" i="1"/>
  <c r="N84" i="1" s="1"/>
  <c r="M88" i="1"/>
  <c r="N88" i="1" s="1"/>
  <c r="M87" i="1"/>
  <c r="N87" i="1" s="1"/>
  <c r="H88" i="1"/>
  <c r="I88" i="1" s="1"/>
  <c r="M91" i="1"/>
  <c r="N91" i="1" s="1"/>
  <c r="H82" i="1"/>
  <c r="I82" i="1" s="1"/>
  <c r="H85" i="1"/>
  <c r="H81" i="1"/>
  <c r="H92" i="1"/>
  <c r="H83" i="1"/>
  <c r="M89" i="1"/>
  <c r="N89" i="1" s="1"/>
  <c r="H86" i="1"/>
  <c r="I86" i="1" s="1"/>
  <c r="M85" i="1"/>
  <c r="N85" i="1" s="1"/>
  <c r="M82" i="1"/>
  <c r="N82" i="1" s="1"/>
  <c r="M92" i="1"/>
  <c r="N92" i="1" s="1"/>
  <c r="M90" i="1"/>
  <c r="N90" i="1" s="1"/>
  <c r="I74" i="1" a="1"/>
  <c r="I74" i="1" s="1"/>
  <c r="DG61" i="1"/>
  <c r="AS82" i="1"/>
  <c r="DG52" i="1"/>
  <c r="DG57" i="1"/>
  <c r="DG55" i="1"/>
  <c r="AS79" i="1"/>
  <c r="DG53" i="1"/>
  <c r="DG51" i="1"/>
  <c r="DG60" i="1"/>
  <c r="AS81" i="1"/>
  <c r="DG56" i="1"/>
  <c r="DG59" i="1"/>
  <c r="AS86" i="1"/>
  <c r="AS87" i="1"/>
  <c r="AS83" i="1"/>
  <c r="AS85" i="1"/>
  <c r="AS84" i="1"/>
  <c r="DG58" i="1"/>
  <c r="DG50" i="1"/>
  <c r="DG54" i="1"/>
  <c r="AS76" i="1"/>
  <c r="AS80" i="1"/>
  <c r="BZ98" i="5"/>
  <c r="CC54" i="5"/>
  <c r="CD54" i="5" s="1"/>
  <c r="CC46" i="5"/>
  <c r="CD46" i="5" s="1"/>
  <c r="CC47" i="5"/>
  <c r="CD47" i="5" s="1"/>
  <c r="CC52" i="5"/>
  <c r="CD52" i="5" s="1"/>
  <c r="CC49" i="5"/>
  <c r="CD49" i="5" s="1"/>
  <c r="CC44" i="5"/>
  <c r="CD44" i="5" s="1"/>
  <c r="CC55" i="5"/>
  <c r="CD55" i="5" s="1"/>
  <c r="CC53" i="5"/>
  <c r="CD53" i="5" s="1"/>
  <c r="CC50" i="5"/>
  <c r="CD50" i="5" s="1"/>
  <c r="BZ97" i="5"/>
  <c r="BZ101" i="5" s="1"/>
  <c r="CC48" i="5"/>
  <c r="CD48" i="5" s="1"/>
  <c r="CC45" i="5"/>
  <c r="CD45" i="5" s="1"/>
  <c r="CC51" i="5"/>
  <c r="CD51" i="5" s="1"/>
  <c r="J73" i="5"/>
  <c r="V91" i="1"/>
  <c r="V88" i="1"/>
  <c r="V85" i="1"/>
  <c r="V87" i="1"/>
  <c r="V84" i="1"/>
  <c r="V93" i="1"/>
  <c r="V83" i="1"/>
  <c r="V92" i="1"/>
  <c r="V90" i="1"/>
  <c r="V89" i="1"/>
  <c r="V86" i="1"/>
  <c r="V82" i="1"/>
  <c r="C85" i="1"/>
  <c r="C92" i="1"/>
  <c r="C91" i="1"/>
  <c r="C81" i="1"/>
  <c r="C90" i="1"/>
  <c r="C89" i="1"/>
  <c r="C88" i="1"/>
  <c r="C87" i="1"/>
  <c r="C86" i="1"/>
  <c r="C84" i="1"/>
  <c r="C83" i="1"/>
  <c r="C82" i="1"/>
  <c r="G83" i="1"/>
  <c r="I83" i="1"/>
  <c r="G89" i="1"/>
  <c r="I89" i="1"/>
  <c r="G88" i="1"/>
  <c r="G86" i="1"/>
  <c r="G87" i="1"/>
  <c r="I87" i="1"/>
  <c r="G84" i="1"/>
  <c r="I84" i="1"/>
  <c r="G81" i="1"/>
  <c r="I81" i="1"/>
  <c r="G90" i="1"/>
  <c r="G85" i="1"/>
  <c r="I85" i="1"/>
  <c r="G92" i="1"/>
  <c r="I92" i="1"/>
  <c r="G91" i="1"/>
  <c r="I91" i="1"/>
  <c r="CQ55" i="1"/>
  <c r="CQ58" i="1"/>
  <c r="CQ62" i="1"/>
  <c r="CQ51" i="1"/>
  <c r="CQ57" i="1"/>
  <c r="CQ60" i="1"/>
  <c r="CQ56" i="1"/>
  <c r="CQ59" i="1"/>
  <c r="CQ61" i="1"/>
  <c r="CQ52" i="1"/>
  <c r="CQ53" i="1"/>
  <c r="CQ54" i="1"/>
  <c r="BC100" i="1"/>
  <c r="BJ54" i="1"/>
  <c r="BJ51" i="1"/>
  <c r="BJ56" i="1"/>
  <c r="BJ50" i="1"/>
  <c r="BJ48" i="1"/>
  <c r="BJ49" i="1"/>
  <c r="BJ52" i="1"/>
  <c r="BJ58" i="1"/>
  <c r="BC99" i="1"/>
  <c r="BC103" i="1" s="1"/>
  <c r="BJ55" i="1"/>
  <c r="BJ57" i="1"/>
  <c r="BJ47" i="1"/>
  <c r="BJ53" i="1"/>
  <c r="BC111" i="1"/>
  <c r="N56" i="1" a="1"/>
  <c r="N53" i="1" a="1"/>
  <c r="W75" i="1" a="1"/>
  <c r="W70" i="1" a="1"/>
  <c r="BE52" i="1"/>
  <c r="BE55" i="1"/>
  <c r="BE54" i="1"/>
  <c r="BE47" i="1"/>
  <c r="BE56" i="1"/>
  <c r="BE48" i="1"/>
  <c r="BE57" i="1"/>
  <c r="BE49" i="1"/>
  <c r="BE51" i="1"/>
  <c r="BE58" i="1"/>
  <c r="BE53" i="1"/>
  <c r="BE50" i="1"/>
  <c r="S113" i="3"/>
  <c r="M113" i="3"/>
  <c r="AU47" i="3"/>
  <c r="AU46" i="3"/>
  <c r="AU50" i="3" s="1"/>
  <c r="AJ37" i="3"/>
  <c r="AK37" i="3" s="1"/>
  <c r="AJ38" i="3"/>
  <c r="AK38" i="3" s="1"/>
  <c r="AJ43" i="3"/>
  <c r="AK43" i="3" s="1"/>
  <c r="AJ39" i="3"/>
  <c r="AK39" i="3" s="1"/>
  <c r="AJ41" i="3"/>
  <c r="AK41" i="3" s="1"/>
  <c r="AJ42" i="3"/>
  <c r="AK42" i="3" s="1"/>
  <c r="AJ44" i="3"/>
  <c r="AK44" i="3" s="1"/>
  <c r="AJ45" i="3"/>
  <c r="AK45" i="3" s="1"/>
  <c r="AJ40" i="3"/>
  <c r="AK40" i="3" s="1"/>
  <c r="H21" i="1"/>
  <c r="E44" i="1" s="1"/>
  <c r="CR58" i="1" s="1"/>
  <c r="H23" i="1"/>
  <c r="E45" i="1" s="1"/>
  <c r="CR59" i="1" s="1"/>
  <c r="H27" i="1"/>
  <c r="E47" i="1" s="1"/>
  <c r="CR61" i="1" s="1"/>
  <c r="H29" i="1"/>
  <c r="E48" i="1" s="1"/>
  <c r="CR62" i="1" s="1"/>
  <c r="H7" i="1"/>
  <c r="E37" i="1" s="1"/>
  <c r="CR51" i="1" s="1"/>
  <c r="H9" i="1"/>
  <c r="E38" i="1" s="1"/>
  <c r="CR52" i="1" s="1"/>
  <c r="H11" i="1"/>
  <c r="E39" i="1" s="1"/>
  <c r="CR53" i="1" s="1"/>
  <c r="H25" i="1"/>
  <c r="E46" i="1" s="1"/>
  <c r="CR60" i="1" s="1"/>
  <c r="H13" i="1"/>
  <c r="E40" i="1" s="1"/>
  <c r="CR54" i="1" s="1"/>
  <c r="H15" i="1"/>
  <c r="E41" i="1" s="1"/>
  <c r="CR55" i="1" s="1"/>
  <c r="H17" i="1"/>
  <c r="E42" i="1" s="1"/>
  <c r="CR56" i="1" s="1"/>
  <c r="H19" i="1"/>
  <c r="E43" i="1" s="1"/>
  <c r="CR57" i="1" s="1"/>
  <c r="J74" i="1" l="1"/>
  <c r="J76" i="1"/>
  <c r="I75" i="1"/>
  <c r="J75" i="1"/>
  <c r="I76" i="1"/>
  <c r="BZ99" i="5"/>
  <c r="BC101" i="1"/>
  <c r="CT84" i="1" a="1"/>
  <c r="CU84" i="1" s="1"/>
  <c r="N53" i="1"/>
  <c r="BM111" i="1"/>
  <c r="BN111" i="1" s="1"/>
  <c r="BM112" i="1"/>
  <c r="BN112" i="1" s="1"/>
  <c r="BM110" i="1"/>
  <c r="BN110" i="1" s="1"/>
  <c r="BM118" i="1"/>
  <c r="BN118" i="1" s="1"/>
  <c r="BM119" i="1"/>
  <c r="BN119" i="1" s="1"/>
  <c r="BH54" i="1"/>
  <c r="BM114" i="1"/>
  <c r="BN114" i="1" s="1"/>
  <c r="BM117" i="1"/>
  <c r="BN117" i="1" s="1"/>
  <c r="BM120" i="1"/>
  <c r="BN120" i="1" s="1"/>
  <c r="BC95" i="1"/>
  <c r="BM115" i="1"/>
  <c r="BN115" i="1" s="1"/>
  <c r="BM116" i="1"/>
  <c r="BN116" i="1" s="1"/>
  <c r="BM113" i="1"/>
  <c r="BN113" i="1" s="1"/>
  <c r="BH56" i="1"/>
  <c r="BH52" i="1"/>
  <c r="BC94" i="1"/>
  <c r="BC98" i="1" s="1"/>
  <c r="BH51" i="1"/>
  <c r="BH58" i="1"/>
  <c r="BH57" i="1"/>
  <c r="BH48" i="1"/>
  <c r="BH50" i="1"/>
  <c r="BH55" i="1"/>
  <c r="BH49" i="1"/>
  <c r="BH53" i="1"/>
  <c r="N56" i="1"/>
  <c r="W70" i="1"/>
  <c r="X72" i="1"/>
  <c r="W72" i="1"/>
  <c r="X70" i="1"/>
  <c r="X71" i="1"/>
  <c r="W71" i="1"/>
  <c r="W76" i="1"/>
  <c r="W75" i="1"/>
  <c r="X75" i="1"/>
  <c r="W77" i="1"/>
  <c r="X76" i="1"/>
  <c r="X77" i="1"/>
  <c r="AU48" i="3"/>
  <c r="AB68" i="1" l="1"/>
  <c r="AB69" i="1"/>
  <c r="N74" i="1"/>
  <c r="N77" i="1"/>
  <c r="H40" i="1"/>
  <c r="H48" i="1"/>
  <c r="H38" i="1"/>
  <c r="H41" i="1"/>
  <c r="H47" i="1"/>
  <c r="H42" i="1"/>
  <c r="H45" i="1"/>
  <c r="H44" i="1"/>
  <c r="H37" i="1"/>
  <c r="H43" i="1"/>
  <c r="H39" i="1"/>
  <c r="H46" i="1"/>
  <c r="CT84" i="1"/>
  <c r="CY83" i="1" s="1"/>
  <c r="CY87" i="1" s="1"/>
  <c r="CT86" i="1"/>
  <c r="BI48" i="1"/>
  <c r="BK48" i="1"/>
  <c r="BI50" i="1"/>
  <c r="BK50" i="1"/>
  <c r="BI57" i="1"/>
  <c r="BK57" i="1"/>
  <c r="BI58" i="1"/>
  <c r="BK58" i="1"/>
  <c r="BI51" i="1"/>
  <c r="BK51" i="1"/>
  <c r="BI54" i="1"/>
  <c r="BK54" i="1"/>
  <c r="BI52" i="1"/>
  <c r="BK52" i="1"/>
  <c r="BI56" i="1"/>
  <c r="BK56" i="1"/>
  <c r="BI53" i="1"/>
  <c r="BK53" i="1"/>
  <c r="BI47" i="1"/>
  <c r="BK47" i="1"/>
  <c r="BI49" i="1"/>
  <c r="BK49" i="1"/>
  <c r="BI55" i="1"/>
  <c r="BK55" i="1"/>
  <c r="CU85" i="1"/>
  <c r="CU86" i="1"/>
  <c r="CT85" i="1"/>
  <c r="BC96" i="1"/>
  <c r="I69" i="1" a="1"/>
  <c r="AB75" i="1"/>
  <c r="R37" i="1"/>
  <c r="S37" i="1" s="1"/>
  <c r="CW58" i="1" l="1"/>
  <c r="CX58" i="1" s="1"/>
  <c r="CY84" i="1"/>
  <c r="CY85" i="1" s="1"/>
  <c r="CW54" i="1"/>
  <c r="CX54" i="1" s="1"/>
  <c r="CW52" i="1"/>
  <c r="CX52" i="1" s="1"/>
  <c r="CW53" i="1"/>
  <c r="CX53" i="1" s="1"/>
  <c r="CW51" i="1"/>
  <c r="CX51" i="1" s="1"/>
  <c r="CW57" i="1"/>
  <c r="CX57" i="1" s="1"/>
  <c r="CW59" i="1"/>
  <c r="CX59" i="1" s="1"/>
  <c r="CW55" i="1"/>
  <c r="CX55" i="1" s="1"/>
  <c r="N75" i="1"/>
  <c r="CW62" i="1"/>
  <c r="CX62" i="1" s="1"/>
  <c r="CW61" i="1"/>
  <c r="CX61" i="1" s="1"/>
  <c r="CW56" i="1"/>
  <c r="CX56" i="1" s="1"/>
  <c r="CW60" i="1"/>
  <c r="CX60" i="1" s="1"/>
  <c r="I69" i="1"/>
  <c r="J70" i="1"/>
  <c r="I70" i="1"/>
  <c r="J69" i="1"/>
  <c r="J71" i="1"/>
  <c r="I71" i="1"/>
  <c r="N37" i="1"/>
  <c r="O37" i="1" s="1"/>
  <c r="I42" i="1"/>
  <c r="I47" i="1"/>
  <c r="I45" i="1"/>
  <c r="I37" i="1"/>
  <c r="I43" i="1"/>
  <c r="I46" i="1"/>
  <c r="I40" i="1"/>
  <c r="N47" i="1"/>
  <c r="O47" i="1" s="1"/>
  <c r="N44" i="1"/>
  <c r="O44" i="1" s="1"/>
  <c r="N39" i="1"/>
  <c r="O39" i="1" s="1"/>
  <c r="N42" i="1"/>
  <c r="O42" i="1" s="1"/>
  <c r="N48" i="1"/>
  <c r="O48" i="1" s="1"/>
  <c r="N45" i="1"/>
  <c r="O45" i="1" s="1"/>
  <c r="N41" i="1"/>
  <c r="O41" i="1" s="1"/>
  <c r="N40" i="1"/>
  <c r="O40" i="1" s="1"/>
  <c r="N43" i="1"/>
  <c r="O43" i="1" s="1"/>
  <c r="N38" i="1"/>
  <c r="O38" i="1" s="1"/>
  <c r="N46" i="1"/>
  <c r="O46" i="1" s="1"/>
  <c r="R39" i="1"/>
  <c r="S39" i="1" s="1"/>
  <c r="R44" i="1"/>
  <c r="S44" i="1" s="1"/>
  <c r="R47" i="1"/>
  <c r="S47" i="1" s="1"/>
  <c r="R42" i="1"/>
  <c r="S42" i="1" s="1"/>
  <c r="R45" i="1"/>
  <c r="S45" i="1" s="1"/>
  <c r="R48" i="1"/>
  <c r="S48" i="1" s="1"/>
  <c r="R41" i="1"/>
  <c r="S41" i="1" s="1"/>
  <c r="R43" i="1"/>
  <c r="S43" i="1" s="1"/>
  <c r="R40" i="1"/>
  <c r="S40" i="1" s="1"/>
  <c r="R46" i="1"/>
  <c r="S46" i="1" s="1"/>
  <c r="R38" i="1"/>
  <c r="S38" i="1" s="1"/>
  <c r="J38" i="1" l="1"/>
  <c r="K38" i="1" s="1"/>
  <c r="N68" i="1"/>
  <c r="I41" i="1"/>
  <c r="I38" i="1"/>
  <c r="I48" i="1"/>
  <c r="I44" i="1"/>
  <c r="I39" i="1"/>
  <c r="J43" i="1"/>
  <c r="K43" i="1" s="1"/>
  <c r="J41" i="1"/>
  <c r="K41" i="1" s="1"/>
  <c r="J40" i="1"/>
  <c r="K40" i="1" s="1"/>
  <c r="J42" i="1"/>
  <c r="K42" i="1" s="1"/>
  <c r="J44" i="1"/>
  <c r="K44" i="1" s="1"/>
  <c r="J47" i="1"/>
  <c r="K47" i="1" s="1"/>
  <c r="J37" i="1"/>
  <c r="K37" i="1" s="1"/>
  <c r="J46" i="1"/>
  <c r="K46" i="1" s="1"/>
  <c r="J45" i="1"/>
  <c r="K45" i="1" s="1"/>
  <c r="J48" i="1"/>
  <c r="K48" i="1" s="1"/>
  <c r="J39" i="1"/>
  <c r="K39" i="1" s="1"/>
  <c r="P58" i="1"/>
  <c r="Q58" i="1" s="1"/>
  <c r="P63" i="1"/>
  <c r="Q63" i="1" s="1"/>
  <c r="P59" i="1"/>
  <c r="Q59" i="1" s="1"/>
  <c r="P60" i="1"/>
  <c r="Q60" i="1" s="1"/>
  <c r="P57" i="1"/>
  <c r="Q57" i="1" s="1"/>
  <c r="P55" i="1"/>
  <c r="Q55" i="1" s="1"/>
  <c r="P54" i="1"/>
  <c r="Q54" i="1" s="1"/>
  <c r="P61" i="1"/>
  <c r="Q61" i="1" s="1"/>
  <c r="P62" i="1"/>
  <c r="Q62" i="1" s="1"/>
  <c r="P56" i="1"/>
  <c r="Q56" i="1" s="1"/>
  <c r="P53" i="1"/>
  <c r="Q53" i="1" s="1"/>
  <c r="AB76" i="1"/>
  <c r="AB78" i="1"/>
  <c r="AB70" i="1"/>
  <c r="AB72" i="1"/>
  <c r="N69" i="1" l="1"/>
  <c r="N7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<sst xmlns="http://schemas.openxmlformats.org/spreadsheetml/2006/main" count="850" uniqueCount="146">
  <si>
    <t>ℓ (cm)</t>
  </si>
  <si>
    <r>
      <t>ℓ</t>
    </r>
    <r>
      <rPr>
        <vertAlign val="superscript"/>
        <sz val="11"/>
        <color rgb="FF202124"/>
        <rFont val="Calibri"/>
        <family val="2"/>
        <scheme val="minor"/>
      </rPr>
      <t>4</t>
    </r>
    <r>
      <rPr>
        <sz val="11"/>
        <color rgb="FF202124"/>
        <rFont val="Calibri"/>
        <family val="2"/>
        <scheme val="minor"/>
      </rPr>
      <t xml:space="preserve"> (m)</t>
    </r>
  </si>
  <si>
    <r>
      <t>u(ℓ</t>
    </r>
    <r>
      <rPr>
        <vertAlign val="superscript"/>
        <sz val="11"/>
        <color rgb="FF202124"/>
        <rFont val="Calibri"/>
        <family val="2"/>
        <scheme val="minor"/>
      </rPr>
      <t>4</t>
    </r>
    <r>
      <rPr>
        <sz val="11"/>
        <color rgb="FF202124"/>
        <rFont val="Calibri"/>
        <family val="2"/>
        <scheme val="minor"/>
      </rPr>
      <t>) (m)</t>
    </r>
  </si>
  <si>
    <t>u(ℓ) (cm)</t>
  </si>
  <si>
    <t>u(ℓ) (m)</t>
  </si>
  <si>
    <t>t (s)</t>
  </si>
  <si>
    <t>T (s)</t>
  </si>
  <si>
    <r>
      <t>(T</t>
    </r>
    <r>
      <rPr>
        <vertAlign val="subscript"/>
        <sz val="11"/>
        <color theme="1"/>
        <rFont val="Calibri"/>
        <family val="2"/>
        <scheme val="minor"/>
      </rPr>
      <t>médio</t>
    </r>
    <r>
      <rPr>
        <sz val="11"/>
        <color theme="1"/>
        <rFont val="Calibri"/>
        <family val="2"/>
        <scheme val="minor"/>
      </rPr>
      <t>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</si>
  <si>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u(T</t>
    </r>
    <r>
      <rPr>
        <vertAlign val="subscript"/>
        <sz val="11"/>
        <color theme="1"/>
        <rFont val="Calibri"/>
        <family val="2"/>
        <scheme val="minor"/>
      </rPr>
      <t>médio</t>
    </r>
    <r>
      <rPr>
        <sz val="11"/>
        <color theme="1"/>
        <rFont val="Calibri"/>
        <family val="2"/>
        <scheme val="minor"/>
      </rPr>
      <t>) (s)</t>
    </r>
  </si>
  <si>
    <r>
      <t>T</t>
    </r>
    <r>
      <rPr>
        <vertAlign val="subscript"/>
        <sz val="11"/>
        <color theme="1"/>
        <rFont val="Calibri"/>
        <family val="2"/>
        <scheme val="minor"/>
      </rPr>
      <t>médio</t>
    </r>
    <r>
      <rPr>
        <sz val="11"/>
        <color theme="1"/>
        <rFont val="Calibri"/>
        <family val="2"/>
        <scheme val="minor"/>
      </rPr>
      <t xml:space="preserve"> (s)</t>
    </r>
  </si>
  <si>
    <r>
      <t>u((T</t>
    </r>
    <r>
      <rPr>
        <vertAlign val="subscript"/>
        <sz val="11"/>
        <color theme="1"/>
        <rFont val="Calibri"/>
        <family val="2"/>
        <scheme val="minor"/>
      </rPr>
      <t>médio</t>
    </r>
    <r>
      <rPr>
        <sz val="11"/>
        <color theme="1"/>
        <rFont val="Calibri"/>
        <family val="2"/>
        <scheme val="minor"/>
      </rPr>
      <t>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(s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</si>
  <si>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u(t) (s)</t>
  </si>
  <si>
    <t>i = 51</t>
  </si>
  <si>
    <t>i = 101</t>
  </si>
  <si>
    <t>i = 151</t>
  </si>
  <si>
    <t>u(m) (kg)</t>
  </si>
  <si>
    <t>u(d) (m)</t>
  </si>
  <si>
    <t>Medições</t>
  </si>
  <si>
    <t>m</t>
  </si>
  <si>
    <t>u(l) (m)</t>
  </si>
  <si>
    <t>Média</t>
  </si>
  <si>
    <t>u(média)</t>
  </si>
  <si>
    <r>
      <t>ρ (kg m</t>
    </r>
    <r>
      <rPr>
        <vertAlign val="superscript"/>
        <sz val="11"/>
        <color theme="1"/>
        <rFont val="Calibri"/>
        <family val="2"/>
      </rPr>
      <t>-3</t>
    </r>
    <r>
      <rPr>
        <sz val="11"/>
        <color theme="1"/>
        <rFont val="Calibri"/>
        <family val="2"/>
      </rPr>
      <t>)</t>
    </r>
  </si>
  <si>
    <r>
      <t>V (m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</si>
  <si>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u(ρ) (kg m</t>
    </r>
    <r>
      <rPr>
        <vertAlign val="superscript"/>
        <sz val="11"/>
        <color theme="1"/>
        <rFont val="Calibri"/>
        <family val="2"/>
      </rPr>
      <t>-3</t>
    </r>
    <r>
      <rPr>
        <sz val="11"/>
        <color theme="1"/>
        <rFont val="Calibri"/>
        <family val="2"/>
      </rPr>
      <t>)</t>
    </r>
  </si>
  <si>
    <t>u(ρ) (%)</t>
  </si>
  <si>
    <r>
      <t>u(V) (m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</si>
  <si>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Regressão de T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(ℓ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 para i=51</t>
    </r>
  </si>
  <si>
    <t>s(m)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</si>
  <si>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</si>
  <si>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b</t>
  </si>
  <si>
    <t>s(b)</t>
  </si>
  <si>
    <t>s(y)</t>
  </si>
  <si>
    <r>
      <t>Regressão de T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(ℓ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 para i=101</t>
    </r>
  </si>
  <si>
    <r>
      <t>Regressão de T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(ℓ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 para i=151</t>
    </r>
  </si>
  <si>
    <t>E = ( 5,029 * pi^2 * rho ) / ( m * D^2 )</t>
  </si>
  <si>
    <r>
      <t>E (Nm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)</t>
    </r>
  </si>
  <si>
    <r>
      <t>u(E) (Nm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)</t>
    </r>
  </si>
  <si>
    <t>u(E) (%)</t>
  </si>
  <si>
    <t>Ajuste</t>
  </si>
  <si>
    <t>Resíduos</t>
  </si>
  <si>
    <t>log l</t>
  </si>
  <si>
    <t>log T</t>
  </si>
  <si>
    <t>Regressão de log(T)[log(ℓ)] para i=51</t>
  </si>
  <si>
    <t>Regressão de log(T)[log(ℓ)] para i=101</t>
  </si>
  <si>
    <t>Regressão de log(T)[log(ℓ)] para i=151</t>
  </si>
  <si>
    <t>Erro Linearização</t>
  </si>
  <si>
    <t>Incerteza Linearização</t>
  </si>
  <si>
    <r>
      <t>E</t>
    </r>
    <r>
      <rPr>
        <vertAlign val="subscript"/>
        <sz val="11"/>
        <color theme="1"/>
        <rFont val="Calibri"/>
        <family val="2"/>
        <scheme val="minor"/>
      </rPr>
      <t>ref</t>
    </r>
  </si>
  <si>
    <t>Erro (%)</t>
  </si>
  <si>
    <t>Média dos 3 i</t>
  </si>
  <si>
    <r>
      <t>Regressão de T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(ℓ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 médio</t>
    </r>
  </si>
  <si>
    <t>Log(ℓ)</t>
  </si>
  <si>
    <t>Log(T)</t>
  </si>
  <si>
    <t>Regressão de log(T)[log(ℓ)] para média</t>
  </si>
  <si>
    <t>Disco</t>
  </si>
  <si>
    <t>Coroa</t>
  </si>
  <si>
    <t>Prisma</t>
  </si>
  <si>
    <t>D</t>
  </si>
  <si>
    <t>M (kg)</t>
  </si>
  <si>
    <t>M (g)</t>
  </si>
  <si>
    <t>D (mm)</t>
  </si>
  <si>
    <t>D1 (mm)</t>
  </si>
  <si>
    <t>D2 (mm)</t>
  </si>
  <si>
    <t>b (mm)</t>
  </si>
  <si>
    <t>Média (SI)</t>
  </si>
  <si>
    <t>u (SI)</t>
  </si>
  <si>
    <t>I</t>
  </si>
  <si>
    <t>Prisma - eixo maior b</t>
  </si>
  <si>
    <t>Prisma - eixo menor b</t>
  </si>
  <si>
    <t>h (mm)</t>
  </si>
  <si>
    <t>Sistema B</t>
  </si>
  <si>
    <t>Sistema A</t>
  </si>
  <si>
    <t>Sistema C</t>
  </si>
  <si>
    <t>Sistema D</t>
  </si>
  <si>
    <t>I sistema</t>
  </si>
  <si>
    <r>
      <t>θ</t>
    </r>
    <r>
      <rPr>
        <vertAlign val="subscript"/>
        <sz val="10"/>
        <color rgb="FF202124"/>
        <rFont val="Arial"/>
        <family val="2"/>
      </rPr>
      <t>máx</t>
    </r>
    <r>
      <rPr>
        <sz val="10"/>
        <color rgb="FF202124"/>
        <rFont val="Arial"/>
        <family val="2"/>
      </rPr>
      <t xml:space="preserve"> (º)</t>
    </r>
  </si>
  <si>
    <t>ℓ (mm)</t>
  </si>
  <si>
    <t>Fio</t>
  </si>
  <si>
    <t>d (mm)</t>
  </si>
  <si>
    <t>T médio (s)</t>
  </si>
  <si>
    <t>A</t>
  </si>
  <si>
    <t>B</t>
  </si>
  <si>
    <t>C</t>
  </si>
  <si>
    <t>u(T médio)</t>
  </si>
  <si>
    <r>
      <t>T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(s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</si>
  <si>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u(T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(s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</si>
  <si>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log(I)</t>
  </si>
  <si>
    <t>log(T)</t>
  </si>
  <si>
    <t>Log(I) [Log(T)]</t>
  </si>
  <si>
    <t>Incerteza % Linearização</t>
  </si>
  <si>
    <t>Erro % Linearização</t>
  </si>
  <si>
    <t>u(I)</t>
  </si>
  <si>
    <t>Ajuste 1</t>
  </si>
  <si>
    <t>Resíduos 1</t>
  </si>
  <si>
    <t>Ajuste 2</t>
  </si>
  <si>
    <t>Resíduos 2</t>
  </si>
  <si>
    <r>
      <t>I(T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</si>
  <si>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T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(I)</t>
    </r>
  </si>
  <si>
    <t>μ</t>
  </si>
  <si>
    <t>μ ref</t>
  </si>
  <si>
    <t>79,3 Gpa</t>
  </si>
  <si>
    <t>l (mm)</t>
  </si>
  <si>
    <t>m (g)</t>
  </si>
  <si>
    <t>SENTIDO ANTI-HORARIO</t>
  </si>
  <si>
    <r>
      <t>ℓ</t>
    </r>
    <r>
      <rPr>
        <vertAlign val="superscript"/>
        <sz val="11"/>
        <color rgb="FF202124"/>
        <rFont val="Calibri"/>
        <family val="2"/>
        <scheme val="minor"/>
      </rPr>
      <t>2</t>
    </r>
    <r>
      <rPr>
        <sz val="11"/>
        <color rgb="FF202124"/>
        <rFont val="Calibri"/>
        <family val="2"/>
        <scheme val="minor"/>
      </rPr>
      <t xml:space="preserve"> (m)</t>
    </r>
  </si>
  <si>
    <r>
      <t>ℓ</t>
    </r>
    <r>
      <rPr>
        <vertAlign val="superscript"/>
        <sz val="11"/>
        <color rgb="FF202124"/>
        <rFont val="Calibri"/>
        <family val="2"/>
        <scheme val="minor"/>
      </rPr>
      <t>2</t>
    </r>
    <r>
      <rPr>
        <sz val="11"/>
        <color rgb="FF202124"/>
        <rFont val="Calibri"/>
        <family val="2"/>
        <scheme val="minor"/>
      </rPr>
      <t xml:space="preserve"> (m</t>
    </r>
    <r>
      <rPr>
        <vertAlign val="superscript"/>
        <sz val="11"/>
        <color rgb="FF202124"/>
        <rFont val="Calibri"/>
        <family val="2"/>
        <scheme val="minor"/>
      </rPr>
      <t>2</t>
    </r>
    <r>
      <rPr>
        <sz val="11"/>
        <color rgb="FF202124"/>
        <rFont val="Calibri"/>
        <family val="2"/>
        <scheme val="minor"/>
      </rPr>
      <t>)</t>
    </r>
  </si>
  <si>
    <r>
      <t>u(ℓ</t>
    </r>
    <r>
      <rPr>
        <vertAlign val="superscript"/>
        <sz val="11"/>
        <color rgb="FF202124"/>
        <rFont val="Calibri"/>
        <family val="2"/>
        <scheme val="minor"/>
      </rPr>
      <t>2</t>
    </r>
    <r>
      <rPr>
        <sz val="11"/>
        <color rgb="FF202124"/>
        <rFont val="Calibri"/>
        <family val="2"/>
        <scheme val="minor"/>
      </rPr>
      <t>) (m</t>
    </r>
    <r>
      <rPr>
        <vertAlign val="superscript"/>
        <sz val="11"/>
        <color rgb="FF202124"/>
        <rFont val="Calibri"/>
        <family val="2"/>
        <scheme val="minor"/>
      </rPr>
      <t>2</t>
    </r>
    <r>
      <rPr>
        <sz val="11"/>
        <color rgb="FF202124"/>
        <rFont val="Calibri"/>
        <family val="2"/>
        <scheme val="minor"/>
      </rPr>
      <t>)</t>
    </r>
  </si>
  <si>
    <r>
      <t>(T</t>
    </r>
    <r>
      <rPr>
        <vertAlign val="subscript"/>
        <sz val="11"/>
        <color theme="1"/>
        <rFont val="Calibri"/>
        <family val="2"/>
        <scheme val="minor"/>
      </rPr>
      <t>médio</t>
    </r>
    <r>
      <rPr>
        <sz val="11"/>
        <color theme="1"/>
        <rFont val="Calibri"/>
        <family val="2"/>
        <scheme val="minor"/>
      </rPr>
      <t>) (s)</t>
    </r>
  </si>
  <si>
    <t>Sem Duvidoso</t>
  </si>
  <si>
    <t>Aj</t>
  </si>
  <si>
    <t>Res</t>
  </si>
  <si>
    <t>x</t>
  </si>
  <si>
    <t>y</t>
  </si>
  <si>
    <t>Ajuste - 1</t>
  </si>
  <si>
    <t>Resíduos - 1</t>
  </si>
  <si>
    <t>Ajuste - 2</t>
  </si>
  <si>
    <t>Resíduos - 2</t>
  </si>
  <si>
    <r>
      <t>Regressão de T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(ℓ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 para i=51 - Ajuste 1</t>
    </r>
  </si>
  <si>
    <r>
      <t>Regressão de T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(ℓ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 para i=51 - Ajuste 2</t>
    </r>
  </si>
  <si>
    <t>u(T) (s)</t>
  </si>
  <si>
    <t>Ajuste-Log</t>
  </si>
  <si>
    <t>Res-Log</t>
  </si>
  <si>
    <t>u(log(l))</t>
  </si>
  <si>
    <t>u(log(T))</t>
  </si>
  <si>
    <t>Sem Duvidoso - i=51 - Log Log</t>
  </si>
  <si>
    <t>Ajuste-Log-2</t>
  </si>
  <si>
    <t>Res-Log-2</t>
  </si>
  <si>
    <t>Ajuste-Log-1</t>
  </si>
  <si>
    <t>Res-Log-1</t>
  </si>
  <si>
    <r>
      <t>Regressão de T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(ℓ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 para i=151 - Ajuste 1</t>
    </r>
  </si>
  <si>
    <r>
      <t>Regressão de T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(ℓ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 para i=151 - Ajuste 2</t>
    </r>
  </si>
  <si>
    <t>Erro %</t>
  </si>
  <si>
    <t>u(μ)</t>
  </si>
  <si>
    <t>u(μ) (%)</t>
  </si>
  <si>
    <t>log(T)[log(I)]</t>
  </si>
  <si>
    <t>Kgs^-2m^-1</t>
  </si>
  <si>
    <t>Regressão de log(T)[log(ℓ)] para i=51 - Ajuste 1</t>
  </si>
  <si>
    <t>Regressão de log(T)[log(ℓ)] para i=51 -Ajuste 2</t>
  </si>
  <si>
    <r>
      <t>Regressão de T(ℓ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para i=51</t>
    </r>
  </si>
  <si>
    <r>
      <t>Regressão de T(ℓ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para i=101</t>
    </r>
  </si>
  <si>
    <r>
      <t>Regressão de T(ℓ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para i=151</t>
    </r>
  </si>
  <si>
    <t>M.Inércia(I)</t>
  </si>
  <si>
    <t>Objeto/Sistema</t>
  </si>
  <si>
    <t>BARRAS NÃO SÃO VISIVEIS</t>
  </si>
  <si>
    <t>ulog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</si>
</sst>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164" formatCode="0.0000"/>
    <numFmt numFmtId="165" formatCode="0.000"/>
    <numFmt numFmtId="166" formatCode="0.0"/>
    <numFmt numFmtId="167" formatCode="0.000E+00"/>
    <numFmt numFmtId="168" formatCode="0E+00"/>
    <numFmt numFmtId="169" formatCode="0.00000"/>
    <numFmt numFmtId="170" formatCode="0.000000"/>
    <numFmt numFmtId="171" formatCode="0.00000E+00"/>
    <numFmt numFmtId="172" formatCode="0.000000E+00"/>
    <numFmt numFmtId="173" formatCode="0.0000000E+00"/>
    <numFmt numFmtId="174" formatCode="0.00000000E+00"/>
    <numFmt numFmtId="175" formatCode="0.000000000E+00"/>
    <numFmt numFmtId="176" formatCode="0.0%"/>
    <numFmt numFmtId="177" formatCode="0.000000%"/>
    <numFmt numFmtId="178" formatCode="0.000000000"/>
    <numFmt numFmtId="179" formatCode="0.00000%"/>
    <numFmt numFmtId="183" formatCode="0.0E+00"/>
  </numFmts>
  <fonts count="12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vertAlign val="superscript"/>
      <sz val="11"/>
      <color rgb="FF202124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rgb="FF202124"/>
      <name val="Arial"/>
      <family val="2"/>
    </font>
    <font>
      <vertAlign val="subscript"/>
      <sz val="10"/>
      <color rgb="FF202124"/>
      <name val="Arial"/>
      <family val="2"/>
    </font>
    <font>
      <sz val="2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8" fillId="3" borderId="1" xfId="0" applyFont="1" applyFill="1" applyBorder="1" applyAlignment="1">
      <alignment horizontal="center"/>
    </xf>
    <xf numFmtId="166" fontId="0" fillId="0" borderId="1" xfId="0" applyNumberFormat="1" applyBorder="1" applyAlignment="1">
      <alignment horizontal="center" vertical="center"/>
    </xf>
    <xf numFmtId="2" fontId="0" fillId="5" borderId="1" xfId="0" applyNumberForma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169" fontId="0" fillId="0" borderId="1" xfId="0" applyNumberFormat="1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171" fontId="0" fillId="0" borderId="1" xfId="0" applyNumberFormat="1" applyBorder="1" applyAlignment="1">
      <alignment horizontal="center" vertical="center"/>
    </xf>
    <xf numFmtId="172" fontId="0" fillId="0" borderId="1" xfId="0" applyNumberFormat="1" applyBorder="1" applyAlignment="1">
      <alignment horizontal="center" vertical="center"/>
    </xf>
    <xf numFmtId="173" fontId="0" fillId="0" borderId="1" xfId="0" applyNumberFormat="1" applyBorder="1" applyAlignment="1">
      <alignment horizontal="center" vertical="center"/>
    </xf>
    <xf numFmtId="175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74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169" fontId="0" fillId="5" borderId="1" xfId="0" applyNumberForma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164" fontId="0" fillId="6" borderId="1" xfId="0" applyNumberFormat="1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164" fontId="0" fillId="7" borderId="1" xfId="0" applyNumberFormat="1" applyFill="1" applyBorder="1" applyAlignment="1">
      <alignment horizontal="center" vertical="center"/>
    </xf>
    <xf numFmtId="164" fontId="0" fillId="8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169" fontId="0" fillId="8" borderId="1" xfId="0" applyNumberFormat="1" applyFill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2" fontId="0" fillId="8" borderId="1" xfId="0" applyNumberFormat="1" applyFill="1" applyBorder="1" applyAlignment="1">
      <alignment horizontal="center" vertical="center"/>
    </xf>
    <xf numFmtId="171" fontId="0" fillId="8" borderId="1" xfId="0" applyNumberFormat="1" applyFill="1" applyBorder="1" applyAlignment="1">
      <alignment horizontal="center" vertical="center"/>
    </xf>
    <xf numFmtId="168" fontId="0" fillId="8" borderId="1" xfId="0" applyNumberFormat="1" applyFill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170" fontId="0" fillId="6" borderId="1" xfId="0" applyNumberFormat="1" applyFill="1" applyBorder="1" applyAlignment="1">
      <alignment horizontal="center" vertical="center"/>
    </xf>
    <xf numFmtId="169" fontId="0" fillId="6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169" fontId="0" fillId="0" borderId="1" xfId="0" applyNumberFormat="1" applyBorder="1" applyAlignment="1">
      <alignment horizontal="center" vertical="center"/>
    </xf>
    <xf numFmtId="171" fontId="0" fillId="0" borderId="1" xfId="0" applyNumberFormat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173" fontId="0" fillId="0" borderId="1" xfId="0" applyNumberFormat="1" applyBorder="1" applyAlignment="1">
      <alignment horizontal="center" vertical="center"/>
    </xf>
    <xf numFmtId="17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5" fontId="0" fillId="0" borderId="1" xfId="0" applyNumberFormat="1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83" fontId="0" fillId="0" borderId="1" xfId="0" applyNumberForma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EADF"/>
      <color rgb="FFFFEBE5"/>
      <color rgb="FFFFFC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57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62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63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64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65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66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67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68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69.xml.rels><?xml version="1.0" encoding="UTF-8" standalone="yes"?>
<Relationships xmlns="http://schemas.openxmlformats.org/package/2006/relationships"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70.xml.rels><?xml version="1.0" encoding="UTF-8" standalone="yes"?>
<Relationships xmlns="http://schemas.openxmlformats.org/package/2006/relationships"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_rels/chart71.xml.rels><?xml version="1.0" encoding="UTF-8" standalone="yes"?>
<Relationships xmlns="http://schemas.openxmlformats.org/package/2006/relationships"><Relationship Id="rId2" Type="http://schemas.microsoft.com/office/2011/relationships/chartColorStyle" Target="colors59.xml"/><Relationship Id="rId1" Type="http://schemas.microsoft.com/office/2011/relationships/chartStyle" Target="style59.xml"/></Relationships>
</file>

<file path=xl/charts/_rels/chart72.xml.rels><?xml version="1.0" encoding="UTF-8" standalone="yes"?>
<Relationships xmlns="http://schemas.openxmlformats.org/package/2006/relationships"><Relationship Id="rId2" Type="http://schemas.microsoft.com/office/2011/relationships/chartColorStyle" Target="colors60.xml"/><Relationship Id="rId1" Type="http://schemas.microsoft.com/office/2011/relationships/chartStyle" Target="style60.xml"/></Relationships>
</file>

<file path=xl/charts/_rels/chart73.xml.rels><?xml version="1.0" encoding="UTF-8" standalone="yes"?>
<Relationships xmlns="http://schemas.openxmlformats.org/package/2006/relationships"><Relationship Id="rId2" Type="http://schemas.microsoft.com/office/2011/relationships/chartColorStyle" Target="colors61.xml"/><Relationship Id="rId1" Type="http://schemas.microsoft.com/office/2011/relationships/chartStyle" Target="style6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 i = 51 - Fórmula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68524166666666675"/>
        </c:manualLayout>
      </c:layout>
      <c:scatterChart>
        <c:scatterStyle val="lineMarker"/>
        <c:varyColors val="0"/>
        <c:ser>
          <c:idx val="0"/>
          <c:order val="0"/>
          <c:tx>
            <c:v>i=51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#1'!$G$49:$G$49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#1'!$G$49:$G$49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#1'!$I$49:$I$49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#1'!$I$49:$I$49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#1'!$N$53:$N$63</c:f>
              <c:numCache>
                <c:formatCode>General</c:formatCode>
                <c:ptCount val="11"/>
                <c:pt idx="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>
                  <c:v>2.5600000000000012E-2</c:v>
                </c:pt>
                <c:pt idx="4">
                  <c:v>3.3556377855999991E-2</c:v>
                </c:pt>
                <c:pt idx="5">
                  <c:v>3.9567575056000004E-2</c:v>
                </c:pt>
                <c:pt idx="6">
                  <c:v>4.5954068160999992E-2</c:v>
                </c:pt>
                <c:pt idx="7">
                  <c:v>5.3527912321000015E-2</c:v>
                </c:pt>
                <c:pt idx="8">
                  <c:v>6.0037250624999997E-2</c:v>
                </c:pt>
                <c:pt idx="9">
                  <c:v>6.5037750625000001E-2</c:v>
                </c:pt>
                <c:pt idx="10">
                  <c:v>7.3116160000000013E-2</c:v>
                </c:pt>
              </c:numCache>
            </c:numRef>
          </c:xVal>
          <c:yVal>
            <c:numRef>
              <c:f>'Barra #1'!$O$53:$O$63</c:f>
              <c:numCache>
                <c:formatCode>General</c:formatCode>
                <c:ptCount val="11"/>
                <c:pt idx="0">
                  <c:v>5.6644000000000009E-4</c:v>
                </c:pt>
                <c:pt idx="1">
                  <c:v>3.7699600000000006E-3</c:v>
                </c:pt>
                <c:pt idx="2">
                  <c:v>6.9889599999999989E-3</c:v>
                </c:pt>
                <c:pt idx="3">
                  <c:v>1.2814240000000003E-2</c:v>
                </c:pt>
                <c:pt idx="4">
                  <c:v>1.6744360000000003E-2</c:v>
                </c:pt>
                <c:pt idx="5">
                  <c:v>1.9376639999999997E-2</c:v>
                </c:pt>
                <c:pt idx="6">
                  <c:v>2.2680359999999997E-2</c:v>
                </c:pt>
                <c:pt idx="7">
                  <c:v>2.6569000000000002E-2</c:v>
                </c:pt>
                <c:pt idx="8">
                  <c:v>2.9998239999999999E-2</c:v>
                </c:pt>
                <c:pt idx="9">
                  <c:v>3.2041E-2</c:v>
                </c:pt>
                <c:pt idx="10">
                  <c:v>3.61E-2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87-4027-9825-50732245D842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#1'!$N$53:$N$63</c:f>
              <c:numCache>
                <c:formatCode>General</c:formatCode>
                <c:ptCount val="11"/>
                <c:pt idx="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>
                  <c:v>2.5600000000000012E-2</c:v>
                </c:pt>
                <c:pt idx="4">
                  <c:v>3.3556377855999991E-2</c:v>
                </c:pt>
                <c:pt idx="5">
                  <c:v>3.9567575056000004E-2</c:v>
                </c:pt>
                <c:pt idx="6">
                  <c:v>4.5954068160999992E-2</c:v>
                </c:pt>
                <c:pt idx="7">
                  <c:v>5.3527912321000015E-2</c:v>
                </c:pt>
                <c:pt idx="8">
                  <c:v>6.0037250624999997E-2</c:v>
                </c:pt>
                <c:pt idx="9">
                  <c:v>6.5037750625000001E-2</c:v>
                </c:pt>
                <c:pt idx="10">
                  <c:v>7.3116160000000013E-2</c:v>
                </c:pt>
              </c:numCache>
            </c:numRef>
          </c:xVal>
          <c:yVal>
            <c:numRef>
              <c:f>'Barra #1'!$P$53:$P$63</c:f>
              <c:numCache>
                <c:formatCode>General</c:formatCode>
                <c:ptCount val="11"/>
                <c:pt idx="0">
                  <c:v>5.8594810105143922E-4</c:v>
                </c:pt>
                <c:pt idx="1">
                  <c:v>3.8071690189970904E-3</c:v>
                </c:pt>
                <c:pt idx="2">
                  <c:v>6.9822054976471665E-3</c:v>
                </c:pt>
                <c:pt idx="3">
                  <c:v>1.2708374411115324E-2</c:v>
                </c:pt>
                <c:pt idx="4">
                  <c:v>1.6637077521731911E-2</c:v>
                </c:pt>
                <c:pt idx="5">
                  <c:v>1.9605288630554576E-2</c:v>
                </c:pt>
                <c:pt idx="6">
                  <c:v>2.2758813485916209E-2</c:v>
                </c:pt>
                <c:pt idx="7">
                  <c:v>2.6498628970958633E-2</c:v>
                </c:pt>
                <c:pt idx="8">
                  <c:v>2.9712812372730508E-2</c:v>
                </c:pt>
                <c:pt idx="9">
                  <c:v>3.2181961055736237E-2</c:v>
                </c:pt>
                <c:pt idx="10">
                  <c:v>3.6170920933560925E-2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A87-4027-9825-50732245D842}"/>
            </c:ext>
          </c:extLst>
        </c:ser>
        <c:ser>
          <c:idx val="2"/>
          <c:order val="2"/>
          <c:tx>
            <c:v>Ponto Duvidoso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'Barra #1'!$D$40</c:f>
              <c:numCache>
                <c:formatCode>0.000000E+00</c:formatCode>
                <c:ptCount val="1"/>
                <c:pt idx="0">
                  <c:v>2.0632736880999997E-2</c:v>
                </c:pt>
              </c:numCache>
            </c:numRef>
          </c:xVal>
          <c:yVal>
            <c:numRef>
              <c:f>'Barra #1'!$F$40</c:f>
              <c:numCache>
                <c:formatCode>0.0000</c:formatCode>
                <c:ptCount val="1"/>
                <c:pt idx="0">
                  <c:v>1.1406239999999998E-2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BA-463D-B7D5-1D7A482B16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454883672287603"/>
          <c:y val="0.65875565213055465"/>
          <c:w val="0.27080776287926206"/>
          <c:h val="0.15802979758591426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 i = 101 - Fórmula 1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68524166666666675"/>
        </c:manualLayout>
      </c:layout>
      <c:scatterChart>
        <c:scatterStyle val="lineMarker"/>
        <c:varyColors val="0"/>
        <c:ser>
          <c:idx val="2"/>
          <c:order val="0"/>
          <c:tx>
            <c:v>i=101</c:v>
          </c:tx>
          <c:spPr>
            <a:ln w="25400">
              <a:noFill/>
            </a:ln>
          </c:spPr>
          <c:errBars>
            <c:errDir val="x"/>
            <c:errBarType val="both"/>
            <c:errValType val="cust"/>
            <c:noEndCap val="0"/>
            <c:plus>
              <c:numRef>
                <c:f>'Barra #1'!$G$49:$G$49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#1'!$G$49:$G$49</c:f>
                <c:numCache>
                  <c:formatCode>General</c:formatCode>
                  <c:ptCount val="1"/>
                </c:numCache>
              </c:numRef>
            </c:minus>
          </c:errBars>
          <c:errBars>
            <c:errDir val="y"/>
            <c:errBarType val="both"/>
            <c:errValType val="cust"/>
            <c:noEndCap val="0"/>
            <c:plus>
              <c:numRef>
                <c:f>'Barra #1'!$I$49:$I$49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#1'!$I$49:$I$49</c:f>
                <c:numCache>
                  <c:formatCode>General</c:formatCode>
                  <c:ptCount val="1"/>
                </c:numCache>
              </c:numRef>
            </c:minus>
          </c:errBars>
          <c:xVal>
            <c:numRef>
              <c:f>'Barra #1'!$D$37:$D$48</c:f>
              <c:numCache>
                <c:formatCode>0.0000000E+00</c:formatCode>
                <c:ptCount val="12"/>
                <c:pt idx="0" formatCode="0.00000000E+0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 formatCode="0.000000E+00">
                  <c:v>2.0632736880999997E-2</c:v>
                </c:pt>
                <c:pt idx="4" formatCode="0.000000E+00">
                  <c:v>2.5600000000000012E-2</c:v>
                </c:pt>
                <c:pt idx="5" formatCode="0.000000E+00">
                  <c:v>3.3556377855999991E-2</c:v>
                </c:pt>
                <c:pt idx="6" formatCode="0.00000E+00">
                  <c:v>3.9567575056000004E-2</c:v>
                </c:pt>
                <c:pt idx="7" formatCode="0.00000E+00">
                  <c:v>4.5954068160999992E-2</c:v>
                </c:pt>
                <c:pt idx="8" formatCode="0.00000E+00">
                  <c:v>5.3527912321000015E-2</c:v>
                </c:pt>
                <c:pt idx="9" formatCode="0.00000E+00">
                  <c:v>6.0037250624999997E-2</c:v>
                </c:pt>
                <c:pt idx="10" formatCode="0.00000E+00">
                  <c:v>6.5037750625000001E-2</c:v>
                </c:pt>
                <c:pt idx="11" formatCode="0.00000E+00">
                  <c:v>7.3116160000000013E-2</c:v>
                </c:pt>
              </c:numCache>
            </c:numRef>
          </c:xVal>
          <c:yVal>
            <c:numRef>
              <c:f>'Barra #1'!$L$37:$L$48</c:f>
              <c:numCache>
                <c:formatCode>0.00000</c:formatCode>
                <c:ptCount val="12"/>
                <c:pt idx="0">
                  <c:v>5.5225000000000001E-4</c:v>
                </c:pt>
                <c:pt idx="1">
                  <c:v>3.8439999999999998E-3</c:v>
                </c:pt>
                <c:pt idx="2">
                  <c:v>7.1233599999999979E-3</c:v>
                </c:pt>
                <c:pt idx="3">
                  <c:v>1.048576E-2</c:v>
                </c:pt>
                <c:pt idx="4">
                  <c:v>1.3087360000000001E-2</c:v>
                </c:pt>
                <c:pt idx="5">
                  <c:v>1.705636E-2</c:v>
                </c:pt>
                <c:pt idx="6">
                  <c:v>1.9740250000000004E-2</c:v>
                </c:pt>
                <c:pt idx="7">
                  <c:v>2.3073609999999994E-2</c:v>
                </c:pt>
                <c:pt idx="8">
                  <c:v>2.6994489999999999E-2</c:v>
                </c:pt>
                <c:pt idx="9">
                  <c:v>3.0555040000000006E-2</c:v>
                </c:pt>
                <c:pt idx="10">
                  <c:v>3.2616359999999997E-2</c:v>
                </c:pt>
                <c:pt idx="11">
                  <c:v>3.6787239999999999E-2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9A7-4263-9665-0E769E2B2A73}"/>
            </c:ext>
          </c:extLst>
        </c:ser>
        <c:ser>
          <c:idx val="3"/>
          <c:order val="1"/>
          <c:tx>
            <c:v>Ajuste Linear</c:v>
          </c:tx>
          <c:spPr>
            <a:ln w="12700"/>
          </c:spPr>
          <c:xVal>
            <c:numRef>
              <c:f>'Barra #1'!$D$37:$D$48</c:f>
              <c:numCache>
                <c:formatCode>0.0000000E+00</c:formatCode>
                <c:ptCount val="12"/>
                <c:pt idx="0" formatCode="0.00000000E+0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 formatCode="0.000000E+00">
                  <c:v>2.0632736880999997E-2</c:v>
                </c:pt>
                <c:pt idx="4" formatCode="0.000000E+00">
                  <c:v>2.5600000000000012E-2</c:v>
                </c:pt>
                <c:pt idx="5" formatCode="0.000000E+00">
                  <c:v>3.3556377855999991E-2</c:v>
                </c:pt>
                <c:pt idx="6" formatCode="0.00000E+00">
                  <c:v>3.9567575056000004E-2</c:v>
                </c:pt>
                <c:pt idx="7" formatCode="0.00000E+00">
                  <c:v>4.5954068160999992E-2</c:v>
                </c:pt>
                <c:pt idx="8" formatCode="0.00000E+00">
                  <c:v>5.3527912321000015E-2</c:v>
                </c:pt>
                <c:pt idx="9" formatCode="0.00000E+00">
                  <c:v>6.0037250624999997E-2</c:v>
                </c:pt>
                <c:pt idx="10" formatCode="0.00000E+00">
                  <c:v>6.5037750625000001E-2</c:v>
                </c:pt>
                <c:pt idx="11" formatCode="0.00000E+00">
                  <c:v>7.3116160000000013E-2</c:v>
                </c:pt>
              </c:numCache>
            </c:numRef>
          </c:xVal>
          <c:yVal>
            <c:numRef>
              <c:f>'Barra #1'!$N$37:$N$48</c:f>
              <c:numCache>
                <c:formatCode>0.00000</c:formatCode>
                <c:ptCount val="12"/>
                <c:pt idx="0">
                  <c:v>6.0392664330600468E-4</c:v>
                </c:pt>
                <c:pt idx="1">
                  <c:v>3.8831261429473122E-3</c:v>
                </c:pt>
                <c:pt idx="2">
                  <c:v>7.1153099320592555E-3</c:v>
                </c:pt>
                <c:pt idx="3">
                  <c:v>1.0447660206777808E-2</c:v>
                </c:pt>
                <c:pt idx="4">
                  <c:v>1.2944543851191282E-2</c:v>
                </c:pt>
                <c:pt idx="5">
                  <c:v>1.6943959477359934E-2</c:v>
                </c:pt>
                <c:pt idx="6">
                  <c:v>1.9965595257959712E-2</c:v>
                </c:pt>
                <c:pt idx="7">
                  <c:v>2.3175880237235005E-2</c:v>
                </c:pt>
                <c:pt idx="8">
                  <c:v>2.6983008459636811E-2</c:v>
                </c:pt>
                <c:pt idx="9">
                  <c:v>3.0255043775230014E-2</c:v>
                </c:pt>
                <c:pt idx="10">
                  <c:v>3.2768634532307349E-2</c:v>
                </c:pt>
                <c:pt idx="11">
                  <c:v>3.6829391483989567E-2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9A7-4263-9665-0E769E2B2A73}"/>
            </c:ext>
          </c:extLst>
        </c:ser>
        <c:ser>
          <c:idx val="0"/>
          <c:order val="2"/>
          <c:tx>
            <c:v>i=101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#1'!$G$49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#1'!$G$49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#1'!$I$49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#1'!$I$49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#1'!$D$37:$D$48</c:f>
              <c:numCache>
                <c:formatCode>0.0000000E+00</c:formatCode>
                <c:ptCount val="12"/>
                <c:pt idx="0" formatCode="0.00000000E+0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 formatCode="0.000000E+00">
                  <c:v>2.0632736880999997E-2</c:v>
                </c:pt>
                <c:pt idx="4" formatCode="0.000000E+00">
                  <c:v>2.5600000000000012E-2</c:v>
                </c:pt>
                <c:pt idx="5" formatCode="0.000000E+00">
                  <c:v>3.3556377855999991E-2</c:v>
                </c:pt>
                <c:pt idx="6" formatCode="0.00000E+00">
                  <c:v>3.9567575056000004E-2</c:v>
                </c:pt>
                <c:pt idx="7" formatCode="0.00000E+00">
                  <c:v>4.5954068160999992E-2</c:v>
                </c:pt>
                <c:pt idx="8" formatCode="0.00000E+00">
                  <c:v>5.3527912321000015E-2</c:v>
                </c:pt>
                <c:pt idx="9" formatCode="0.00000E+00">
                  <c:v>6.0037250624999997E-2</c:v>
                </c:pt>
                <c:pt idx="10" formatCode="0.00000E+00">
                  <c:v>6.5037750625000001E-2</c:v>
                </c:pt>
                <c:pt idx="11" formatCode="0.00000E+00">
                  <c:v>7.3116160000000013E-2</c:v>
                </c:pt>
              </c:numCache>
            </c:numRef>
          </c:xVal>
          <c:yVal>
            <c:numRef>
              <c:f>'Barra #1'!$L$37:$L$48</c:f>
              <c:numCache>
                <c:formatCode>0.00000</c:formatCode>
                <c:ptCount val="12"/>
                <c:pt idx="0">
                  <c:v>5.5225000000000001E-4</c:v>
                </c:pt>
                <c:pt idx="1">
                  <c:v>3.8439999999999998E-3</c:v>
                </c:pt>
                <c:pt idx="2">
                  <c:v>7.1233599999999979E-3</c:v>
                </c:pt>
                <c:pt idx="3">
                  <c:v>1.048576E-2</c:v>
                </c:pt>
                <c:pt idx="4">
                  <c:v>1.3087360000000001E-2</c:v>
                </c:pt>
                <c:pt idx="5">
                  <c:v>1.705636E-2</c:v>
                </c:pt>
                <c:pt idx="6">
                  <c:v>1.9740250000000004E-2</c:v>
                </c:pt>
                <c:pt idx="7">
                  <c:v>2.3073609999999994E-2</c:v>
                </c:pt>
                <c:pt idx="8">
                  <c:v>2.6994489999999999E-2</c:v>
                </c:pt>
                <c:pt idx="9">
                  <c:v>3.0555040000000006E-2</c:v>
                </c:pt>
                <c:pt idx="10">
                  <c:v>3.2616359999999997E-2</c:v>
                </c:pt>
                <c:pt idx="11">
                  <c:v>3.6787239999999999E-2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A7-4263-9665-0E769E2B2A73}"/>
            </c:ext>
          </c:extLst>
        </c:ser>
        <c:ser>
          <c:idx val="1"/>
          <c:order val="3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#1'!$D$37:$D$48</c:f>
              <c:numCache>
                <c:formatCode>0.0000000E+00</c:formatCode>
                <c:ptCount val="12"/>
                <c:pt idx="0" formatCode="0.00000000E+0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 formatCode="0.000000E+00">
                  <c:v>2.0632736880999997E-2</c:v>
                </c:pt>
                <c:pt idx="4" formatCode="0.000000E+00">
                  <c:v>2.5600000000000012E-2</c:v>
                </c:pt>
                <c:pt idx="5" formatCode="0.000000E+00">
                  <c:v>3.3556377855999991E-2</c:v>
                </c:pt>
                <c:pt idx="6" formatCode="0.00000E+00">
                  <c:v>3.9567575056000004E-2</c:v>
                </c:pt>
                <c:pt idx="7" formatCode="0.00000E+00">
                  <c:v>4.5954068160999992E-2</c:v>
                </c:pt>
                <c:pt idx="8" formatCode="0.00000E+00">
                  <c:v>5.3527912321000015E-2</c:v>
                </c:pt>
                <c:pt idx="9" formatCode="0.00000E+00">
                  <c:v>6.0037250624999997E-2</c:v>
                </c:pt>
                <c:pt idx="10" formatCode="0.00000E+00">
                  <c:v>6.5037750625000001E-2</c:v>
                </c:pt>
                <c:pt idx="11" formatCode="0.00000E+00">
                  <c:v>7.3116160000000013E-2</c:v>
                </c:pt>
              </c:numCache>
            </c:numRef>
          </c:xVal>
          <c:yVal>
            <c:numRef>
              <c:f>'Barra #1'!$N$37:$N$48</c:f>
              <c:numCache>
                <c:formatCode>0.00000</c:formatCode>
                <c:ptCount val="12"/>
                <c:pt idx="0">
                  <c:v>6.0392664330600468E-4</c:v>
                </c:pt>
                <c:pt idx="1">
                  <c:v>3.8831261429473122E-3</c:v>
                </c:pt>
                <c:pt idx="2">
                  <c:v>7.1153099320592555E-3</c:v>
                </c:pt>
                <c:pt idx="3">
                  <c:v>1.0447660206777808E-2</c:v>
                </c:pt>
                <c:pt idx="4">
                  <c:v>1.2944543851191282E-2</c:v>
                </c:pt>
                <c:pt idx="5">
                  <c:v>1.6943959477359934E-2</c:v>
                </c:pt>
                <c:pt idx="6">
                  <c:v>1.9965595257959712E-2</c:v>
                </c:pt>
                <c:pt idx="7">
                  <c:v>2.3175880237235005E-2</c:v>
                </c:pt>
                <c:pt idx="8">
                  <c:v>2.6983008459636811E-2</c:v>
                </c:pt>
                <c:pt idx="9">
                  <c:v>3.0255043775230014E-2</c:v>
                </c:pt>
                <c:pt idx="10">
                  <c:v>3.2768634532307349E-2</c:v>
                </c:pt>
                <c:pt idx="11">
                  <c:v>3.6829391483989567E-2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9A7-4263-9665-0E769E2B2A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4694884846087728"/>
          <c:y val="0.69007681004264299"/>
          <c:w val="0.21103414156704173"/>
          <c:h val="0.1401068351064003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 i = 151 - Fórmula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68524166666666675"/>
        </c:manualLayout>
      </c:layout>
      <c:scatterChart>
        <c:scatterStyle val="lineMarker"/>
        <c:varyColors val="0"/>
        <c:ser>
          <c:idx val="0"/>
          <c:order val="0"/>
          <c:tx>
            <c:v>i=151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#1'!$G$49:$G$49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#1'!$G$49:$G$49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#1'!$I$49:$I$49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#1'!$I$49:$I$49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#1'!$D$37:$D$48</c:f>
              <c:numCache>
                <c:formatCode>0.0000000E+00</c:formatCode>
                <c:ptCount val="12"/>
                <c:pt idx="0" formatCode="0.00000000E+0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 formatCode="0.000000E+00">
                  <c:v>2.0632736880999997E-2</c:v>
                </c:pt>
                <c:pt idx="4" formatCode="0.000000E+00">
                  <c:v>2.5600000000000012E-2</c:v>
                </c:pt>
                <c:pt idx="5" formatCode="0.000000E+00">
                  <c:v>3.3556377855999991E-2</c:v>
                </c:pt>
                <c:pt idx="6" formatCode="0.00000E+00">
                  <c:v>3.9567575056000004E-2</c:v>
                </c:pt>
                <c:pt idx="7" formatCode="0.00000E+00">
                  <c:v>4.5954068160999992E-2</c:v>
                </c:pt>
                <c:pt idx="8" formatCode="0.00000E+00">
                  <c:v>5.3527912321000015E-2</c:v>
                </c:pt>
                <c:pt idx="9" formatCode="0.00000E+00">
                  <c:v>6.0037250624999997E-2</c:v>
                </c:pt>
                <c:pt idx="10" formatCode="0.00000E+00">
                  <c:v>6.5037750625000001E-2</c:v>
                </c:pt>
                <c:pt idx="11" formatCode="0.00000E+00">
                  <c:v>7.3116160000000013E-2</c:v>
                </c:pt>
              </c:numCache>
            </c:numRef>
          </c:xVal>
          <c:yVal>
            <c:numRef>
              <c:f>'Barra #1'!$P$37:$P$48</c:f>
              <c:numCache>
                <c:formatCode>0.00000</c:formatCode>
                <c:ptCount val="12"/>
                <c:pt idx="0" formatCode="0.000000">
                  <c:v>5.6011111111111105E-4</c:v>
                </c:pt>
                <c:pt idx="1">
                  <c:v>3.885444444444444E-3</c:v>
                </c:pt>
                <c:pt idx="2">
                  <c:v>7.1684444444444443E-3</c:v>
                </c:pt>
                <c:pt idx="3">
                  <c:v>1.0540444444444444E-2</c:v>
                </c:pt>
                <c:pt idx="4">
                  <c:v>1.3163737777777776E-2</c:v>
                </c:pt>
                <c:pt idx="5">
                  <c:v>1.7108640000000001E-2</c:v>
                </c:pt>
                <c:pt idx="6">
                  <c:v>1.9918617777777779E-2</c:v>
                </c:pt>
                <c:pt idx="7">
                  <c:v>2.3205444444444442E-2</c:v>
                </c:pt>
                <c:pt idx="8">
                  <c:v>2.7181017777777775E-2</c:v>
                </c:pt>
                <c:pt idx="9">
                  <c:v>3.0718404444444451E-2</c:v>
                </c:pt>
                <c:pt idx="10">
                  <c:v>3.2881777777777774E-2</c:v>
                </c:pt>
                <c:pt idx="11">
                  <c:v>3.7043417777777782E-2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E3-463D-8D72-EF19E907D717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#1'!$D$37:$D$48</c:f>
              <c:numCache>
                <c:formatCode>0.0000000E+00</c:formatCode>
                <c:ptCount val="12"/>
                <c:pt idx="0" formatCode="0.00000000E+0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 formatCode="0.000000E+00">
                  <c:v>2.0632736880999997E-2</c:v>
                </c:pt>
                <c:pt idx="4" formatCode="0.000000E+00">
                  <c:v>2.5600000000000012E-2</c:v>
                </c:pt>
                <c:pt idx="5" formatCode="0.000000E+00">
                  <c:v>3.3556377855999991E-2</c:v>
                </c:pt>
                <c:pt idx="6" formatCode="0.00000E+00">
                  <c:v>3.9567575056000004E-2</c:v>
                </c:pt>
                <c:pt idx="7" formatCode="0.00000E+00">
                  <c:v>4.5954068160999992E-2</c:v>
                </c:pt>
                <c:pt idx="8" formatCode="0.00000E+00">
                  <c:v>5.3527912321000015E-2</c:v>
                </c:pt>
                <c:pt idx="9" formatCode="0.00000E+00">
                  <c:v>6.0037250624999997E-2</c:v>
                </c:pt>
                <c:pt idx="10" formatCode="0.00000E+00">
                  <c:v>6.5037750625000001E-2</c:v>
                </c:pt>
                <c:pt idx="11" formatCode="0.00000E+00">
                  <c:v>7.3116160000000013E-2</c:v>
                </c:pt>
              </c:numCache>
            </c:numRef>
          </c:xVal>
          <c:yVal>
            <c:numRef>
              <c:f>'Barra #1'!$R$37:$R$48</c:f>
              <c:numCache>
                <c:formatCode>0.00000</c:formatCode>
                <c:ptCount val="12"/>
                <c:pt idx="0" formatCode="0.000000">
                  <c:v>6.0125234333108593E-4</c:v>
                </c:pt>
                <c:pt idx="1">
                  <c:v>3.9032356276991896E-3</c:v>
                </c:pt>
                <c:pt idx="2">
                  <c:v>7.1578765377202517E-3</c:v>
                </c:pt>
                <c:pt idx="3">
                  <c:v>1.051337988723702E-2</c:v>
                </c:pt>
                <c:pt idx="4">
                  <c:v>1.3027611808096742E-2</c:v>
                </c:pt>
                <c:pt idx="5">
                  <c:v>1.7054815260126425E-2</c:v>
                </c:pt>
                <c:pt idx="6">
                  <c:v>2.0097445280068914E-2</c:v>
                </c:pt>
                <c:pt idx="7">
                  <c:v>2.3330035227946296E-2</c:v>
                </c:pt>
                <c:pt idx="8">
                  <c:v>2.7163615268804401E-2</c:v>
                </c:pt>
                <c:pt idx="9">
                  <c:v>3.0458384592577683E-2</c:v>
                </c:pt>
                <c:pt idx="10">
                  <c:v>3.2989439706644211E-2</c:v>
                </c:pt>
                <c:pt idx="11">
                  <c:v>3.7078410681970028E-2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CE3-463D-8D72-EF19E907D7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337640556864861"/>
          <c:y val="0.65918278878900238"/>
          <c:w val="0.30643906432920376"/>
          <c:h val="0.15718463355959011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r>
              <a:rPr lang="en-US" sz="1600" baseline="0"/>
              <a:t> para</a:t>
            </a:r>
            <a:r>
              <a:rPr lang="en-US" sz="1600"/>
              <a:t> i = 51 - Fórmula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431089743589743"/>
          <c:y val="0.14591770833333334"/>
          <c:w val="0.80779935897435895"/>
          <c:h val="0.70288055555555562"/>
        </c:manualLayout>
      </c:layout>
      <c:scatterChart>
        <c:scatterStyle val="lineMarker"/>
        <c:varyColors val="0"/>
        <c:ser>
          <c:idx val="0"/>
          <c:order val="0"/>
          <c:tx>
            <c:v>Resíduos para i=51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#1'!$G$49:$G$49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#1'!$G$49:$G$49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#1'!$G$37:$G$48</c:f>
                <c:numCache>
                  <c:formatCode>General</c:formatCode>
                  <c:ptCount val="12"/>
                  <c:pt idx="0">
                    <c:v>1.3463313113791866E-5</c:v>
                  </c:pt>
                  <c:pt idx="1">
                    <c:v>3.4733085091883214E-5</c:v>
                  </c:pt>
                  <c:pt idx="2">
                    <c:v>4.7291301525756293E-5</c:v>
                  </c:pt>
                  <c:pt idx="3">
                    <c:v>6.0415203384578618E-5</c:v>
                  </c:pt>
                  <c:pt idx="4">
                    <c:v>6.4035590104253757E-5</c:v>
                  </c:pt>
                  <c:pt idx="5">
                    <c:v>7.3199693988431407E-5</c:v>
                  </c:pt>
                  <c:pt idx="6">
                    <c:v>7.8743411152933925E-5</c:v>
                  </c:pt>
                  <c:pt idx="7">
                    <c:v>8.519222499735524E-5</c:v>
                  </c:pt>
                  <c:pt idx="8">
                    <c:v>9.2206724266725808E-5</c:v>
                  </c:pt>
                  <c:pt idx="9">
                    <c:v>9.7976715601208022E-5</c:v>
                  </c:pt>
                  <c:pt idx="10">
                    <c:v>1.0125769106591361E-4</c:v>
                  </c:pt>
                  <c:pt idx="11">
                    <c:v>1.0748023074035523E-4</c:v>
                  </c:pt>
                </c:numCache>
              </c:numRef>
            </c:plus>
            <c:minus>
              <c:numRef>
                <c:f>'Barra #1'!$G$37:$G$48</c:f>
                <c:numCache>
                  <c:formatCode>General</c:formatCode>
                  <c:ptCount val="12"/>
                  <c:pt idx="0">
                    <c:v>1.3463313113791866E-5</c:v>
                  </c:pt>
                  <c:pt idx="1">
                    <c:v>3.4733085091883214E-5</c:v>
                  </c:pt>
                  <c:pt idx="2">
                    <c:v>4.7291301525756293E-5</c:v>
                  </c:pt>
                  <c:pt idx="3">
                    <c:v>6.0415203384578618E-5</c:v>
                  </c:pt>
                  <c:pt idx="4">
                    <c:v>6.4035590104253757E-5</c:v>
                  </c:pt>
                  <c:pt idx="5">
                    <c:v>7.3199693988431407E-5</c:v>
                  </c:pt>
                  <c:pt idx="6">
                    <c:v>7.8743411152933925E-5</c:v>
                  </c:pt>
                  <c:pt idx="7">
                    <c:v>8.519222499735524E-5</c:v>
                  </c:pt>
                  <c:pt idx="8">
                    <c:v>9.2206724266725808E-5</c:v>
                  </c:pt>
                  <c:pt idx="9">
                    <c:v>9.7976715601208022E-5</c:v>
                  </c:pt>
                  <c:pt idx="10">
                    <c:v>1.0125769106591361E-4</c:v>
                  </c:pt>
                  <c:pt idx="11">
                    <c:v>1.0748023074035523E-4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#1'!$N$53:$N$63</c:f>
              <c:numCache>
                <c:formatCode>General</c:formatCode>
                <c:ptCount val="11"/>
                <c:pt idx="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>
                  <c:v>2.5600000000000012E-2</c:v>
                </c:pt>
                <c:pt idx="4">
                  <c:v>3.3556377855999991E-2</c:v>
                </c:pt>
                <c:pt idx="5">
                  <c:v>3.9567575056000004E-2</c:v>
                </c:pt>
                <c:pt idx="6">
                  <c:v>4.5954068160999992E-2</c:v>
                </c:pt>
                <c:pt idx="7">
                  <c:v>5.3527912321000015E-2</c:v>
                </c:pt>
                <c:pt idx="8">
                  <c:v>6.0037250624999997E-2</c:v>
                </c:pt>
                <c:pt idx="9">
                  <c:v>6.5037750625000001E-2</c:v>
                </c:pt>
                <c:pt idx="10">
                  <c:v>7.3116160000000013E-2</c:v>
                </c:pt>
              </c:numCache>
            </c:numRef>
          </c:xVal>
          <c:yVal>
            <c:numRef>
              <c:f>'Barra #1'!$Q$53:$Q$63</c:f>
              <c:numCache>
                <c:formatCode>General</c:formatCode>
                <c:ptCount val="11"/>
                <c:pt idx="0">
                  <c:v>-1.9508101051439138E-5</c:v>
                </c:pt>
                <c:pt idx="1">
                  <c:v>-3.7209018997089779E-5</c:v>
                </c:pt>
                <c:pt idx="2">
                  <c:v>6.7545023528323839E-6</c:v>
                </c:pt>
                <c:pt idx="3">
                  <c:v>1.0586558888467899E-4</c:v>
                </c:pt>
                <c:pt idx="4">
                  <c:v>1.0728247826809201E-4</c:v>
                </c:pt>
                <c:pt idx="5">
                  <c:v>-2.2864863055457874E-4</c:v>
                </c:pt>
                <c:pt idx="6">
                  <c:v>-7.8453485916212679E-5</c:v>
                </c:pt>
                <c:pt idx="7">
                  <c:v>7.0371029041369632E-5</c:v>
                </c:pt>
                <c:pt idx="8">
                  <c:v>2.8542762726949111E-4</c:v>
                </c:pt>
                <c:pt idx="9">
                  <c:v>-1.4096105573623702E-4</c:v>
                </c:pt>
                <c:pt idx="10">
                  <c:v>-7.0920933560925103E-5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77-4285-B194-2C4C42524C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- </a:t>
                </a:r>
                <a:r>
                  <a:rPr lang="en-US" sz="1400" b="0" i="0" u="none" strike="noStrike" baseline="0">
                    <a:effectLst/>
                  </a:rPr>
                  <a:t>T</a:t>
                </a:r>
                <a:r>
                  <a:rPr lang="en-US" sz="1400" b="0" i="0" u="none" strike="noStrike" baseline="30000">
                    <a:effectLst/>
                  </a:rPr>
                  <a:t>2</a:t>
                </a:r>
                <a:r>
                  <a:rPr lang="en-US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r>
              <a:rPr lang="en-US" sz="1600" baseline="0"/>
              <a:t> para</a:t>
            </a:r>
            <a:r>
              <a:rPr lang="en-US" sz="1600"/>
              <a:t> i = 101 - Fórmula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7330662393162394"/>
          <c:y val="0.14591770833333334"/>
          <c:w val="0.7888036324786325"/>
          <c:h val="0.70424849135726708"/>
        </c:manualLayout>
      </c:layout>
      <c:scatterChart>
        <c:scatterStyle val="lineMarker"/>
        <c:varyColors val="0"/>
        <c:ser>
          <c:idx val="0"/>
          <c:order val="0"/>
          <c:tx>
            <c:v>Resíduos para i=101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#1'!$G$49:$G$49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#1'!$G$49:$G$49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#1'!$M$37:$M$48</c:f>
                <c:numCache>
                  <c:formatCode>General</c:formatCode>
                  <c:ptCount val="12"/>
                  <c:pt idx="0">
                    <c:v>6.6468037431535469E-6</c:v>
                  </c:pt>
                  <c:pt idx="1">
                    <c:v>1.7536248173426379E-5</c:v>
                  </c:pt>
                  <c:pt idx="2">
                    <c:v>2.3871924932857842E-5</c:v>
                  </c:pt>
                  <c:pt idx="3">
                    <c:v>2.8963093757400989E-5</c:v>
                  </c:pt>
                  <c:pt idx="4">
                    <c:v>3.2357206307096415E-5</c:v>
                  </c:pt>
                  <c:pt idx="5">
                    <c:v>3.693925824918524E-5</c:v>
                  </c:pt>
                  <c:pt idx="6">
                    <c:v>3.9739401102683978E-5</c:v>
                  </c:pt>
                  <c:pt idx="7">
                    <c:v>4.2963808024894622E-5</c:v>
                  </c:pt>
                  <c:pt idx="8">
                    <c:v>4.6471057659579906E-5</c:v>
                  </c:pt>
                  <c:pt idx="9">
                    <c:v>4.9440906140563409E-5</c:v>
                  </c:pt>
                  <c:pt idx="10">
                    <c:v>5.108139387291619E-5</c:v>
                  </c:pt>
                  <c:pt idx="11">
                    <c:v>5.424923225263193E-5</c:v>
                  </c:pt>
                </c:numCache>
              </c:numRef>
            </c:plus>
            <c:minus>
              <c:numRef>
                <c:f>'Barra #1'!$M$37:$M$48</c:f>
                <c:numCache>
                  <c:formatCode>General</c:formatCode>
                  <c:ptCount val="12"/>
                  <c:pt idx="0">
                    <c:v>6.6468037431535469E-6</c:v>
                  </c:pt>
                  <c:pt idx="1">
                    <c:v>1.7536248173426379E-5</c:v>
                  </c:pt>
                  <c:pt idx="2">
                    <c:v>2.3871924932857842E-5</c:v>
                  </c:pt>
                  <c:pt idx="3">
                    <c:v>2.8963093757400989E-5</c:v>
                  </c:pt>
                  <c:pt idx="4">
                    <c:v>3.2357206307096415E-5</c:v>
                  </c:pt>
                  <c:pt idx="5">
                    <c:v>3.693925824918524E-5</c:v>
                  </c:pt>
                  <c:pt idx="6">
                    <c:v>3.9739401102683978E-5</c:v>
                  </c:pt>
                  <c:pt idx="7">
                    <c:v>4.2963808024894622E-5</c:v>
                  </c:pt>
                  <c:pt idx="8">
                    <c:v>4.6471057659579906E-5</c:v>
                  </c:pt>
                  <c:pt idx="9">
                    <c:v>4.9440906140563409E-5</c:v>
                  </c:pt>
                  <c:pt idx="10">
                    <c:v>5.108139387291619E-5</c:v>
                  </c:pt>
                  <c:pt idx="11">
                    <c:v>5.424923225263193E-5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#1'!$D$37:$D$48</c:f>
              <c:numCache>
                <c:formatCode>0.0000000E+00</c:formatCode>
                <c:ptCount val="12"/>
                <c:pt idx="0" formatCode="0.00000000E+0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 formatCode="0.000000E+00">
                  <c:v>2.0632736880999997E-2</c:v>
                </c:pt>
                <c:pt idx="4" formatCode="0.000000E+00">
                  <c:v>2.5600000000000012E-2</c:v>
                </c:pt>
                <c:pt idx="5" formatCode="0.000000E+00">
                  <c:v>3.3556377855999991E-2</c:v>
                </c:pt>
                <c:pt idx="6" formatCode="0.00000E+00">
                  <c:v>3.9567575056000004E-2</c:v>
                </c:pt>
                <c:pt idx="7" formatCode="0.00000E+00">
                  <c:v>4.5954068160999992E-2</c:v>
                </c:pt>
                <c:pt idx="8" formatCode="0.00000E+00">
                  <c:v>5.3527912321000015E-2</c:v>
                </c:pt>
                <c:pt idx="9" formatCode="0.00000E+00">
                  <c:v>6.0037250624999997E-2</c:v>
                </c:pt>
                <c:pt idx="10" formatCode="0.00000E+00">
                  <c:v>6.5037750625000001E-2</c:v>
                </c:pt>
                <c:pt idx="11" formatCode="0.00000E+00">
                  <c:v>7.3116160000000013E-2</c:v>
                </c:pt>
              </c:numCache>
            </c:numRef>
          </c:xVal>
          <c:yVal>
            <c:numRef>
              <c:f>'Barra #1'!$O$37:$O$48</c:f>
              <c:numCache>
                <c:formatCode>0.00000</c:formatCode>
                <c:ptCount val="12"/>
                <c:pt idx="0">
                  <c:v>-5.1676643306004669E-5</c:v>
                </c:pt>
                <c:pt idx="1">
                  <c:v>-3.9126142947312412E-5</c:v>
                </c:pt>
                <c:pt idx="2">
                  <c:v>8.0500679407423392E-6</c:v>
                </c:pt>
                <c:pt idx="3">
                  <c:v>3.8099793222192563E-5</c:v>
                </c:pt>
                <c:pt idx="4">
                  <c:v>1.4281614880871929E-4</c:v>
                </c:pt>
                <c:pt idx="5">
                  <c:v>1.1240052264006525E-4</c:v>
                </c:pt>
                <c:pt idx="6">
                  <c:v>-2.2534525795970747E-4</c:v>
                </c:pt>
                <c:pt idx="7">
                  <c:v>-1.0227023723501094E-4</c:v>
                </c:pt>
                <c:pt idx="8">
                  <c:v>1.1481540363188908E-5</c:v>
                </c:pt>
                <c:pt idx="9">
                  <c:v>2.999962247699911E-4</c:v>
                </c:pt>
                <c:pt idx="10">
                  <c:v>-1.5227453230735183E-4</c:v>
                </c:pt>
                <c:pt idx="11">
                  <c:v>-4.2151483989567862E-5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A3-48BC-A350-F62F45C325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- </a:t>
                </a:r>
                <a:r>
                  <a:rPr lang="en-US" sz="1400" b="0" i="0" u="none" strike="noStrike" baseline="0">
                    <a:effectLst/>
                  </a:rPr>
                  <a:t>T</a:t>
                </a:r>
                <a:r>
                  <a:rPr lang="en-US" sz="1400" b="0" i="0" u="none" strike="noStrike" baseline="30000">
                    <a:effectLst/>
                  </a:rPr>
                  <a:t>2</a:t>
                </a:r>
                <a:r>
                  <a:rPr lang="en-US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r>
              <a:rPr lang="en-US" sz="1600" baseline="0"/>
              <a:t> para</a:t>
            </a:r>
            <a:r>
              <a:rPr lang="en-US" sz="1600"/>
              <a:t> i = 151 - Fórmula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70288055555555562"/>
        </c:manualLayout>
      </c:layout>
      <c:scatterChart>
        <c:scatterStyle val="lineMarker"/>
        <c:varyColors val="0"/>
        <c:ser>
          <c:idx val="0"/>
          <c:order val="0"/>
          <c:tx>
            <c:v>Resíduos para i=151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#1'!$G$49:$G$49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#1'!$G$49:$G$49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#1'!$Q$37:$Q$48</c:f>
                <c:numCache>
                  <c:formatCode>General</c:formatCode>
                  <c:ptCount val="12"/>
                  <c:pt idx="0">
                    <c:v>4.462629463488434E-6</c:v>
                  </c:pt>
                  <c:pt idx="1">
                    <c:v>1.1753686051723058E-5</c:v>
                  </c:pt>
                  <c:pt idx="2">
                    <c:v>1.5964899770789608E-5</c:v>
                  </c:pt>
                  <c:pt idx="3">
                    <c:v>1.9359012320485038E-5</c:v>
                  </c:pt>
                  <c:pt idx="4">
                    <c:v>2.1634324807503081E-5</c:v>
                  </c:pt>
                  <c:pt idx="5">
                    <c:v>2.4663884527786781E-5</c:v>
                  </c:pt>
                  <c:pt idx="6">
                    <c:v>2.6612356547056381E-5</c:v>
                  </c:pt>
                  <c:pt idx="7">
                    <c:v>2.8724248800200201E-5</c:v>
                  </c:pt>
                  <c:pt idx="8">
                    <c:v>3.1087556797765909E-5</c:v>
                  </c:pt>
                  <c:pt idx="9">
                    <c:v>3.3048599604256606E-5</c:v>
                  </c:pt>
                  <c:pt idx="10">
                    <c:v>3.4192541241376167E-5</c:v>
                  </c:pt>
                  <c:pt idx="11">
                    <c:v>3.6291862707298898E-5</c:v>
                  </c:pt>
                </c:numCache>
              </c:numRef>
            </c:plus>
            <c:minus>
              <c:numRef>
                <c:f>'Barra #1'!$Q$37:$Q$48</c:f>
                <c:numCache>
                  <c:formatCode>General</c:formatCode>
                  <c:ptCount val="12"/>
                  <c:pt idx="0">
                    <c:v>4.462629463488434E-6</c:v>
                  </c:pt>
                  <c:pt idx="1">
                    <c:v>1.1753686051723058E-5</c:v>
                  </c:pt>
                  <c:pt idx="2">
                    <c:v>1.5964899770789608E-5</c:v>
                  </c:pt>
                  <c:pt idx="3">
                    <c:v>1.9359012320485038E-5</c:v>
                  </c:pt>
                  <c:pt idx="4">
                    <c:v>2.1634324807503081E-5</c:v>
                  </c:pt>
                  <c:pt idx="5">
                    <c:v>2.4663884527786781E-5</c:v>
                  </c:pt>
                  <c:pt idx="6">
                    <c:v>2.6612356547056381E-5</c:v>
                  </c:pt>
                  <c:pt idx="7">
                    <c:v>2.8724248800200201E-5</c:v>
                  </c:pt>
                  <c:pt idx="8">
                    <c:v>3.1087556797765909E-5</c:v>
                  </c:pt>
                  <c:pt idx="9">
                    <c:v>3.3048599604256606E-5</c:v>
                  </c:pt>
                  <c:pt idx="10">
                    <c:v>3.4192541241376167E-5</c:v>
                  </c:pt>
                  <c:pt idx="11">
                    <c:v>3.6291862707298898E-5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#1'!$D$37:$D$48</c:f>
              <c:numCache>
                <c:formatCode>0.0000000E+00</c:formatCode>
                <c:ptCount val="12"/>
                <c:pt idx="0" formatCode="0.00000000E+0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 formatCode="0.000000E+00">
                  <c:v>2.0632736880999997E-2</c:v>
                </c:pt>
                <c:pt idx="4" formatCode="0.000000E+00">
                  <c:v>2.5600000000000012E-2</c:v>
                </c:pt>
                <c:pt idx="5" formatCode="0.000000E+00">
                  <c:v>3.3556377855999991E-2</c:v>
                </c:pt>
                <c:pt idx="6" formatCode="0.00000E+00">
                  <c:v>3.9567575056000004E-2</c:v>
                </c:pt>
                <c:pt idx="7" formatCode="0.00000E+00">
                  <c:v>4.5954068160999992E-2</c:v>
                </c:pt>
                <c:pt idx="8" formatCode="0.00000E+00">
                  <c:v>5.3527912321000015E-2</c:v>
                </c:pt>
                <c:pt idx="9" formatCode="0.00000E+00">
                  <c:v>6.0037250624999997E-2</c:v>
                </c:pt>
                <c:pt idx="10" formatCode="0.00000E+00">
                  <c:v>6.5037750625000001E-2</c:v>
                </c:pt>
                <c:pt idx="11" formatCode="0.00000E+00">
                  <c:v>7.3116160000000013E-2</c:v>
                </c:pt>
              </c:numCache>
            </c:numRef>
          </c:xVal>
          <c:yVal>
            <c:numRef>
              <c:f>'Barra #1'!$S$37:$S$48</c:f>
              <c:numCache>
                <c:formatCode>0.00000</c:formatCode>
                <c:ptCount val="12"/>
                <c:pt idx="0" formatCode="0.000000">
                  <c:v>-4.1141232219974876E-5</c:v>
                </c:pt>
                <c:pt idx="1">
                  <c:v>-1.7791183254745654E-5</c:v>
                </c:pt>
                <c:pt idx="2">
                  <c:v>1.0567906724192645E-5</c:v>
                </c:pt>
                <c:pt idx="3">
                  <c:v>2.7064557207424553E-5</c:v>
                </c:pt>
                <c:pt idx="4">
                  <c:v>1.3612596968103421E-4</c:v>
                </c:pt>
                <c:pt idx="5">
                  <c:v>5.3824739873576527E-5</c:v>
                </c:pt>
                <c:pt idx="6">
                  <c:v>-1.7882750229113523E-4</c:v>
                </c:pt>
                <c:pt idx="7">
                  <c:v>-1.2459078350185449E-4</c:v>
                </c:pt>
                <c:pt idx="8">
                  <c:v>1.7402508973373559E-5</c:v>
                </c:pt>
                <c:pt idx="9">
                  <c:v>2.6001985186676832E-4</c:v>
                </c:pt>
                <c:pt idx="10">
                  <c:v>-1.0766192886643711E-4</c:v>
                </c:pt>
                <c:pt idx="11">
                  <c:v>-3.4992904192246432E-5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0D-43C9-A03B-D50854F669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- </a:t>
                </a:r>
                <a:r>
                  <a:rPr lang="en-US" sz="1400" b="0" i="0" u="none" strike="noStrike" baseline="0">
                    <a:effectLst/>
                  </a:rPr>
                  <a:t>T</a:t>
                </a:r>
                <a:r>
                  <a:rPr lang="en-US" sz="1400" b="0" i="0" u="none" strike="noStrike" baseline="30000">
                    <a:effectLst/>
                  </a:rPr>
                  <a:t>2</a:t>
                </a:r>
                <a:r>
                  <a:rPr lang="en-US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Linearização</a:t>
            </a:r>
            <a:r>
              <a:rPr lang="en-US" sz="1600" baseline="0"/>
              <a:t> para i=51 - Fórmula 1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830021367521365"/>
          <c:y val="0.17171296296296296"/>
          <c:w val="0.81007200854700856"/>
          <c:h val="0.67354166666666671"/>
        </c:manualLayout>
      </c:layout>
      <c:scatterChart>
        <c:scatterStyle val="lineMarker"/>
        <c:varyColors val="0"/>
        <c:ser>
          <c:idx val="0"/>
          <c:order val="0"/>
          <c:tx>
            <c:v>log(T)[log(ℓ)]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'Barra #1'!$K$83:$K$92</c:f>
              <c:numCache>
                <c:formatCode>General</c:formatCode>
                <c:ptCount val="10"/>
                <c:pt idx="0">
                  <c:v>-0.53017798402183702</c:v>
                </c:pt>
                <c:pt idx="1">
                  <c:v>-0.46344155742846993</c:v>
                </c:pt>
                <c:pt idx="2" formatCode="0.0000">
                  <c:v>-0.3979400086720376</c:v>
                </c:pt>
                <c:pt idx="3">
                  <c:v>-0.36855623098682799</c:v>
                </c:pt>
                <c:pt idx="4">
                  <c:v>-0.35066514128785814</c:v>
                </c:pt>
                <c:pt idx="5">
                  <c:v>-0.33441900898204691</c:v>
                </c:pt>
                <c:pt idx="6">
                  <c:v>-0.31785492362616818</c:v>
                </c:pt>
                <c:pt idx="7">
                  <c:v>-0.3053948010664313</c:v>
                </c:pt>
                <c:pt idx="8">
                  <c:v>-0.29670862188133862</c:v>
                </c:pt>
                <c:pt idx="9">
                  <c:v>-0.28399665636520083</c:v>
                </c:pt>
              </c:numCache>
            </c:numRef>
          </c:xVal>
          <c:yVal>
            <c:numRef>
              <c:f>'Barra #1'!$L$83:$L$92</c:f>
              <c:numCache>
                <c:formatCode>General</c:formatCode>
                <c:ptCount val="10"/>
                <c:pt idx="0">
                  <c:v>-1.2118316288588322</c:v>
                </c:pt>
                <c:pt idx="1">
                  <c:v>-1.0777937225609837</c:v>
                </c:pt>
                <c:pt idx="2" formatCode="0.0000">
                  <c:v>-0.94615357314774728</c:v>
                </c:pt>
                <c:pt idx="3">
                  <c:v>-0.8880657236673184</c:v>
                </c:pt>
                <c:pt idx="4">
                  <c:v>-0.85636076472545675</c:v>
                </c:pt>
                <c:pt idx="5">
                  <c:v>-0.82217502813531829</c:v>
                </c:pt>
                <c:pt idx="6">
                  <c:v>-0.78781239559604221</c:v>
                </c:pt>
                <c:pt idx="7">
                  <c:v>-0.76145211231867216</c:v>
                </c:pt>
                <c:pt idx="8">
                  <c:v>-0.7471469690201068</c:v>
                </c:pt>
                <c:pt idx="9">
                  <c:v>-0.72124639904717103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78-40A5-B41B-BBD341585DF4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#1'!$K$83:$K$92</c:f>
              <c:numCache>
                <c:formatCode>General</c:formatCode>
                <c:ptCount val="10"/>
                <c:pt idx="0">
                  <c:v>-0.53017798402183702</c:v>
                </c:pt>
                <c:pt idx="1">
                  <c:v>-0.46344155742846993</c:v>
                </c:pt>
                <c:pt idx="2" formatCode="0.0000">
                  <c:v>-0.3979400086720376</c:v>
                </c:pt>
                <c:pt idx="3">
                  <c:v>-0.36855623098682799</c:v>
                </c:pt>
                <c:pt idx="4">
                  <c:v>-0.35066514128785814</c:v>
                </c:pt>
                <c:pt idx="5">
                  <c:v>-0.33441900898204691</c:v>
                </c:pt>
                <c:pt idx="6">
                  <c:v>-0.31785492362616818</c:v>
                </c:pt>
                <c:pt idx="7">
                  <c:v>-0.3053948010664313</c:v>
                </c:pt>
                <c:pt idx="8">
                  <c:v>-0.29670862188133862</c:v>
                </c:pt>
                <c:pt idx="9">
                  <c:v>-0.28399665636520083</c:v>
                </c:pt>
              </c:numCache>
            </c:numRef>
          </c:xVal>
          <c:yVal>
            <c:numRef>
              <c:f>'Barra #1'!$M$83:$M$92</c:f>
              <c:numCache>
                <c:formatCode>General</c:formatCode>
                <c:ptCount val="10"/>
                <c:pt idx="0">
                  <c:v>-1.2111077567478929</c:v>
                </c:pt>
                <c:pt idx="1">
                  <c:v>-1.0782087555491513</c:v>
                </c:pt>
                <c:pt idx="2">
                  <c:v>-0.947768891578884</c:v>
                </c:pt>
                <c:pt idx="3">
                  <c:v>-0.88925400090899076</c:v>
                </c:pt>
                <c:pt idx="4">
                  <c:v>-0.85362566309225618</c:v>
                </c:pt>
                <c:pt idx="5">
                  <c:v>-0.8212730954317109</c:v>
                </c:pt>
                <c:pt idx="6">
                  <c:v>-0.78828735568001473</c:v>
                </c:pt>
                <c:pt idx="7">
                  <c:v>-0.7634742524389202</c:v>
                </c:pt>
                <c:pt idx="8">
                  <c:v>-0.74617658463051451</c:v>
                </c:pt>
                <c:pt idx="9">
                  <c:v>-0.72086196101931455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17-42A2-83FD-2E95CA8BCE7D}"/>
            </c:ext>
          </c:extLst>
        </c:ser>
        <c:ser>
          <c:idx val="2"/>
          <c:order val="2"/>
          <c:tx>
            <c:v>Ponto Duvidoso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'Barra #1'!$B$84</c:f>
              <c:numCache>
                <c:formatCode>0.0000</c:formatCode>
                <c:ptCount val="1"/>
                <c:pt idx="0">
                  <c:v>-0.42136079003192767</c:v>
                </c:pt>
              </c:numCache>
            </c:numRef>
          </c:xVal>
          <c:yVal>
            <c:numRef>
              <c:f>'Barra #1'!$D$84</c:f>
              <c:numCache>
                <c:formatCode>0.0000</c:formatCode>
                <c:ptCount val="1"/>
                <c:pt idx="0">
                  <c:v>-0.97142874730746243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17-42A2-83FD-2E95CA8BCE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34031"/>
        <c:axId val="295511791"/>
      </c:scatterChart>
      <c:valAx>
        <c:axId val="512934031"/>
        <c:scaling>
          <c:orientation val="minMax"/>
          <c:max val="-0.25"/>
          <c:min val="-0.5500000000000000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</a:t>
                </a:r>
                <a:r>
                  <a:rPr lang="en-US" sz="1400" b="0" i="0" u="none" strike="noStrike" baseline="0">
                    <a:effectLst/>
                  </a:rPr>
                  <a:t>ℓ</a:t>
                </a:r>
                <a:r>
                  <a:rPr lang="en-US" sz="1400"/>
                  <a:t>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95511791"/>
        <c:crossesAt val="-10"/>
        <c:crossBetween val="midCat"/>
      </c:valAx>
      <c:valAx>
        <c:axId val="295511791"/>
        <c:scaling>
          <c:orientation val="minMax"/>
          <c:max val="-0.60000000000000009"/>
          <c:min val="-1.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Log(T)</a:t>
                </a:r>
                <a:r>
                  <a:rPr lang="en-US" sz="1400" baseline="0"/>
                  <a:t> (s.u.)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1.5667392646693985E-2"/>
              <c:y val="0.366377223680373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2934031"/>
        <c:crossesAt val="-1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78716102740572"/>
          <c:y val="0.63483145489325665"/>
          <c:w val="0.23955641374535583"/>
          <c:h val="0.18132426166654833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Linearização</a:t>
            </a:r>
            <a:r>
              <a:rPr lang="en-US" sz="1600" baseline="0"/>
              <a:t> para i=101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641452991453"/>
          <c:y val="0.17171296296296296"/>
          <c:w val="0.81773076923076926"/>
          <c:h val="0.66833799158492768"/>
        </c:manualLayout>
      </c:layout>
      <c:scatterChart>
        <c:scatterStyle val="lineMarker"/>
        <c:varyColors val="0"/>
        <c:ser>
          <c:idx val="0"/>
          <c:order val="0"/>
          <c:tx>
            <c:v>log(T)[log(ℓ)]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'Barra #1'!$U$83:$U$93</c:f>
              <c:numCache>
                <c:formatCode>General</c:formatCode>
                <c:ptCount val="11"/>
                <c:pt idx="0">
                  <c:v>-0.53017798402183702</c:v>
                </c:pt>
                <c:pt idx="1">
                  <c:v>-0.46344155742846993</c:v>
                </c:pt>
                <c:pt idx="2">
                  <c:v>-0.42136079003192767</c:v>
                </c:pt>
                <c:pt idx="3">
                  <c:v>-0.3979400086720376</c:v>
                </c:pt>
                <c:pt idx="4">
                  <c:v>-0.36855623098682799</c:v>
                </c:pt>
                <c:pt idx="5">
                  <c:v>-0.35066514128785814</c:v>
                </c:pt>
                <c:pt idx="6">
                  <c:v>-0.33441900898204691</c:v>
                </c:pt>
                <c:pt idx="7">
                  <c:v>-0.31785492362616818</c:v>
                </c:pt>
                <c:pt idx="8">
                  <c:v>-0.3053948010664313</c:v>
                </c:pt>
                <c:pt idx="9">
                  <c:v>-0.29670862188133862</c:v>
                </c:pt>
                <c:pt idx="10">
                  <c:v>-0.28399665636520083</c:v>
                </c:pt>
              </c:numCache>
            </c:numRef>
          </c:xVal>
          <c:yVal>
            <c:numRef>
              <c:f>'Barra #1'!$W$83:$W$93</c:f>
              <c:numCache>
                <c:formatCode>General</c:formatCode>
                <c:ptCount val="11"/>
                <c:pt idx="0">
                  <c:v>-1.2076083105017461</c:v>
                </c:pt>
                <c:pt idx="1">
                  <c:v>-1.0736575533743451</c:v>
                </c:pt>
                <c:pt idx="2">
                  <c:v>-0.98970004336018802</c:v>
                </c:pt>
                <c:pt idx="3">
                  <c:v>-0.9415739755429946</c:v>
                </c:pt>
                <c:pt idx="4">
                  <c:v>-0.88405682306094491</c:v>
                </c:pt>
                <c:pt idx="5">
                  <c:v>-0.85232367575890122</c:v>
                </c:pt>
                <c:pt idx="6">
                  <c:v>-0.81844222613721374</c:v>
                </c:pt>
                <c:pt idx="7">
                  <c:v>-0.78436243656493831</c:v>
                </c:pt>
                <c:pt idx="8">
                  <c:v>-0.75745857170161579</c:v>
                </c:pt>
                <c:pt idx="9">
                  <c:v>-0.74328225402251302</c:v>
                </c:pt>
                <c:pt idx="10">
                  <c:v>-0.71715139716535525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58-45F9-9750-E9B82F00D5E0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#1'!$U$83:$U$93</c:f>
              <c:numCache>
                <c:formatCode>General</c:formatCode>
                <c:ptCount val="11"/>
                <c:pt idx="0">
                  <c:v>-0.53017798402183702</c:v>
                </c:pt>
                <c:pt idx="1">
                  <c:v>-0.46344155742846993</c:v>
                </c:pt>
                <c:pt idx="2">
                  <c:v>-0.42136079003192767</c:v>
                </c:pt>
                <c:pt idx="3">
                  <c:v>-0.3979400086720376</c:v>
                </c:pt>
                <c:pt idx="4">
                  <c:v>-0.36855623098682799</c:v>
                </c:pt>
                <c:pt idx="5">
                  <c:v>-0.35066514128785814</c:v>
                </c:pt>
                <c:pt idx="6">
                  <c:v>-0.33441900898204691</c:v>
                </c:pt>
                <c:pt idx="7">
                  <c:v>-0.31785492362616818</c:v>
                </c:pt>
                <c:pt idx="8">
                  <c:v>-0.3053948010664313</c:v>
                </c:pt>
                <c:pt idx="9">
                  <c:v>-0.29670862188133862</c:v>
                </c:pt>
                <c:pt idx="10">
                  <c:v>-0.28399665636520083</c:v>
                </c:pt>
              </c:numCache>
            </c:numRef>
          </c:xVal>
          <c:yVal>
            <c:numRef>
              <c:f>'Barra #1'!$Y$83:$Y$93</c:f>
              <c:numCache>
                <c:formatCode>General</c:formatCode>
                <c:ptCount val="11"/>
                <c:pt idx="0">
                  <c:v>-1.206651166255434</c:v>
                </c:pt>
                <c:pt idx="1">
                  <c:v>-1.073911003405859</c:v>
                </c:pt>
                <c:pt idx="2">
                  <c:v>-0.99021146775215807</c:v>
                </c:pt>
                <c:pt idx="3">
                  <c:v>-0.94362703867088793</c:v>
                </c:pt>
                <c:pt idx="4">
                  <c:v>-0.8851820838812634</c:v>
                </c:pt>
                <c:pt idx="5">
                  <c:v>-0.849596328373736</c:v>
                </c:pt>
                <c:pt idx="6">
                  <c:v>-0.81728242788444216</c:v>
                </c:pt>
                <c:pt idx="7">
                  <c:v>-0.7843361120591934</c:v>
                </c:pt>
                <c:pt idx="8">
                  <c:v>-0.75955266496540597</c:v>
                </c:pt>
                <c:pt idx="9">
                  <c:v>-0.74227567099934921</c:v>
                </c:pt>
                <c:pt idx="10">
                  <c:v>-0.7169913029430286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A1-4C45-9201-FE746577F8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34031"/>
        <c:axId val="295511791"/>
      </c:scatterChart>
      <c:valAx>
        <c:axId val="512934031"/>
        <c:scaling>
          <c:orientation val="minMax"/>
          <c:max val="-0.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</a:t>
                </a:r>
                <a:r>
                  <a:rPr lang="en-US" sz="1400" b="0" i="0" u="none" strike="noStrike" baseline="0">
                    <a:effectLst/>
                  </a:rPr>
                  <a:t>ℓ</a:t>
                </a:r>
                <a:r>
                  <a:rPr lang="en-US" sz="1400"/>
                  <a:t>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95511791"/>
        <c:crossesAt val="-10"/>
        <c:crossBetween val="midCat"/>
      </c:valAx>
      <c:valAx>
        <c:axId val="295511791"/>
        <c:scaling>
          <c:orientation val="minMax"/>
          <c:max val="-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Log(T)</a:t>
                </a:r>
                <a:r>
                  <a:rPr lang="en-US" sz="1400" baseline="0"/>
                  <a:t> (s.u.)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2.4999994531934706E-2"/>
              <c:y val="0.361747594050743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2934031"/>
        <c:crossesAt val="-1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Linearização</a:t>
            </a:r>
            <a:r>
              <a:rPr lang="en-US" sz="1600" baseline="0"/>
              <a:t> para i=151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128977374707783"/>
          <c:y val="0.17171296296296296"/>
          <c:w val="0.80596322605588266"/>
          <c:h val="0.67006531134111058"/>
        </c:manualLayout>
      </c:layout>
      <c:scatterChart>
        <c:scatterStyle val="lineMarker"/>
        <c:varyColors val="0"/>
        <c:ser>
          <c:idx val="0"/>
          <c:order val="0"/>
          <c:tx>
            <c:v>log(T)[log(ℓ)]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'Barra #1'!$AR$77:$AR$87</c:f>
              <c:numCache>
                <c:formatCode>General</c:formatCode>
                <c:ptCount val="11"/>
                <c:pt idx="0">
                  <c:v>-0.53017798402183702</c:v>
                </c:pt>
                <c:pt idx="1">
                  <c:v>-0.46344155742846993</c:v>
                </c:pt>
                <c:pt idx="2">
                  <c:v>-0.42136079003192767</c:v>
                </c:pt>
                <c:pt idx="3">
                  <c:v>-0.3979400086720376</c:v>
                </c:pt>
                <c:pt idx="4">
                  <c:v>-0.36855623098682799</c:v>
                </c:pt>
                <c:pt idx="5">
                  <c:v>-0.35066514128785814</c:v>
                </c:pt>
                <c:pt idx="6">
                  <c:v>-0.33441900898204691</c:v>
                </c:pt>
                <c:pt idx="7">
                  <c:v>-0.31785492362616818</c:v>
                </c:pt>
                <c:pt idx="8">
                  <c:v>-0.3053948010664313</c:v>
                </c:pt>
                <c:pt idx="9">
                  <c:v>-0.29670862188133862</c:v>
                </c:pt>
                <c:pt idx="10">
                  <c:v>-0.28399665636520083</c:v>
                </c:pt>
              </c:numCache>
            </c:numRef>
          </c:xVal>
          <c:yVal>
            <c:numRef>
              <c:f>'Barra #1'!$AT$77:$AT$87</c:f>
              <c:numCache>
                <c:formatCode>General</c:formatCode>
                <c:ptCount val="11"/>
                <c:pt idx="0">
                  <c:v>-1.2052796481831636</c:v>
                </c:pt>
                <c:pt idx="1">
                  <c:v>-1.0722875380997243</c:v>
                </c:pt>
                <c:pt idx="2">
                  <c:v>-0.98857053821921814</c:v>
                </c:pt>
                <c:pt idx="3">
                  <c:v>-0.940310388728121</c:v>
                </c:pt>
                <c:pt idx="4">
                  <c:v>-0.88339225601175153</c:v>
                </c:pt>
                <c:pt idx="5">
                  <c:v>-0.85037040103626926</c:v>
                </c:pt>
                <c:pt idx="6">
                  <c:v>-0.8172050546498123</c:v>
                </c:pt>
                <c:pt idx="7">
                  <c:v>-0.78286714269438396</c:v>
                </c:pt>
                <c:pt idx="8">
                  <c:v>-0.75630067294931846</c:v>
                </c:pt>
                <c:pt idx="9">
                  <c:v>-0.74152235502148256</c:v>
                </c:pt>
                <c:pt idx="10">
                  <c:v>-0.71564447517496077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79-48B8-8808-D6BB489EB9E3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#1'!$AR$77:$AR$87</c:f>
              <c:numCache>
                <c:formatCode>General</c:formatCode>
                <c:ptCount val="11"/>
                <c:pt idx="0">
                  <c:v>-0.53017798402183702</c:v>
                </c:pt>
                <c:pt idx="1">
                  <c:v>-0.46344155742846993</c:v>
                </c:pt>
                <c:pt idx="2">
                  <c:v>-0.42136079003192767</c:v>
                </c:pt>
                <c:pt idx="3">
                  <c:v>-0.3979400086720376</c:v>
                </c:pt>
                <c:pt idx="4">
                  <c:v>-0.36855623098682799</c:v>
                </c:pt>
                <c:pt idx="5">
                  <c:v>-0.35066514128785814</c:v>
                </c:pt>
                <c:pt idx="6">
                  <c:v>-0.33441900898204691</c:v>
                </c:pt>
                <c:pt idx="7">
                  <c:v>-0.31785492362616818</c:v>
                </c:pt>
                <c:pt idx="8">
                  <c:v>-0.3053948010664313</c:v>
                </c:pt>
                <c:pt idx="9">
                  <c:v>-0.29670862188133862</c:v>
                </c:pt>
                <c:pt idx="10">
                  <c:v>-0.28399665636520083</c:v>
                </c:pt>
              </c:numCache>
            </c:numRef>
          </c:xVal>
          <c:yVal>
            <c:numRef>
              <c:f>'Barra #1'!$AV$77:$AV$87</c:f>
              <c:numCache>
                <c:formatCode>General</c:formatCode>
                <c:ptCount val="11"/>
                <c:pt idx="0">
                  <c:v>-1.204939235048629</c:v>
                </c:pt>
                <c:pt idx="1">
                  <c:v>-1.0723113873241217</c:v>
                </c:pt>
                <c:pt idx="2">
                  <c:v>-0.98868267216373074</c:v>
                </c:pt>
                <c:pt idx="3">
                  <c:v>-0.94213765945702388</c:v>
                </c:pt>
                <c:pt idx="4">
                  <c:v>-0.88374215656097732</c:v>
                </c:pt>
                <c:pt idx="5">
                  <c:v>-0.84818651114593924</c:v>
                </c:pt>
                <c:pt idx="6">
                  <c:v>-0.8158999523420627</c:v>
                </c:pt>
                <c:pt idx="7">
                  <c:v>-0.78298151330634769</c:v>
                </c:pt>
                <c:pt idx="8">
                  <c:v>-0.75821903617297159</c:v>
                </c:pt>
                <c:pt idx="9">
                  <c:v>-0.74095666074961086</c:v>
                </c:pt>
                <c:pt idx="10">
                  <c:v>-0.71569368649678977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53-4748-9E3C-194F15F90A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34031"/>
        <c:axId val="295511791"/>
      </c:scatterChart>
      <c:valAx>
        <c:axId val="512934031"/>
        <c:scaling>
          <c:orientation val="minMax"/>
          <c:max val="-0.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</a:t>
                </a:r>
                <a:r>
                  <a:rPr lang="en-US" sz="1400" b="0" i="0" u="none" strike="noStrike" baseline="0">
                    <a:effectLst/>
                  </a:rPr>
                  <a:t>ℓ</a:t>
                </a:r>
                <a:r>
                  <a:rPr lang="en-US" sz="1400"/>
                  <a:t>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95511791"/>
        <c:crossesAt val="-10"/>
        <c:crossBetween val="midCat"/>
      </c:valAx>
      <c:valAx>
        <c:axId val="295511791"/>
        <c:scaling>
          <c:orientation val="minMax"/>
          <c:max val="-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Log(T)</a:t>
                </a:r>
                <a:r>
                  <a:rPr lang="en-US" sz="1400" baseline="0"/>
                  <a:t> (s.u.)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2.0428939991997158E-2"/>
              <c:y val="0.366377223680373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2934031"/>
        <c:crossesAt val="-1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Média</a:t>
            </a:r>
            <a:r>
              <a:rPr lang="en-US" sz="1600" baseline="0"/>
              <a:t> dos 3 i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68524166666666675"/>
        </c:manualLayout>
      </c:layout>
      <c:scatterChart>
        <c:scatterStyle val="lineMarker"/>
        <c:varyColors val="0"/>
        <c:ser>
          <c:idx val="0"/>
          <c:order val="0"/>
          <c:tx>
            <c:v>Média dos 3 valores de 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#1'!$G$49:$G$49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#1'!$G$49:$G$49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#1'!$CV$51:$CV$62</c:f>
                <c:numCache>
                  <c:formatCode>General</c:formatCode>
                  <c:ptCount val="12"/>
                  <c:pt idx="0">
                    <c:v>3.3511081775101674E-6</c:v>
                  </c:pt>
                  <c:pt idx="1">
                    <c:v>2.7578991255389012E-5</c:v>
                  </c:pt>
                  <c:pt idx="2">
                    <c:v>4.4016256646832496E-5</c:v>
                  </c:pt>
                  <c:pt idx="3">
                    <c:v>1.9333870746042716E-5</c:v>
                  </c:pt>
                  <c:pt idx="4">
                    <c:v>8.6618960376247484E-5</c:v>
                  </c:pt>
                  <c:pt idx="5">
                    <c:v>9.2851358074592352E-5</c:v>
                  </c:pt>
                  <c:pt idx="6">
                    <c:v>1.3020883622720023E-4</c:v>
                  </c:pt>
                  <c:pt idx="7">
                    <c:v>1.2877479006784961E-4</c:v>
                  </c:pt>
                  <c:pt idx="8">
                    <c:v>1.4787383414884399E-4</c:v>
                  </c:pt>
                  <c:pt idx="9">
                    <c:v>1.7798782820958379E-4</c:v>
                  </c:pt>
                  <c:pt idx="10">
                    <c:v>2.0261192590081617E-4</c:v>
                  </c:pt>
                  <c:pt idx="11">
                    <c:v>2.2997286271905513E-4</c:v>
                  </c:pt>
                </c:numCache>
              </c:numRef>
            </c:plus>
            <c:minus>
              <c:numRef>
                <c:f>'Barra #1'!$CV$51:$CV$62</c:f>
                <c:numCache>
                  <c:formatCode>General</c:formatCode>
                  <c:ptCount val="12"/>
                  <c:pt idx="0">
                    <c:v>3.3511081775101674E-6</c:v>
                  </c:pt>
                  <c:pt idx="1">
                    <c:v>2.7578991255389012E-5</c:v>
                  </c:pt>
                  <c:pt idx="2">
                    <c:v>4.4016256646832496E-5</c:v>
                  </c:pt>
                  <c:pt idx="3">
                    <c:v>1.9333870746042716E-5</c:v>
                  </c:pt>
                  <c:pt idx="4">
                    <c:v>8.6618960376247484E-5</c:v>
                  </c:pt>
                  <c:pt idx="5">
                    <c:v>9.2851358074592352E-5</c:v>
                  </c:pt>
                  <c:pt idx="6">
                    <c:v>1.3020883622720023E-4</c:v>
                  </c:pt>
                  <c:pt idx="7">
                    <c:v>1.2877479006784961E-4</c:v>
                  </c:pt>
                  <c:pt idx="8">
                    <c:v>1.4787383414884399E-4</c:v>
                  </c:pt>
                  <c:pt idx="9">
                    <c:v>1.7798782820958379E-4</c:v>
                  </c:pt>
                  <c:pt idx="10">
                    <c:v>2.0261192590081617E-4</c:v>
                  </c:pt>
                  <c:pt idx="11">
                    <c:v>2.2997286271905513E-4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#1'!$CQ$51:$CQ$78</c:f>
              <c:numCache>
                <c:formatCode>0.0000000E+00</c:formatCode>
                <c:ptCount val="28"/>
                <c:pt idx="0" formatCode="0.000000000E+0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 formatCode="0.000000E+00">
                  <c:v>2.0632736880999997E-2</c:v>
                </c:pt>
                <c:pt idx="4" formatCode="0.000000E+00">
                  <c:v>2.5600000000000012E-2</c:v>
                </c:pt>
                <c:pt idx="5" formatCode="0.00000E+00">
                  <c:v>3.3556377855999991E-2</c:v>
                </c:pt>
                <c:pt idx="6" formatCode="0.00000E+00">
                  <c:v>3.9567575056000004E-2</c:v>
                </c:pt>
                <c:pt idx="7" formatCode="0.00000E+00">
                  <c:v>4.5954068160999992E-2</c:v>
                </c:pt>
                <c:pt idx="8" formatCode="0.00000E+00">
                  <c:v>5.3527912321000015E-2</c:v>
                </c:pt>
                <c:pt idx="9" formatCode="0.00000E+00">
                  <c:v>6.0037250624999997E-2</c:v>
                </c:pt>
                <c:pt idx="10" formatCode="0.00000E+00">
                  <c:v>6.5037750625000001E-2</c:v>
                </c:pt>
                <c:pt idx="11" formatCode="0.00000E+00">
                  <c:v>7.3116160000000013E-2</c:v>
                </c:pt>
              </c:numCache>
            </c:numRef>
          </c:xVal>
          <c:yVal>
            <c:numRef>
              <c:f>'Barra #1'!$CU$51:$CU$78</c:f>
              <c:numCache>
                <c:formatCode>0.00000</c:formatCode>
                <c:ptCount val="28"/>
                <c:pt idx="0" formatCode="0.000000">
                  <c:v>5.5958530864197529E-4</c:v>
                </c:pt>
                <c:pt idx="1">
                  <c:v>3.8331348148148148E-3</c:v>
                </c:pt>
                <c:pt idx="2">
                  <c:v>7.093588148148147E-3</c:v>
                </c:pt>
                <c:pt idx="3">
                  <c:v>1.0513102222222223E-2</c:v>
                </c:pt>
                <c:pt idx="4" formatCode="0.0000">
                  <c:v>1.3021779259259259E-2</c:v>
                </c:pt>
                <c:pt idx="5" formatCode="0.0000">
                  <c:v>1.696978666666667E-2</c:v>
                </c:pt>
                <c:pt idx="6" formatCode="0.0000">
                  <c:v>1.9678502592592594E-2</c:v>
                </c:pt>
                <c:pt idx="7" formatCode="0.0000">
                  <c:v>2.2986471481481478E-2</c:v>
                </c:pt>
                <c:pt idx="8" formatCode="0.0000">
                  <c:v>2.6914835925925928E-2</c:v>
                </c:pt>
                <c:pt idx="9" formatCode="0.0000">
                  <c:v>3.0423894814814816E-2</c:v>
                </c:pt>
                <c:pt idx="10" formatCode="0.0000">
                  <c:v>3.2513045925925924E-2</c:v>
                </c:pt>
                <c:pt idx="11" formatCode="0.0000">
                  <c:v>3.6643552592592589E-2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3B-400A-A2FA-9E2CB3D476E1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#1'!$CQ$51:$CQ$78</c:f>
              <c:numCache>
                <c:formatCode>0.0000000E+00</c:formatCode>
                <c:ptCount val="28"/>
                <c:pt idx="0" formatCode="0.000000000E+0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 formatCode="0.000000E+00">
                  <c:v>2.0632736880999997E-2</c:v>
                </c:pt>
                <c:pt idx="4" formatCode="0.000000E+00">
                  <c:v>2.5600000000000012E-2</c:v>
                </c:pt>
                <c:pt idx="5" formatCode="0.00000E+00">
                  <c:v>3.3556377855999991E-2</c:v>
                </c:pt>
                <c:pt idx="6" formatCode="0.00000E+00">
                  <c:v>3.9567575056000004E-2</c:v>
                </c:pt>
                <c:pt idx="7" formatCode="0.00000E+00">
                  <c:v>4.5954068160999992E-2</c:v>
                </c:pt>
                <c:pt idx="8" formatCode="0.00000E+00">
                  <c:v>5.3527912321000015E-2</c:v>
                </c:pt>
                <c:pt idx="9" formatCode="0.00000E+00">
                  <c:v>6.0037250624999997E-2</c:v>
                </c:pt>
                <c:pt idx="10" formatCode="0.00000E+00">
                  <c:v>6.5037750625000001E-2</c:v>
                </c:pt>
                <c:pt idx="11" formatCode="0.00000E+00">
                  <c:v>7.3116160000000013E-2</c:v>
                </c:pt>
              </c:numCache>
            </c:numRef>
          </c:xVal>
          <c:yVal>
            <c:numRef>
              <c:f>'Barra #1'!$CW$51:$CW$78</c:f>
              <c:numCache>
                <c:formatCode>0.00000</c:formatCode>
                <c:ptCount val="28"/>
                <c:pt idx="0" formatCode="0.000000">
                  <c:v>6.1223457377272423E-4</c:v>
                </c:pt>
                <c:pt idx="1">
                  <c:v>3.8782283779075321E-3</c:v>
                </c:pt>
                <c:pt idx="2">
                  <c:v>7.0973958089282016E-3</c:v>
                </c:pt>
                <c:pt idx="3">
                  <c:v>1.0416326344148213E-2</c:v>
                </c:pt>
                <c:pt idx="4" formatCode="0.0000">
                  <c:v>1.2903154764679488E-2</c:v>
                </c:pt>
                <c:pt idx="5" formatCode="0.0000">
                  <c:v>1.6886464306125667E-2</c:v>
                </c:pt>
                <c:pt idx="6" formatCode="0.0000">
                  <c:v>1.9895931628522608E-2</c:v>
                </c:pt>
                <c:pt idx="7" formatCode="0.0000">
                  <c:v>2.3093288438612088E-2</c:v>
                </c:pt>
                <c:pt idx="8" formatCode="0.0000">
                  <c:v>2.6885084938724737E-2</c:v>
                </c:pt>
                <c:pt idx="9" formatCode="0.0000">
                  <c:v>3.0143943409765186E-2</c:v>
                </c:pt>
                <c:pt idx="10" formatCode="0.0000">
                  <c:v>3.2647411661587952E-2</c:v>
                </c:pt>
                <c:pt idx="11" formatCode="0.0000">
                  <c:v>3.6691815500312058E-2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3B-400A-A2FA-9E2CB3D476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0330849999397262"/>
          <c:y val="0.61759204576148174"/>
          <c:w val="0.31312389746804414"/>
          <c:h val="0.1417685513331690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r>
              <a:rPr lang="en-US" sz="1600" baseline="0"/>
              <a:t> para</a:t>
            </a:r>
            <a:r>
              <a:rPr lang="en-US" sz="1600"/>
              <a:t> a média dos 3 i - Fórmula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6245192307692308"/>
          <c:y val="0.14591770833333334"/>
          <c:w val="0.79965833333333325"/>
          <c:h val="0.70288055555555562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#1'!$G$49:$G$49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#1'!$G$49:$G$49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#1'!$CV$51:$CV$62</c:f>
                <c:numCache>
                  <c:formatCode>General</c:formatCode>
                  <c:ptCount val="12"/>
                  <c:pt idx="0">
                    <c:v>3.3511081775101674E-6</c:v>
                  </c:pt>
                  <c:pt idx="1">
                    <c:v>2.7578991255389012E-5</c:v>
                  </c:pt>
                  <c:pt idx="2">
                    <c:v>4.4016256646832496E-5</c:v>
                  </c:pt>
                  <c:pt idx="3">
                    <c:v>1.9333870746042716E-5</c:v>
                  </c:pt>
                  <c:pt idx="4">
                    <c:v>8.6618960376247484E-5</c:v>
                  </c:pt>
                  <c:pt idx="5">
                    <c:v>9.2851358074592352E-5</c:v>
                  </c:pt>
                  <c:pt idx="6">
                    <c:v>1.3020883622720023E-4</c:v>
                  </c:pt>
                  <c:pt idx="7">
                    <c:v>1.2877479006784961E-4</c:v>
                  </c:pt>
                  <c:pt idx="8">
                    <c:v>1.4787383414884399E-4</c:v>
                  </c:pt>
                  <c:pt idx="9">
                    <c:v>1.7798782820958379E-4</c:v>
                  </c:pt>
                  <c:pt idx="10">
                    <c:v>2.0261192590081617E-4</c:v>
                  </c:pt>
                  <c:pt idx="11">
                    <c:v>2.2997286271905513E-4</c:v>
                  </c:pt>
                </c:numCache>
              </c:numRef>
            </c:plus>
            <c:minus>
              <c:numRef>
                <c:f>'Barra #1'!$CV$51:$CV$62</c:f>
                <c:numCache>
                  <c:formatCode>General</c:formatCode>
                  <c:ptCount val="12"/>
                  <c:pt idx="0">
                    <c:v>3.3511081775101674E-6</c:v>
                  </c:pt>
                  <c:pt idx="1">
                    <c:v>2.7578991255389012E-5</c:v>
                  </c:pt>
                  <c:pt idx="2">
                    <c:v>4.4016256646832496E-5</c:v>
                  </c:pt>
                  <c:pt idx="3">
                    <c:v>1.9333870746042716E-5</c:v>
                  </c:pt>
                  <c:pt idx="4">
                    <c:v>8.6618960376247484E-5</c:v>
                  </c:pt>
                  <c:pt idx="5">
                    <c:v>9.2851358074592352E-5</c:v>
                  </c:pt>
                  <c:pt idx="6">
                    <c:v>1.3020883622720023E-4</c:v>
                  </c:pt>
                  <c:pt idx="7">
                    <c:v>1.2877479006784961E-4</c:v>
                  </c:pt>
                  <c:pt idx="8">
                    <c:v>1.4787383414884399E-4</c:v>
                  </c:pt>
                  <c:pt idx="9">
                    <c:v>1.7798782820958379E-4</c:v>
                  </c:pt>
                  <c:pt idx="10">
                    <c:v>2.0261192590081617E-4</c:v>
                  </c:pt>
                  <c:pt idx="11">
                    <c:v>2.2997286271905513E-4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#1'!$CQ$51:$CQ$62</c:f>
              <c:numCache>
                <c:formatCode>0.0000000E+00</c:formatCode>
                <c:ptCount val="12"/>
                <c:pt idx="0" formatCode="0.000000000E+0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 formatCode="0.000000E+00">
                  <c:v>2.0632736880999997E-2</c:v>
                </c:pt>
                <c:pt idx="4" formatCode="0.000000E+00">
                  <c:v>2.5600000000000012E-2</c:v>
                </c:pt>
                <c:pt idx="5" formatCode="0.00000E+00">
                  <c:v>3.3556377855999991E-2</c:v>
                </c:pt>
                <c:pt idx="6" formatCode="0.00000E+00">
                  <c:v>3.9567575056000004E-2</c:v>
                </c:pt>
                <c:pt idx="7" formatCode="0.00000E+00">
                  <c:v>4.5954068160999992E-2</c:v>
                </c:pt>
                <c:pt idx="8" formatCode="0.00000E+00">
                  <c:v>5.3527912321000015E-2</c:v>
                </c:pt>
                <c:pt idx="9" formatCode="0.00000E+00">
                  <c:v>6.0037250624999997E-2</c:v>
                </c:pt>
                <c:pt idx="10" formatCode="0.00000E+00">
                  <c:v>6.5037750625000001E-2</c:v>
                </c:pt>
                <c:pt idx="11" formatCode="0.00000E+00">
                  <c:v>7.3116160000000013E-2</c:v>
                </c:pt>
              </c:numCache>
            </c:numRef>
          </c:xVal>
          <c:yVal>
            <c:numRef>
              <c:f>'Barra #1'!$CX$51:$CX$62</c:f>
              <c:numCache>
                <c:formatCode>0.00000</c:formatCode>
                <c:ptCount val="12"/>
                <c:pt idx="0" formatCode="0.000000">
                  <c:v>-5.2649265130748943E-5</c:v>
                </c:pt>
                <c:pt idx="1">
                  <c:v>-4.5093563092717375E-5</c:v>
                </c:pt>
                <c:pt idx="2">
                  <c:v>-3.8076607800545739E-6</c:v>
                </c:pt>
                <c:pt idx="3">
                  <c:v>9.6775878074009669E-5</c:v>
                </c:pt>
                <c:pt idx="4" formatCode="0.0000">
                  <c:v>1.186244945797707E-4</c:v>
                </c:pt>
                <c:pt idx="5" formatCode="0.0000">
                  <c:v>8.3322360541003559E-5</c:v>
                </c:pt>
                <c:pt idx="6" formatCode="0.0000">
                  <c:v>-2.1742903593001406E-4</c:v>
                </c:pt>
                <c:pt idx="7" formatCode="0.0000">
                  <c:v>-1.0681695713061004E-4</c:v>
                </c:pt>
                <c:pt idx="8" formatCode="0.0000">
                  <c:v>2.9750987201190848E-5</c:v>
                </c:pt>
                <c:pt idx="9" formatCode="0.0000">
                  <c:v>2.7995140504962976E-4</c:v>
                </c:pt>
                <c:pt idx="10" formatCode="0.0000">
                  <c:v>-1.343657356620287E-4</c:v>
                </c:pt>
                <c:pt idx="11" formatCode="0.0000">
                  <c:v>-4.8262907719469339E-5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C3-41B2-9EDE-D319D44C63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- </a:t>
                </a:r>
                <a:r>
                  <a:rPr lang="en-US" sz="1400" b="0" i="0" u="none" strike="noStrike" baseline="0">
                    <a:effectLst/>
                  </a:rPr>
                  <a:t>T</a:t>
                </a:r>
                <a:r>
                  <a:rPr lang="en-US" sz="1400" b="0" i="0" u="none" strike="noStrike" baseline="30000">
                    <a:effectLst/>
                  </a:rPr>
                  <a:t>2</a:t>
                </a:r>
                <a:r>
                  <a:rPr lang="en-US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Linearização</a:t>
            </a:r>
            <a:r>
              <a:rPr lang="en-US" sz="1600" baseline="0"/>
              <a:t> da média dos 3 i - Fórmula 1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3501425355963018"/>
          <c:y val="0.17171296296296296"/>
          <c:w val="0.82429333758879231"/>
          <c:h val="0.68677083333333344"/>
        </c:manualLayout>
      </c:layout>
      <c:scatterChart>
        <c:scatterStyle val="lineMarker"/>
        <c:varyColors val="0"/>
        <c:ser>
          <c:idx val="0"/>
          <c:order val="0"/>
          <c:tx>
            <c:v>log(T)[log(ℓ)]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'Barra #1'!$DF$51:$DF$61</c:f>
              <c:numCache>
                <c:formatCode>General</c:formatCode>
                <c:ptCount val="11"/>
                <c:pt idx="0">
                  <c:v>-0.53017798402183702</c:v>
                </c:pt>
                <c:pt idx="1">
                  <c:v>-0.46344155742846993</c:v>
                </c:pt>
                <c:pt idx="2">
                  <c:v>-0.42136079003192767</c:v>
                </c:pt>
                <c:pt idx="3">
                  <c:v>-0.3979400086720376</c:v>
                </c:pt>
                <c:pt idx="4">
                  <c:v>-0.36855623098682799</c:v>
                </c:pt>
                <c:pt idx="5">
                  <c:v>-0.35066514128785814</c:v>
                </c:pt>
                <c:pt idx="6">
                  <c:v>-0.33441900898204691</c:v>
                </c:pt>
                <c:pt idx="7">
                  <c:v>-0.31785492362616818</c:v>
                </c:pt>
                <c:pt idx="8">
                  <c:v>-0.3053948010664313</c:v>
                </c:pt>
                <c:pt idx="9">
                  <c:v>-0.29670862188133862</c:v>
                </c:pt>
                <c:pt idx="10">
                  <c:v>-0.28399665636520083</c:v>
                </c:pt>
              </c:numCache>
            </c:numRef>
          </c:xVal>
          <c:yVal>
            <c:numRef>
              <c:f>'Barra #1'!$DH$51:$DH$61</c:f>
              <c:numCache>
                <c:formatCode>General</c:formatCode>
                <c:ptCount val="11"/>
                <c:pt idx="0">
                  <c:v>-1.208231401687399</c:v>
                </c:pt>
                <c:pt idx="1">
                  <c:v>-1.0745733038072713</c:v>
                </c:pt>
                <c:pt idx="2">
                  <c:v>-0.989134923590269</c:v>
                </c:pt>
                <c:pt idx="3">
                  <c:v>-0.94267206584204666</c:v>
                </c:pt>
                <c:pt idx="4">
                  <c:v>-0.88516669967292694</c:v>
                </c:pt>
                <c:pt idx="5">
                  <c:v>-0.85301112264862589</c:v>
                </c:pt>
                <c:pt idx="6">
                  <c:v>-0.81926896943340954</c:v>
                </c:pt>
                <c:pt idx="7">
                  <c:v>-0.78500905813822763</c:v>
                </c:pt>
                <c:pt idx="8">
                  <c:v>-0.7583981846920429</c:v>
                </c:pt>
                <c:pt idx="9">
                  <c:v>-0.7439775104070363</c:v>
                </c:pt>
                <c:pt idx="10">
                  <c:v>-0.71800764634876235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28-43CA-8EDF-44F9627C1E1C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#1'!$DF$51:$DF$61</c:f>
              <c:numCache>
                <c:formatCode>General</c:formatCode>
                <c:ptCount val="11"/>
                <c:pt idx="0">
                  <c:v>-0.53017798402183702</c:v>
                </c:pt>
                <c:pt idx="1">
                  <c:v>-0.46344155742846993</c:v>
                </c:pt>
                <c:pt idx="2">
                  <c:v>-0.42136079003192767</c:v>
                </c:pt>
                <c:pt idx="3">
                  <c:v>-0.3979400086720376</c:v>
                </c:pt>
                <c:pt idx="4">
                  <c:v>-0.36855623098682799</c:v>
                </c:pt>
                <c:pt idx="5">
                  <c:v>-0.35066514128785814</c:v>
                </c:pt>
                <c:pt idx="6">
                  <c:v>-0.33441900898204691</c:v>
                </c:pt>
                <c:pt idx="7">
                  <c:v>-0.31785492362616818</c:v>
                </c:pt>
                <c:pt idx="8">
                  <c:v>-0.3053948010664313</c:v>
                </c:pt>
                <c:pt idx="9">
                  <c:v>-0.29670862188133862</c:v>
                </c:pt>
                <c:pt idx="10">
                  <c:v>-0.28399665636520083</c:v>
                </c:pt>
              </c:numCache>
            </c:numRef>
          </c:xVal>
          <c:yVal>
            <c:numRef>
              <c:f>'Barra #1'!$DJ$51:$DJ$62</c:f>
              <c:numCache>
                <c:formatCode>General</c:formatCode>
                <c:ptCount val="12"/>
                <c:pt idx="0">
                  <c:v>-1.2071556222016451</c:v>
                </c:pt>
                <c:pt idx="1">
                  <c:v>-1.0745020169999522</c:v>
                </c:pt>
                <c:pt idx="2">
                  <c:v>-0.99085706041847399</c:v>
                </c:pt>
                <c:pt idx="3">
                  <c:v>-0.94430300826700908</c:v>
                </c:pt>
                <c:pt idx="4">
                  <c:v>-0.88589616445833086</c:v>
                </c:pt>
                <c:pt idx="5">
                  <c:v>-0.8503336138288804</c:v>
                </c:pt>
                <c:pt idx="6">
                  <c:v>-0.81804078469553643</c:v>
                </c:pt>
                <c:pt idx="7">
                  <c:v>-0.78511595261373801</c:v>
                </c:pt>
                <c:pt idx="8">
                  <c:v>-0.76034866639274745</c:v>
                </c:pt>
                <c:pt idx="9">
                  <c:v>-0.74308293846650919</c:v>
                </c:pt>
                <c:pt idx="10">
                  <c:v>-0.71781505792519662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7B-4CFE-B4DB-63E5D528E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34031"/>
        <c:axId val="295511791"/>
      </c:scatterChart>
      <c:valAx>
        <c:axId val="512934031"/>
        <c:scaling>
          <c:orientation val="minMax"/>
          <c:max val="-0.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</a:t>
                </a:r>
                <a:r>
                  <a:rPr lang="en-US" sz="1400" b="0" i="0" u="none" strike="noStrike" baseline="0">
                    <a:effectLst/>
                  </a:rPr>
                  <a:t>ℓ</a:t>
                </a:r>
                <a:r>
                  <a:rPr lang="en-US" sz="1400"/>
                  <a:t>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95511791"/>
        <c:crossesAt val="-10"/>
        <c:crossBetween val="midCat"/>
      </c:valAx>
      <c:valAx>
        <c:axId val="295511791"/>
        <c:scaling>
          <c:orientation val="minMax"/>
          <c:max val="-0.650000000000000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Log(T)</a:t>
                </a:r>
                <a:r>
                  <a:rPr lang="en-US" sz="1400" baseline="0"/>
                  <a:t> (s.u.)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1.5119750656167979E-2"/>
              <c:y val="0.366377223680373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2934031"/>
        <c:crossesAt val="-1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7603846153846"/>
          <c:y val="0.66772231804806093"/>
          <c:w val="0.20453525641025641"/>
          <c:h val="0.1401068351064003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 i = 51 - Fórmula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68524166666666675"/>
        </c:manualLayout>
      </c:layout>
      <c:scatterChart>
        <c:scatterStyle val="lineMarker"/>
        <c:varyColors val="0"/>
        <c:ser>
          <c:idx val="0"/>
          <c:order val="0"/>
          <c:tx>
            <c:v>i=51 - Fórmula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#1'!$G$49:$G$49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#1'!$G$49:$G$49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#1'!$I$49:$I$49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#1'!$I$49:$I$49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#1'!$BK$110:$BK$120</c:f>
              <c:numCache>
                <c:formatCode>General</c:formatCode>
                <c:ptCount val="11"/>
                <c:pt idx="0">
                  <c:v>3.2399999999999998E-2</c:v>
                </c:pt>
                <c:pt idx="1">
                  <c:v>8.7024999999999991E-2</c:v>
                </c:pt>
                <c:pt idx="2">
                  <c:v>0.11833599999999998</c:v>
                </c:pt>
                <c:pt idx="3">
                  <c:v>0.16000000000000003</c:v>
                </c:pt>
                <c:pt idx="4">
                  <c:v>0.18318399999999999</c:v>
                </c:pt>
                <c:pt idx="5">
                  <c:v>0.19891600000000001</c:v>
                </c:pt>
                <c:pt idx="6">
                  <c:v>0.21436899999999998</c:v>
                </c:pt>
                <c:pt idx="7">
                  <c:v>0.23136100000000004</c:v>
                </c:pt>
                <c:pt idx="8">
                  <c:v>0.24502499999999999</c:v>
                </c:pt>
                <c:pt idx="9">
                  <c:v>0.255025</c:v>
                </c:pt>
                <c:pt idx="10">
                  <c:v>0.27040000000000003</c:v>
                </c:pt>
              </c:numCache>
            </c:numRef>
          </c:xVal>
          <c:yVal>
            <c:numRef>
              <c:f>'Barra #1'!$BL$110:$BL$120</c:f>
              <c:numCache>
                <c:formatCode>General</c:formatCode>
                <c:ptCount val="11"/>
                <c:pt idx="0">
                  <c:v>2.3800000000000002E-2</c:v>
                </c:pt>
                <c:pt idx="1">
                  <c:v>6.1400000000000003E-2</c:v>
                </c:pt>
                <c:pt idx="2">
                  <c:v>8.3599999999999994E-2</c:v>
                </c:pt>
                <c:pt idx="3">
                  <c:v>0.11320000000000001</c:v>
                </c:pt>
                <c:pt idx="4">
                  <c:v>0.12940000000000002</c:v>
                </c:pt>
                <c:pt idx="5">
                  <c:v>0.13919999999999999</c:v>
                </c:pt>
                <c:pt idx="6">
                  <c:v>0.15059999999999998</c:v>
                </c:pt>
                <c:pt idx="7">
                  <c:v>0.16300000000000001</c:v>
                </c:pt>
                <c:pt idx="8">
                  <c:v>0.17319999999999999</c:v>
                </c:pt>
                <c:pt idx="9">
                  <c:v>0.17899999999999999</c:v>
                </c:pt>
                <c:pt idx="10">
                  <c:v>0.19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15-49ED-A3F8-8ADF9930B699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#1'!$BK$110:$BK$120</c:f>
              <c:numCache>
                <c:formatCode>General</c:formatCode>
                <c:ptCount val="11"/>
                <c:pt idx="0">
                  <c:v>3.2399999999999998E-2</c:v>
                </c:pt>
                <c:pt idx="1">
                  <c:v>8.7024999999999991E-2</c:v>
                </c:pt>
                <c:pt idx="2">
                  <c:v>0.11833599999999998</c:v>
                </c:pt>
                <c:pt idx="3">
                  <c:v>0.16000000000000003</c:v>
                </c:pt>
                <c:pt idx="4">
                  <c:v>0.18318399999999999</c:v>
                </c:pt>
                <c:pt idx="5">
                  <c:v>0.19891600000000001</c:v>
                </c:pt>
                <c:pt idx="6">
                  <c:v>0.21436899999999998</c:v>
                </c:pt>
                <c:pt idx="7">
                  <c:v>0.23136100000000004</c:v>
                </c:pt>
                <c:pt idx="8">
                  <c:v>0.24502499999999999</c:v>
                </c:pt>
                <c:pt idx="9">
                  <c:v>0.255025</c:v>
                </c:pt>
                <c:pt idx="10">
                  <c:v>0.27040000000000003</c:v>
                </c:pt>
              </c:numCache>
            </c:numRef>
          </c:xVal>
          <c:yVal>
            <c:numRef>
              <c:f>'Barra #1'!$BM$110:$BM$120</c:f>
              <c:numCache>
                <c:formatCode>General</c:formatCode>
                <c:ptCount val="11"/>
                <c:pt idx="0">
                  <c:v>2.4458281296220533E-2</c:v>
                </c:pt>
                <c:pt idx="1">
                  <c:v>6.2511186409373462E-2</c:v>
                </c:pt>
                <c:pt idx="2">
                  <c:v>8.4323076789198287E-2</c:v>
                </c:pt>
                <c:pt idx="3">
                  <c:v>0.11334708115779153</c:v>
                </c:pt>
                <c:pt idx="4">
                  <c:v>0.12949753520160545</c:v>
                </c:pt>
                <c:pt idx="5">
                  <c:v>0.14045677187419353</c:v>
                </c:pt>
                <c:pt idx="6">
                  <c:v>0.15122165137467042</c:v>
                </c:pt>
                <c:pt idx="7">
                  <c:v>0.16305863011485711</c:v>
                </c:pt>
                <c:pt idx="8">
                  <c:v>0.17257725520348172</c:v>
                </c:pt>
                <c:pt idx="9">
                  <c:v>0.17954346208918479</c:v>
                </c:pt>
                <c:pt idx="10">
                  <c:v>0.19025400517595326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15-49ED-A3F8-8ADF9930B699}"/>
            </c:ext>
          </c:extLst>
        </c:ser>
        <c:ser>
          <c:idx val="2"/>
          <c:order val="2"/>
          <c:tx>
            <c:v>Ponto Duvidoso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'Barra #1'!$BD$50</c:f>
              <c:numCache>
                <c:formatCode>0.00</c:formatCode>
                <c:ptCount val="1"/>
                <c:pt idx="0">
                  <c:v>0.14364099999999999</c:v>
                </c:pt>
              </c:numCache>
            </c:numRef>
          </c:xVal>
          <c:yVal>
            <c:numRef>
              <c:f>'Barra #1'!$BF$50</c:f>
              <c:numCache>
                <c:formatCode>0.0000</c:formatCode>
                <c:ptCount val="1"/>
                <c:pt idx="0">
                  <c:v>0.10679999999999999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DD-493A-BC59-3F207CE4F4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110491452991451"/>
          <c:y val="0.59388888888888891"/>
          <c:w val="0.25376686992234493"/>
          <c:h val="0.1812152777777778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 i = 101 - Fórmula</a:t>
            </a:r>
            <a:r>
              <a:rPr lang="en-US" sz="1600" baseline="0"/>
              <a:t> 2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68524166666666675"/>
        </c:manualLayout>
      </c:layout>
      <c:scatterChart>
        <c:scatterStyle val="lineMarker"/>
        <c:varyColors val="0"/>
        <c:ser>
          <c:idx val="0"/>
          <c:order val="0"/>
          <c:tx>
            <c:v>i=101 - Fórmula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#1'!$G$49:$G$49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#1'!$G$49:$G$49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#1'!$I$49:$I$49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#1'!$I$49:$I$49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#1'!$BD$47:$BD$58</c:f>
              <c:numCache>
                <c:formatCode>0.00</c:formatCode>
                <c:ptCount val="12"/>
                <c:pt idx="0">
                  <c:v>3.2399999999999998E-2</c:v>
                </c:pt>
                <c:pt idx="1">
                  <c:v>8.7024999999999991E-2</c:v>
                </c:pt>
                <c:pt idx="2">
                  <c:v>0.11833599999999998</c:v>
                </c:pt>
                <c:pt idx="3">
                  <c:v>0.14364099999999999</c:v>
                </c:pt>
                <c:pt idx="4">
                  <c:v>0.16000000000000003</c:v>
                </c:pt>
                <c:pt idx="5">
                  <c:v>0.18318399999999999</c:v>
                </c:pt>
                <c:pt idx="6">
                  <c:v>0.19891600000000001</c:v>
                </c:pt>
                <c:pt idx="7">
                  <c:v>0.21436899999999998</c:v>
                </c:pt>
                <c:pt idx="8">
                  <c:v>0.23136100000000004</c:v>
                </c:pt>
                <c:pt idx="9">
                  <c:v>0.24502499999999999</c:v>
                </c:pt>
                <c:pt idx="10">
                  <c:v>0.255025</c:v>
                </c:pt>
                <c:pt idx="11">
                  <c:v>0.27040000000000003</c:v>
                </c:pt>
              </c:numCache>
            </c:numRef>
          </c:xVal>
          <c:yVal>
            <c:numRef>
              <c:f>'Barra #1'!$BL$47:$BL$58</c:f>
              <c:numCache>
                <c:formatCode>0.0000</c:formatCode>
                <c:ptCount val="12"/>
                <c:pt idx="0">
                  <c:v>2.35E-2</c:v>
                </c:pt>
                <c:pt idx="1">
                  <c:v>6.2E-2</c:v>
                </c:pt>
                <c:pt idx="2">
                  <c:v>8.4399999999999989E-2</c:v>
                </c:pt>
                <c:pt idx="3">
                  <c:v>0.1024</c:v>
                </c:pt>
                <c:pt idx="4">
                  <c:v>0.1144</c:v>
                </c:pt>
                <c:pt idx="5">
                  <c:v>0.13059999999999999</c:v>
                </c:pt>
                <c:pt idx="6">
                  <c:v>0.14050000000000001</c:v>
                </c:pt>
                <c:pt idx="7">
                  <c:v>0.15189999999999998</c:v>
                </c:pt>
                <c:pt idx="8">
                  <c:v>0.1643</c:v>
                </c:pt>
                <c:pt idx="9">
                  <c:v>0.17480000000000001</c:v>
                </c:pt>
                <c:pt idx="10">
                  <c:v>0.18059999999999998</c:v>
                </c:pt>
                <c:pt idx="11">
                  <c:v>0.1918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E9-4390-BC3F-08B43DD84507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#1'!$BD$47:$BD$58</c:f>
              <c:numCache>
                <c:formatCode>0.00</c:formatCode>
                <c:ptCount val="12"/>
                <c:pt idx="0">
                  <c:v>3.2399999999999998E-2</c:v>
                </c:pt>
                <c:pt idx="1">
                  <c:v>8.7024999999999991E-2</c:v>
                </c:pt>
                <c:pt idx="2">
                  <c:v>0.11833599999999998</c:v>
                </c:pt>
                <c:pt idx="3">
                  <c:v>0.14364099999999999</c:v>
                </c:pt>
                <c:pt idx="4">
                  <c:v>0.16000000000000003</c:v>
                </c:pt>
                <c:pt idx="5">
                  <c:v>0.18318399999999999</c:v>
                </c:pt>
                <c:pt idx="6">
                  <c:v>0.19891600000000001</c:v>
                </c:pt>
                <c:pt idx="7">
                  <c:v>0.21436899999999998</c:v>
                </c:pt>
                <c:pt idx="8">
                  <c:v>0.23136100000000004</c:v>
                </c:pt>
                <c:pt idx="9">
                  <c:v>0.24502499999999999</c:v>
                </c:pt>
                <c:pt idx="10">
                  <c:v>0.255025</c:v>
                </c:pt>
                <c:pt idx="11">
                  <c:v>0.27040000000000003</c:v>
                </c:pt>
              </c:numCache>
            </c:numRef>
          </c:xVal>
          <c:yVal>
            <c:numRef>
              <c:f>'Barra #1'!$BN$47:$BN$58</c:f>
              <c:numCache>
                <c:formatCode>0.0000</c:formatCode>
                <c:ptCount val="12"/>
                <c:pt idx="0">
                  <c:v>2.3580586299750399E-2</c:v>
                </c:pt>
                <c:pt idx="1">
                  <c:v>6.2211673763390776E-2</c:v>
                </c:pt>
                <c:pt idx="2">
                  <c:v>8.4354977737286313E-2</c:v>
                </c:pt>
                <c:pt idx="3">
                  <c:v>0.10225080690465327</c:v>
                </c:pt>
                <c:pt idx="4">
                  <c:v>0.11381997779376439</c:v>
                </c:pt>
                <c:pt idx="5">
                  <c:v>0.13021582459938519</c:v>
                </c:pt>
                <c:pt idx="6">
                  <c:v>0.14134157778891365</c:v>
                </c:pt>
                <c:pt idx="7">
                  <c:v>0.1522700207102067</c:v>
                </c:pt>
                <c:pt idx="8">
                  <c:v>0.16428685253047545</c:v>
                </c:pt>
                <c:pt idx="9">
                  <c:v>0.17395010523716983</c:v>
                </c:pt>
                <c:pt idx="10">
                  <c:v>0.18102215786209255</c:v>
                </c:pt>
                <c:pt idx="11">
                  <c:v>0.19189543877291126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3E9-4390-BC3F-08B43DD845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074865186937018"/>
          <c:y val="0.64723993055555562"/>
          <c:w val="0.24707568496284846"/>
          <c:h val="0.14472647267968244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 i = 151 - Fórmula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68524166666666675"/>
        </c:manualLayout>
      </c:layout>
      <c:scatterChart>
        <c:scatterStyle val="lineMarker"/>
        <c:varyColors val="0"/>
        <c:ser>
          <c:idx val="0"/>
          <c:order val="0"/>
          <c:tx>
            <c:v>i=151 - Fórmula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#1'!$G$49:$G$49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#1'!$G$49:$G$49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#1'!$I$49:$I$49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#1'!$I$49:$I$49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#1'!$BD$47:$BD$58</c:f>
              <c:numCache>
                <c:formatCode>0.00</c:formatCode>
                <c:ptCount val="12"/>
                <c:pt idx="0">
                  <c:v>3.2399999999999998E-2</c:v>
                </c:pt>
                <c:pt idx="1">
                  <c:v>8.7024999999999991E-2</c:v>
                </c:pt>
                <c:pt idx="2">
                  <c:v>0.11833599999999998</c:v>
                </c:pt>
                <c:pt idx="3">
                  <c:v>0.14364099999999999</c:v>
                </c:pt>
                <c:pt idx="4">
                  <c:v>0.16000000000000003</c:v>
                </c:pt>
                <c:pt idx="5">
                  <c:v>0.18318399999999999</c:v>
                </c:pt>
                <c:pt idx="6">
                  <c:v>0.19891600000000001</c:v>
                </c:pt>
                <c:pt idx="7">
                  <c:v>0.21436899999999998</c:v>
                </c:pt>
                <c:pt idx="8">
                  <c:v>0.23136100000000004</c:v>
                </c:pt>
                <c:pt idx="9">
                  <c:v>0.24502499999999999</c:v>
                </c:pt>
                <c:pt idx="10">
                  <c:v>0.255025</c:v>
                </c:pt>
                <c:pt idx="11">
                  <c:v>0.27040000000000003</c:v>
                </c:pt>
              </c:numCache>
            </c:numRef>
          </c:xVal>
          <c:yVal>
            <c:numRef>
              <c:f>'Barra #1'!$BR$47:$BR$58</c:f>
              <c:numCache>
                <c:formatCode>0.00000</c:formatCode>
                <c:ptCount val="12"/>
                <c:pt idx="0">
                  <c:v>2.3695553014209909E-2</c:v>
                </c:pt>
                <c:pt idx="1">
                  <c:v>6.2441671636625395E-2</c:v>
                </c:pt>
                <c:pt idx="2">
                  <c:v>8.4650911365439147E-2</c:v>
                </c:pt>
                <c:pt idx="3">
                  <c:v>0.10260002865130138</c:v>
                </c:pt>
                <c:pt idx="4">
                  <c:v>0.11420364887178827</c:v>
                </c:pt>
                <c:pt idx="5">
                  <c:v>0.13064831732290186</c:v>
                </c:pt>
                <c:pt idx="6">
                  <c:v>0.14180719948615753</c:v>
                </c:pt>
                <c:pt idx="7">
                  <c:v>0.15276818385361171</c:v>
                </c:pt>
                <c:pt idx="8">
                  <c:v>0.16482079799790622</c:v>
                </c:pt>
                <c:pt idx="9">
                  <c:v>0.17451282481450453</c:v>
                </c:pt>
                <c:pt idx="10">
                  <c:v>0.18160593577512979</c:v>
                </c:pt>
                <c:pt idx="11">
                  <c:v>0.19251159387709116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9C-4707-B7D9-6738C579F2E2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#1'!$BD$47:$BD$58</c:f>
              <c:numCache>
                <c:formatCode>0.00</c:formatCode>
                <c:ptCount val="12"/>
                <c:pt idx="0">
                  <c:v>3.2399999999999998E-2</c:v>
                </c:pt>
                <c:pt idx="1">
                  <c:v>8.7024999999999991E-2</c:v>
                </c:pt>
                <c:pt idx="2">
                  <c:v>0.11833599999999998</c:v>
                </c:pt>
                <c:pt idx="3">
                  <c:v>0.14364099999999999</c:v>
                </c:pt>
                <c:pt idx="4">
                  <c:v>0.16000000000000003</c:v>
                </c:pt>
                <c:pt idx="5">
                  <c:v>0.18318399999999999</c:v>
                </c:pt>
                <c:pt idx="6">
                  <c:v>0.19891600000000001</c:v>
                </c:pt>
                <c:pt idx="7">
                  <c:v>0.21436899999999998</c:v>
                </c:pt>
                <c:pt idx="8">
                  <c:v>0.23136100000000004</c:v>
                </c:pt>
                <c:pt idx="9">
                  <c:v>0.24502499999999999</c:v>
                </c:pt>
                <c:pt idx="10">
                  <c:v>0.255025</c:v>
                </c:pt>
                <c:pt idx="11">
                  <c:v>0.27040000000000003</c:v>
                </c:pt>
              </c:numCache>
            </c:numRef>
          </c:xVal>
          <c:yVal>
            <c:numRef>
              <c:f>'Barra #1'!$BR$47:$BR$58</c:f>
              <c:numCache>
                <c:formatCode>0.00000</c:formatCode>
                <c:ptCount val="12"/>
                <c:pt idx="0">
                  <c:v>2.3695553014209909E-2</c:v>
                </c:pt>
                <c:pt idx="1">
                  <c:v>6.2441671636625395E-2</c:v>
                </c:pt>
                <c:pt idx="2">
                  <c:v>8.4650911365439147E-2</c:v>
                </c:pt>
                <c:pt idx="3">
                  <c:v>0.10260002865130138</c:v>
                </c:pt>
                <c:pt idx="4">
                  <c:v>0.11420364887178827</c:v>
                </c:pt>
                <c:pt idx="5">
                  <c:v>0.13064831732290186</c:v>
                </c:pt>
                <c:pt idx="6">
                  <c:v>0.14180719948615753</c:v>
                </c:pt>
                <c:pt idx="7">
                  <c:v>0.15276818385361171</c:v>
                </c:pt>
                <c:pt idx="8">
                  <c:v>0.16482079799790622</c:v>
                </c:pt>
                <c:pt idx="9">
                  <c:v>0.17451282481450453</c:v>
                </c:pt>
                <c:pt idx="10">
                  <c:v>0.18160593577512979</c:v>
                </c:pt>
                <c:pt idx="11">
                  <c:v>0.19251159387709116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9C-4707-B7D9-6738C579F2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989394869528819"/>
          <c:y val="0.63842048611111124"/>
          <c:w val="0.2540912815288881"/>
          <c:h val="0.1444609776935949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r>
              <a:rPr lang="en-US" sz="1600" baseline="0"/>
              <a:t> para</a:t>
            </a:r>
            <a:r>
              <a:rPr lang="en-US" sz="1600"/>
              <a:t> i = 51 - Fórmula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431089743589743"/>
          <c:y val="0.14591770833333334"/>
          <c:w val="0.80779935897435895"/>
          <c:h val="0.70288055555555562"/>
        </c:manualLayout>
      </c:layout>
      <c:scatterChart>
        <c:scatterStyle val="lineMarker"/>
        <c:varyColors val="0"/>
        <c:ser>
          <c:idx val="0"/>
          <c:order val="0"/>
          <c:tx>
            <c:v>res 51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#1'!$G$49:$G$49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#1'!$G$49:$G$49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#1'!$BG$47:$BG$58</c:f>
                <c:numCache>
                  <c:formatCode>General</c:formatCode>
                  <c:ptCount val="12"/>
                  <c:pt idx="0">
                    <c:v>2.8284271247461902E-4</c:v>
                  </c:pt>
                  <c:pt idx="1">
                    <c:v>2.8284271247461902E-4</c:v>
                  </c:pt>
                  <c:pt idx="2">
                    <c:v>2.8284271247461902E-4</c:v>
                  </c:pt>
                  <c:pt idx="3">
                    <c:v>2.8284271247461902E-4</c:v>
                  </c:pt>
                  <c:pt idx="4">
                    <c:v>2.8284271247461902E-4</c:v>
                  </c:pt>
                  <c:pt idx="5">
                    <c:v>2.8284271247461902E-4</c:v>
                  </c:pt>
                  <c:pt idx="6">
                    <c:v>2.8284271247461902E-4</c:v>
                  </c:pt>
                  <c:pt idx="7">
                    <c:v>2.8284271247461902E-4</c:v>
                  </c:pt>
                  <c:pt idx="8">
                    <c:v>2.8284271247461902E-4</c:v>
                  </c:pt>
                  <c:pt idx="9">
                    <c:v>2.8284271247461902E-4</c:v>
                  </c:pt>
                  <c:pt idx="10">
                    <c:v>2.8284271247461902E-4</c:v>
                  </c:pt>
                  <c:pt idx="11">
                    <c:v>2.8284271247461902E-4</c:v>
                  </c:pt>
                </c:numCache>
              </c:numRef>
            </c:plus>
            <c:minus>
              <c:numRef>
                <c:f>'Barra #1'!$BG$47:$BG$58</c:f>
                <c:numCache>
                  <c:formatCode>General</c:formatCode>
                  <c:ptCount val="12"/>
                  <c:pt idx="0">
                    <c:v>2.8284271247461902E-4</c:v>
                  </c:pt>
                  <c:pt idx="1">
                    <c:v>2.8284271247461902E-4</c:v>
                  </c:pt>
                  <c:pt idx="2">
                    <c:v>2.8284271247461902E-4</c:v>
                  </c:pt>
                  <c:pt idx="3">
                    <c:v>2.8284271247461902E-4</c:v>
                  </c:pt>
                  <c:pt idx="4">
                    <c:v>2.8284271247461902E-4</c:v>
                  </c:pt>
                  <c:pt idx="5">
                    <c:v>2.8284271247461902E-4</c:v>
                  </c:pt>
                  <c:pt idx="6">
                    <c:v>2.8284271247461902E-4</c:v>
                  </c:pt>
                  <c:pt idx="7">
                    <c:v>2.8284271247461902E-4</c:v>
                  </c:pt>
                  <c:pt idx="8">
                    <c:v>2.8284271247461902E-4</c:v>
                  </c:pt>
                  <c:pt idx="9">
                    <c:v>2.8284271247461902E-4</c:v>
                  </c:pt>
                  <c:pt idx="10">
                    <c:v>2.8284271247461902E-4</c:v>
                  </c:pt>
                  <c:pt idx="11">
                    <c:v>2.8284271247461902E-4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#1'!$BK$110:$BK$120</c:f>
              <c:numCache>
                <c:formatCode>General</c:formatCode>
                <c:ptCount val="11"/>
                <c:pt idx="0">
                  <c:v>3.2399999999999998E-2</c:v>
                </c:pt>
                <c:pt idx="1">
                  <c:v>8.7024999999999991E-2</c:v>
                </c:pt>
                <c:pt idx="2">
                  <c:v>0.11833599999999998</c:v>
                </c:pt>
                <c:pt idx="3">
                  <c:v>0.16000000000000003</c:v>
                </c:pt>
                <c:pt idx="4">
                  <c:v>0.18318399999999999</c:v>
                </c:pt>
                <c:pt idx="5">
                  <c:v>0.19891600000000001</c:v>
                </c:pt>
                <c:pt idx="6">
                  <c:v>0.21436899999999998</c:v>
                </c:pt>
                <c:pt idx="7">
                  <c:v>0.23136100000000004</c:v>
                </c:pt>
                <c:pt idx="8">
                  <c:v>0.24502499999999999</c:v>
                </c:pt>
                <c:pt idx="9">
                  <c:v>0.255025</c:v>
                </c:pt>
                <c:pt idx="10">
                  <c:v>0.27040000000000003</c:v>
                </c:pt>
              </c:numCache>
            </c:numRef>
          </c:xVal>
          <c:yVal>
            <c:numRef>
              <c:f>'Barra #1'!$BN$110:$BN$120</c:f>
              <c:numCache>
                <c:formatCode>General</c:formatCode>
                <c:ptCount val="11"/>
                <c:pt idx="0">
                  <c:v>-6.5828129622053089E-4</c:v>
                </c:pt>
                <c:pt idx="1">
                  <c:v>-1.1111864093734589E-3</c:v>
                </c:pt>
                <c:pt idx="2">
                  <c:v>-7.230767891982931E-4</c:v>
                </c:pt>
                <c:pt idx="3">
                  <c:v>-1.470811577915232E-4</c:v>
                </c:pt>
                <c:pt idx="4">
                  <c:v>-9.7535201605436495E-5</c:v>
                </c:pt>
                <c:pt idx="5">
                  <c:v>-1.2567718741935408E-3</c:v>
                </c:pt>
                <c:pt idx="6">
                  <c:v>-6.2165137467043441E-4</c:v>
                </c:pt>
                <c:pt idx="7">
                  <c:v>-5.8630114857100013E-5</c:v>
                </c:pt>
                <c:pt idx="8">
                  <c:v>6.2274479651827641E-4</c:v>
                </c:pt>
                <c:pt idx="9">
                  <c:v>-5.43462089184793E-4</c:v>
                </c:pt>
                <c:pt idx="10">
                  <c:v>-2.5400517595325356E-4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BA-491B-A8F3-53BE2D1303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- </a:t>
                </a:r>
                <a:r>
                  <a:rPr lang="en-US" sz="1400" b="0" i="0" u="none" strike="noStrike" baseline="0">
                    <a:effectLst/>
                  </a:rPr>
                  <a:t>T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r>
              <a:rPr lang="en-US" sz="1600" baseline="0"/>
              <a:t> para</a:t>
            </a:r>
            <a:r>
              <a:rPr lang="en-US" sz="1600"/>
              <a:t> i = 101 - Fórmula</a:t>
            </a:r>
            <a:r>
              <a:rPr lang="en-US" sz="1600" baseline="0"/>
              <a:t> 2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7330662393162394"/>
          <c:y val="0.14591770833333334"/>
          <c:w val="0.7888036324786325"/>
          <c:h val="0.7117"/>
        </c:manualLayout>
      </c:layout>
      <c:scatterChart>
        <c:scatterStyle val="lineMarker"/>
        <c:varyColors val="0"/>
        <c:ser>
          <c:idx val="0"/>
          <c:order val="0"/>
          <c:tx>
            <c:v>res 101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#1'!$G$49:$G$49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#1'!$G$49:$G$49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#1'!$BM$47:$BM$58</c:f>
                <c:numCache>
                  <c:formatCode>General</c:formatCode>
                  <c:ptCount val="12"/>
                  <c:pt idx="0">
                    <c:v>1.4142135623730951E-4</c:v>
                  </c:pt>
                  <c:pt idx="1">
                    <c:v>1.4142135623730951E-4</c:v>
                  </c:pt>
                  <c:pt idx="2">
                    <c:v>1.4142135623730951E-4</c:v>
                  </c:pt>
                  <c:pt idx="3">
                    <c:v>1.4142135623730951E-4</c:v>
                  </c:pt>
                  <c:pt idx="4">
                    <c:v>1.4142135623730951E-4</c:v>
                  </c:pt>
                  <c:pt idx="5">
                    <c:v>1.4142135623730951E-4</c:v>
                  </c:pt>
                  <c:pt idx="6">
                    <c:v>1.4142135623730951E-4</c:v>
                  </c:pt>
                  <c:pt idx="7">
                    <c:v>1.4142135623730951E-4</c:v>
                  </c:pt>
                  <c:pt idx="8">
                    <c:v>1.4142135623730951E-4</c:v>
                  </c:pt>
                  <c:pt idx="9">
                    <c:v>1.4142135623730951E-4</c:v>
                  </c:pt>
                  <c:pt idx="10">
                    <c:v>1.4142135623730951E-4</c:v>
                  </c:pt>
                  <c:pt idx="11">
                    <c:v>1.4142135623730951E-4</c:v>
                  </c:pt>
                </c:numCache>
              </c:numRef>
            </c:plus>
            <c:minus>
              <c:numRef>
                <c:f>'Barra #1'!$BM$47:$BM$58</c:f>
                <c:numCache>
                  <c:formatCode>General</c:formatCode>
                  <c:ptCount val="12"/>
                  <c:pt idx="0">
                    <c:v>1.4142135623730951E-4</c:v>
                  </c:pt>
                  <c:pt idx="1">
                    <c:v>1.4142135623730951E-4</c:v>
                  </c:pt>
                  <c:pt idx="2">
                    <c:v>1.4142135623730951E-4</c:v>
                  </c:pt>
                  <c:pt idx="3">
                    <c:v>1.4142135623730951E-4</c:v>
                  </c:pt>
                  <c:pt idx="4">
                    <c:v>1.4142135623730951E-4</c:v>
                  </c:pt>
                  <c:pt idx="5">
                    <c:v>1.4142135623730951E-4</c:v>
                  </c:pt>
                  <c:pt idx="6">
                    <c:v>1.4142135623730951E-4</c:v>
                  </c:pt>
                  <c:pt idx="7">
                    <c:v>1.4142135623730951E-4</c:v>
                  </c:pt>
                  <c:pt idx="8">
                    <c:v>1.4142135623730951E-4</c:v>
                  </c:pt>
                  <c:pt idx="9">
                    <c:v>1.4142135623730951E-4</c:v>
                  </c:pt>
                  <c:pt idx="10">
                    <c:v>1.4142135623730951E-4</c:v>
                  </c:pt>
                  <c:pt idx="11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#1'!$BD$47:$BD$58</c:f>
              <c:numCache>
                <c:formatCode>0.00</c:formatCode>
                <c:ptCount val="12"/>
                <c:pt idx="0">
                  <c:v>3.2399999999999998E-2</c:v>
                </c:pt>
                <c:pt idx="1">
                  <c:v>8.7024999999999991E-2</c:v>
                </c:pt>
                <c:pt idx="2">
                  <c:v>0.11833599999999998</c:v>
                </c:pt>
                <c:pt idx="3">
                  <c:v>0.14364099999999999</c:v>
                </c:pt>
                <c:pt idx="4">
                  <c:v>0.16000000000000003</c:v>
                </c:pt>
                <c:pt idx="5">
                  <c:v>0.18318399999999999</c:v>
                </c:pt>
                <c:pt idx="6">
                  <c:v>0.19891600000000001</c:v>
                </c:pt>
                <c:pt idx="7">
                  <c:v>0.21436899999999998</c:v>
                </c:pt>
                <c:pt idx="8">
                  <c:v>0.23136100000000004</c:v>
                </c:pt>
                <c:pt idx="9">
                  <c:v>0.24502499999999999</c:v>
                </c:pt>
                <c:pt idx="10">
                  <c:v>0.255025</c:v>
                </c:pt>
                <c:pt idx="11">
                  <c:v>0.27040000000000003</c:v>
                </c:pt>
              </c:numCache>
            </c:numRef>
          </c:xVal>
          <c:yVal>
            <c:numRef>
              <c:f>'Barra #1'!$BO$47:$BO$58</c:f>
              <c:numCache>
                <c:formatCode>0.0000</c:formatCode>
                <c:ptCount val="12"/>
                <c:pt idx="0">
                  <c:v>-8.058629975039866E-5</c:v>
                </c:pt>
                <c:pt idx="1">
                  <c:v>-2.116737633907767E-4</c:v>
                </c:pt>
                <c:pt idx="2">
                  <c:v>4.5022262713675931E-5</c:v>
                </c:pt>
                <c:pt idx="3">
                  <c:v>1.491930953467363E-4</c:v>
                </c:pt>
                <c:pt idx="4">
                  <c:v>5.800222062356114E-4</c:v>
                </c:pt>
                <c:pt idx="5">
                  <c:v>3.8417540061480571E-4</c:v>
                </c:pt>
                <c:pt idx="6">
                  <c:v>-8.4157778891363888E-4</c:v>
                </c:pt>
                <c:pt idx="7">
                  <c:v>-3.7002071020672544E-4</c:v>
                </c:pt>
                <c:pt idx="8">
                  <c:v>1.314746952454926E-5</c:v>
                </c:pt>
                <c:pt idx="9">
                  <c:v>8.4989476283017784E-4</c:v>
                </c:pt>
                <c:pt idx="10">
                  <c:v>-4.2215786209257034E-4</c:v>
                </c:pt>
                <c:pt idx="11">
                  <c:v>-9.5438772911266012E-5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91-41A2-92BF-741DC533B9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- </a:t>
                </a:r>
                <a:r>
                  <a:rPr lang="en-US" sz="1400" b="0" i="0" u="none" strike="noStrike" baseline="0">
                    <a:effectLst/>
                  </a:rPr>
                  <a:t>T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r>
              <a:rPr lang="en-US" sz="1600" baseline="0"/>
              <a:t> para</a:t>
            </a:r>
            <a:r>
              <a:rPr lang="en-US" sz="1600"/>
              <a:t> i = 151 - Fórmula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6057678749596174"/>
          <c:y val="0.14591770833333334"/>
          <c:w val="0.80153346529422564"/>
          <c:h val="0.70288055555555562"/>
        </c:manualLayout>
      </c:layout>
      <c:scatterChart>
        <c:scatterStyle val="lineMarker"/>
        <c:varyColors val="0"/>
        <c:ser>
          <c:idx val="0"/>
          <c:order val="0"/>
          <c:tx>
            <c:v>res 151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#1'!$G$49:$G$49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#1'!$G$49:$G$49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#1'!$BQ$47:$BQ$58</c:f>
                <c:numCache>
                  <c:formatCode>General</c:formatCode>
                  <c:ptCount val="12"/>
                  <c:pt idx="0">
                    <c:v>9.4280904158206352E-5</c:v>
                  </c:pt>
                  <c:pt idx="1">
                    <c:v>9.4280904158206352E-5</c:v>
                  </c:pt>
                  <c:pt idx="2">
                    <c:v>9.4280904158206352E-5</c:v>
                  </c:pt>
                  <c:pt idx="3">
                    <c:v>9.4280904158206352E-5</c:v>
                  </c:pt>
                  <c:pt idx="4">
                    <c:v>9.4280904158206352E-5</c:v>
                  </c:pt>
                  <c:pt idx="5">
                    <c:v>9.4280904158206352E-5</c:v>
                  </c:pt>
                  <c:pt idx="6">
                    <c:v>9.4280904158206352E-5</c:v>
                  </c:pt>
                  <c:pt idx="7">
                    <c:v>9.4280904158206352E-5</c:v>
                  </c:pt>
                  <c:pt idx="8">
                    <c:v>9.4280904158206352E-5</c:v>
                  </c:pt>
                  <c:pt idx="9">
                    <c:v>9.4280904158206352E-5</c:v>
                  </c:pt>
                  <c:pt idx="10">
                    <c:v>9.4280904158206352E-5</c:v>
                  </c:pt>
                  <c:pt idx="11">
                    <c:v>9.4280904158206352E-5</c:v>
                  </c:pt>
                </c:numCache>
              </c:numRef>
            </c:plus>
            <c:minus>
              <c:numRef>
                <c:f>'Barra #1'!$BQ$47:$BQ$58</c:f>
                <c:numCache>
                  <c:formatCode>General</c:formatCode>
                  <c:ptCount val="12"/>
                  <c:pt idx="0">
                    <c:v>9.4280904158206352E-5</c:v>
                  </c:pt>
                  <c:pt idx="1">
                    <c:v>9.4280904158206352E-5</c:v>
                  </c:pt>
                  <c:pt idx="2">
                    <c:v>9.4280904158206352E-5</c:v>
                  </c:pt>
                  <c:pt idx="3">
                    <c:v>9.4280904158206352E-5</c:v>
                  </c:pt>
                  <c:pt idx="4">
                    <c:v>9.4280904158206352E-5</c:v>
                  </c:pt>
                  <c:pt idx="5">
                    <c:v>9.4280904158206352E-5</c:v>
                  </c:pt>
                  <c:pt idx="6">
                    <c:v>9.4280904158206352E-5</c:v>
                  </c:pt>
                  <c:pt idx="7">
                    <c:v>9.4280904158206352E-5</c:v>
                  </c:pt>
                  <c:pt idx="8">
                    <c:v>9.4280904158206352E-5</c:v>
                  </c:pt>
                  <c:pt idx="9">
                    <c:v>9.4280904158206352E-5</c:v>
                  </c:pt>
                  <c:pt idx="10">
                    <c:v>9.4280904158206352E-5</c:v>
                  </c:pt>
                  <c:pt idx="11">
                    <c:v>9.4280904158206352E-5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#1'!$BD$47:$BD$58</c:f>
              <c:numCache>
                <c:formatCode>0.00</c:formatCode>
                <c:ptCount val="12"/>
                <c:pt idx="0">
                  <c:v>3.2399999999999998E-2</c:v>
                </c:pt>
                <c:pt idx="1">
                  <c:v>8.7024999999999991E-2</c:v>
                </c:pt>
                <c:pt idx="2">
                  <c:v>0.11833599999999998</c:v>
                </c:pt>
                <c:pt idx="3">
                  <c:v>0.14364099999999999</c:v>
                </c:pt>
                <c:pt idx="4">
                  <c:v>0.16000000000000003</c:v>
                </c:pt>
                <c:pt idx="5">
                  <c:v>0.18318399999999999</c:v>
                </c:pt>
                <c:pt idx="6">
                  <c:v>0.19891600000000001</c:v>
                </c:pt>
                <c:pt idx="7">
                  <c:v>0.21436899999999998</c:v>
                </c:pt>
                <c:pt idx="8">
                  <c:v>0.23136100000000004</c:v>
                </c:pt>
                <c:pt idx="9">
                  <c:v>0.24502499999999999</c:v>
                </c:pt>
                <c:pt idx="10">
                  <c:v>0.255025</c:v>
                </c:pt>
                <c:pt idx="11">
                  <c:v>0.27040000000000003</c:v>
                </c:pt>
              </c:numCache>
            </c:numRef>
          </c:xVal>
          <c:yVal>
            <c:numRef>
              <c:f>'Barra #1'!$BS$47:$BS$58</c:f>
              <c:numCache>
                <c:formatCode>0.00000</c:formatCode>
                <c:ptCount val="12"/>
                <c:pt idx="0">
                  <c:v>-2.8886347543242985E-5</c:v>
                </c:pt>
                <c:pt idx="1">
                  <c:v>-1.0833830329206456E-4</c:v>
                </c:pt>
                <c:pt idx="2">
                  <c:v>1.5755301227521334E-5</c:v>
                </c:pt>
                <c:pt idx="3">
                  <c:v>6.6638015365286241E-5</c:v>
                </c:pt>
                <c:pt idx="4">
                  <c:v>5.2968446154505466E-4</c:v>
                </c:pt>
                <c:pt idx="5">
                  <c:v>1.5168267709814165E-4</c:v>
                </c:pt>
                <c:pt idx="6">
                  <c:v>-6.7386615282419293E-4</c:v>
                </c:pt>
                <c:pt idx="7">
                  <c:v>-4.3485052027839033E-4</c:v>
                </c:pt>
                <c:pt idx="8">
                  <c:v>4.5868668760440379E-5</c:v>
                </c:pt>
                <c:pt idx="9">
                  <c:v>7.5384185216215149E-4</c:v>
                </c:pt>
                <c:pt idx="10">
                  <c:v>-2.726024417964712E-4</c:v>
                </c:pt>
                <c:pt idx="11">
                  <c:v>-4.4927210424483555E-5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8B-437F-811D-29168F600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- </a:t>
                </a:r>
                <a:r>
                  <a:rPr lang="en-US" sz="1400" b="0" i="0" u="none" strike="noStrike" baseline="0">
                    <a:effectLst/>
                  </a:rPr>
                  <a:t>T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dos 3 valores de i juntos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70288055555555562"/>
        </c:manualLayout>
      </c:layout>
      <c:scatterChart>
        <c:scatterStyle val="lineMarker"/>
        <c:varyColors val="0"/>
        <c:ser>
          <c:idx val="1"/>
          <c:order val="0"/>
          <c:tx>
            <c:v>Resíduos para i=51</c:v>
          </c:tx>
          <c:spPr>
            <a:ln w="25400">
              <a:noFill/>
            </a:ln>
          </c:spPr>
          <c:marker>
            <c:symbol val="circle"/>
            <c:size val="5"/>
          </c:marker>
          <c:errBars>
            <c:errDir val="x"/>
            <c:errBarType val="both"/>
            <c:errValType val="cust"/>
            <c:noEndCap val="0"/>
            <c:plus>
              <c:numRef>
                <c:f>'Barra #1'!$G$49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#1'!$G$49</c:f>
                <c:numCache>
                  <c:formatCode>General</c:formatCode>
                  <c:ptCount val="1"/>
                </c:numCache>
              </c:numRef>
            </c:minus>
          </c:errBars>
          <c:errBars>
            <c:errDir val="y"/>
            <c:errBarType val="both"/>
            <c:errValType val="cust"/>
            <c:noEndCap val="0"/>
            <c:plus>
              <c:numRef>
                <c:f>'Barra #1'!$G$37:$G$48</c:f>
                <c:numCache>
                  <c:formatCode>General</c:formatCode>
                  <c:ptCount val="12"/>
                  <c:pt idx="0">
                    <c:v>1.3463313113791866E-5</c:v>
                  </c:pt>
                  <c:pt idx="1">
                    <c:v>3.4733085091883214E-5</c:v>
                  </c:pt>
                  <c:pt idx="2">
                    <c:v>4.7291301525756293E-5</c:v>
                  </c:pt>
                  <c:pt idx="3">
                    <c:v>6.0415203384578618E-5</c:v>
                  </c:pt>
                  <c:pt idx="4">
                    <c:v>6.4035590104253757E-5</c:v>
                  </c:pt>
                  <c:pt idx="5">
                    <c:v>7.3199693988431407E-5</c:v>
                  </c:pt>
                  <c:pt idx="6">
                    <c:v>7.8743411152933925E-5</c:v>
                  </c:pt>
                  <c:pt idx="7">
                    <c:v>8.519222499735524E-5</c:v>
                  </c:pt>
                  <c:pt idx="8">
                    <c:v>9.2206724266725808E-5</c:v>
                  </c:pt>
                  <c:pt idx="9">
                    <c:v>9.7976715601208022E-5</c:v>
                  </c:pt>
                  <c:pt idx="10">
                    <c:v>1.0125769106591361E-4</c:v>
                  </c:pt>
                  <c:pt idx="11">
                    <c:v>1.0748023074035523E-4</c:v>
                  </c:pt>
                </c:numCache>
              </c:numRef>
            </c:plus>
            <c:minus>
              <c:numRef>
                <c:f>'Barra #1'!$G$37:$G$48</c:f>
                <c:numCache>
                  <c:formatCode>General</c:formatCode>
                  <c:ptCount val="12"/>
                  <c:pt idx="0">
                    <c:v>1.3463313113791866E-5</c:v>
                  </c:pt>
                  <c:pt idx="1">
                    <c:v>3.4733085091883214E-5</c:v>
                  </c:pt>
                  <c:pt idx="2">
                    <c:v>4.7291301525756293E-5</c:v>
                  </c:pt>
                  <c:pt idx="3">
                    <c:v>6.0415203384578618E-5</c:v>
                  </c:pt>
                  <c:pt idx="4">
                    <c:v>6.4035590104253757E-5</c:v>
                  </c:pt>
                  <c:pt idx="5">
                    <c:v>7.3199693988431407E-5</c:v>
                  </c:pt>
                  <c:pt idx="6">
                    <c:v>7.8743411152933925E-5</c:v>
                  </c:pt>
                  <c:pt idx="7">
                    <c:v>8.519222499735524E-5</c:v>
                  </c:pt>
                  <c:pt idx="8">
                    <c:v>9.2206724266725808E-5</c:v>
                  </c:pt>
                  <c:pt idx="9">
                    <c:v>9.7976715601208022E-5</c:v>
                  </c:pt>
                  <c:pt idx="10">
                    <c:v>1.0125769106591361E-4</c:v>
                  </c:pt>
                  <c:pt idx="11">
                    <c:v>1.0748023074035523E-4</c:v>
                  </c:pt>
                </c:numCache>
              </c:numRef>
            </c:minus>
          </c:errBars>
          <c:xVal>
            <c:numRef>
              <c:f>'Barra #1'!$N$53:$N$63</c:f>
              <c:numCache>
                <c:formatCode>General</c:formatCode>
                <c:ptCount val="11"/>
                <c:pt idx="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>
                  <c:v>2.5600000000000012E-2</c:v>
                </c:pt>
                <c:pt idx="4">
                  <c:v>3.3556377855999991E-2</c:v>
                </c:pt>
                <c:pt idx="5">
                  <c:v>3.9567575056000004E-2</c:v>
                </c:pt>
                <c:pt idx="6">
                  <c:v>4.5954068160999992E-2</c:v>
                </c:pt>
                <c:pt idx="7">
                  <c:v>5.3527912321000015E-2</c:v>
                </c:pt>
                <c:pt idx="8">
                  <c:v>6.0037250624999997E-2</c:v>
                </c:pt>
                <c:pt idx="9">
                  <c:v>6.5037750625000001E-2</c:v>
                </c:pt>
                <c:pt idx="10">
                  <c:v>7.3116160000000013E-2</c:v>
                </c:pt>
              </c:numCache>
            </c:numRef>
          </c:xVal>
          <c:yVal>
            <c:numRef>
              <c:f>'Barra #1'!$Q$53:$Q$63</c:f>
              <c:numCache>
                <c:formatCode>General</c:formatCode>
                <c:ptCount val="11"/>
                <c:pt idx="0">
                  <c:v>-1.9508101051439138E-5</c:v>
                </c:pt>
                <c:pt idx="1">
                  <c:v>-3.7209018997089779E-5</c:v>
                </c:pt>
                <c:pt idx="2">
                  <c:v>6.7545023528323839E-6</c:v>
                </c:pt>
                <c:pt idx="3">
                  <c:v>1.0586558888467899E-4</c:v>
                </c:pt>
                <c:pt idx="4">
                  <c:v>1.0728247826809201E-4</c:v>
                </c:pt>
                <c:pt idx="5">
                  <c:v>-2.2864863055457874E-4</c:v>
                </c:pt>
                <c:pt idx="6">
                  <c:v>-7.8453485916212679E-5</c:v>
                </c:pt>
                <c:pt idx="7">
                  <c:v>7.0371029041369632E-5</c:v>
                </c:pt>
                <c:pt idx="8">
                  <c:v>2.8542762726949111E-4</c:v>
                </c:pt>
                <c:pt idx="9">
                  <c:v>-1.4096105573623702E-4</c:v>
                </c:pt>
                <c:pt idx="10">
                  <c:v>-7.0920933560925103E-5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853-4199-B741-3AE1C17ED4BB}"/>
            </c:ext>
          </c:extLst>
        </c:ser>
        <c:ser>
          <c:idx val="2"/>
          <c:order val="1"/>
          <c:tx>
            <c:v>Resíduos para i=101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</c:marker>
          <c:errBars>
            <c:errDir val="x"/>
            <c:errBarType val="both"/>
            <c:errValType val="cust"/>
            <c:noEndCap val="0"/>
            <c:plus>
              <c:numRef>
                <c:f>'Barra #1'!$G$49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#1'!$G$49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#1'!$M$37:$M$48</c:f>
                <c:numCache>
                  <c:formatCode>General</c:formatCode>
                  <c:ptCount val="12"/>
                  <c:pt idx="0">
                    <c:v>6.6468037431535469E-6</c:v>
                  </c:pt>
                  <c:pt idx="1">
                    <c:v>1.7536248173426379E-5</c:v>
                  </c:pt>
                  <c:pt idx="2">
                    <c:v>2.3871924932857842E-5</c:v>
                  </c:pt>
                  <c:pt idx="3">
                    <c:v>2.8963093757400989E-5</c:v>
                  </c:pt>
                  <c:pt idx="4">
                    <c:v>3.2357206307096415E-5</c:v>
                  </c:pt>
                  <c:pt idx="5">
                    <c:v>3.693925824918524E-5</c:v>
                  </c:pt>
                  <c:pt idx="6">
                    <c:v>3.9739401102683978E-5</c:v>
                  </c:pt>
                  <c:pt idx="7">
                    <c:v>4.2963808024894622E-5</c:v>
                  </c:pt>
                  <c:pt idx="8">
                    <c:v>4.6471057659579906E-5</c:v>
                  </c:pt>
                  <c:pt idx="9">
                    <c:v>4.9440906140563409E-5</c:v>
                  </c:pt>
                  <c:pt idx="10">
                    <c:v>5.108139387291619E-5</c:v>
                  </c:pt>
                  <c:pt idx="11">
                    <c:v>5.424923225263193E-5</c:v>
                  </c:pt>
                </c:numCache>
              </c:numRef>
            </c:plus>
            <c:minus>
              <c:numRef>
                <c:f>'Barra #1'!$M$37:$M$48</c:f>
                <c:numCache>
                  <c:formatCode>General</c:formatCode>
                  <c:ptCount val="12"/>
                  <c:pt idx="0">
                    <c:v>6.6468037431535469E-6</c:v>
                  </c:pt>
                  <c:pt idx="1">
                    <c:v>1.7536248173426379E-5</c:v>
                  </c:pt>
                  <c:pt idx="2">
                    <c:v>2.3871924932857842E-5</c:v>
                  </c:pt>
                  <c:pt idx="3">
                    <c:v>2.8963093757400989E-5</c:v>
                  </c:pt>
                  <c:pt idx="4">
                    <c:v>3.2357206307096415E-5</c:v>
                  </c:pt>
                  <c:pt idx="5">
                    <c:v>3.693925824918524E-5</c:v>
                  </c:pt>
                  <c:pt idx="6">
                    <c:v>3.9739401102683978E-5</c:v>
                  </c:pt>
                  <c:pt idx="7">
                    <c:v>4.2963808024894622E-5</c:v>
                  </c:pt>
                  <c:pt idx="8">
                    <c:v>4.6471057659579906E-5</c:v>
                  </c:pt>
                  <c:pt idx="9">
                    <c:v>4.9440906140563409E-5</c:v>
                  </c:pt>
                  <c:pt idx="10">
                    <c:v>5.108139387291619E-5</c:v>
                  </c:pt>
                  <c:pt idx="11">
                    <c:v>5.424923225263193E-5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#1'!$D$37:$D$48</c:f>
              <c:numCache>
                <c:formatCode>0.0000000E+00</c:formatCode>
                <c:ptCount val="12"/>
                <c:pt idx="0" formatCode="0.00000000E+0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 formatCode="0.000000E+00">
                  <c:v>2.0632736880999997E-2</c:v>
                </c:pt>
                <c:pt idx="4" formatCode="0.000000E+00">
                  <c:v>2.5600000000000012E-2</c:v>
                </c:pt>
                <c:pt idx="5" formatCode="0.000000E+00">
                  <c:v>3.3556377855999991E-2</c:v>
                </c:pt>
                <c:pt idx="6" formatCode="0.00000E+00">
                  <c:v>3.9567575056000004E-2</c:v>
                </c:pt>
                <c:pt idx="7" formatCode="0.00000E+00">
                  <c:v>4.5954068160999992E-2</c:v>
                </c:pt>
                <c:pt idx="8" formatCode="0.00000E+00">
                  <c:v>5.3527912321000015E-2</c:v>
                </c:pt>
                <c:pt idx="9" formatCode="0.00000E+00">
                  <c:v>6.0037250624999997E-2</c:v>
                </c:pt>
                <c:pt idx="10" formatCode="0.00000E+00">
                  <c:v>6.5037750625000001E-2</c:v>
                </c:pt>
                <c:pt idx="11" formatCode="0.00000E+00">
                  <c:v>7.3116160000000013E-2</c:v>
                </c:pt>
              </c:numCache>
            </c:numRef>
          </c:xVal>
          <c:yVal>
            <c:numRef>
              <c:f>'Barra #1'!$O$37:$O$48</c:f>
              <c:numCache>
                <c:formatCode>0.00000</c:formatCode>
                <c:ptCount val="12"/>
                <c:pt idx="0">
                  <c:v>-5.1676643306004669E-5</c:v>
                </c:pt>
                <c:pt idx="1">
                  <c:v>-3.9126142947312412E-5</c:v>
                </c:pt>
                <c:pt idx="2">
                  <c:v>8.0500679407423392E-6</c:v>
                </c:pt>
                <c:pt idx="3">
                  <c:v>3.8099793222192563E-5</c:v>
                </c:pt>
                <c:pt idx="4">
                  <c:v>1.4281614880871929E-4</c:v>
                </c:pt>
                <c:pt idx="5">
                  <c:v>1.1240052264006525E-4</c:v>
                </c:pt>
                <c:pt idx="6">
                  <c:v>-2.2534525795970747E-4</c:v>
                </c:pt>
                <c:pt idx="7">
                  <c:v>-1.0227023723501094E-4</c:v>
                </c:pt>
                <c:pt idx="8">
                  <c:v>1.1481540363188908E-5</c:v>
                </c:pt>
                <c:pt idx="9">
                  <c:v>2.999962247699911E-4</c:v>
                </c:pt>
                <c:pt idx="10">
                  <c:v>-1.5227453230735183E-4</c:v>
                </c:pt>
                <c:pt idx="11">
                  <c:v>-4.2151483989567862E-5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853-4199-B741-3AE1C17ED4BB}"/>
            </c:ext>
          </c:extLst>
        </c:ser>
        <c:ser>
          <c:idx val="0"/>
          <c:order val="2"/>
          <c:tx>
            <c:v>Resíduos para i=151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#1'!$G$49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#1'!$G$49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#1'!$Q$37:$Q$48</c:f>
                <c:numCache>
                  <c:formatCode>General</c:formatCode>
                  <c:ptCount val="12"/>
                  <c:pt idx="0">
                    <c:v>4.462629463488434E-6</c:v>
                  </c:pt>
                  <c:pt idx="1">
                    <c:v>1.1753686051723058E-5</c:v>
                  </c:pt>
                  <c:pt idx="2">
                    <c:v>1.5964899770789608E-5</c:v>
                  </c:pt>
                  <c:pt idx="3">
                    <c:v>1.9359012320485038E-5</c:v>
                  </c:pt>
                  <c:pt idx="4">
                    <c:v>2.1634324807503081E-5</c:v>
                  </c:pt>
                  <c:pt idx="5">
                    <c:v>2.4663884527786781E-5</c:v>
                  </c:pt>
                  <c:pt idx="6">
                    <c:v>2.6612356547056381E-5</c:v>
                  </c:pt>
                  <c:pt idx="7">
                    <c:v>2.8724248800200201E-5</c:v>
                  </c:pt>
                  <c:pt idx="8">
                    <c:v>3.1087556797765909E-5</c:v>
                  </c:pt>
                  <c:pt idx="9">
                    <c:v>3.3048599604256606E-5</c:v>
                  </c:pt>
                  <c:pt idx="10">
                    <c:v>3.4192541241376167E-5</c:v>
                  </c:pt>
                  <c:pt idx="11">
                    <c:v>3.6291862707298898E-5</c:v>
                  </c:pt>
                </c:numCache>
              </c:numRef>
            </c:plus>
            <c:minus>
              <c:numRef>
                <c:f>'Barra #1'!$Q$37:$Q$48</c:f>
                <c:numCache>
                  <c:formatCode>General</c:formatCode>
                  <c:ptCount val="12"/>
                  <c:pt idx="0">
                    <c:v>4.462629463488434E-6</c:v>
                  </c:pt>
                  <c:pt idx="1">
                    <c:v>1.1753686051723058E-5</c:v>
                  </c:pt>
                  <c:pt idx="2">
                    <c:v>1.5964899770789608E-5</c:v>
                  </c:pt>
                  <c:pt idx="3">
                    <c:v>1.9359012320485038E-5</c:v>
                  </c:pt>
                  <c:pt idx="4">
                    <c:v>2.1634324807503081E-5</c:v>
                  </c:pt>
                  <c:pt idx="5">
                    <c:v>2.4663884527786781E-5</c:v>
                  </c:pt>
                  <c:pt idx="6">
                    <c:v>2.6612356547056381E-5</c:v>
                  </c:pt>
                  <c:pt idx="7">
                    <c:v>2.8724248800200201E-5</c:v>
                  </c:pt>
                  <c:pt idx="8">
                    <c:v>3.1087556797765909E-5</c:v>
                  </c:pt>
                  <c:pt idx="9">
                    <c:v>3.3048599604256606E-5</c:v>
                  </c:pt>
                  <c:pt idx="10">
                    <c:v>3.4192541241376167E-5</c:v>
                  </c:pt>
                  <c:pt idx="11">
                    <c:v>3.6291862707298898E-5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#1'!$D$37:$D$48</c:f>
              <c:numCache>
                <c:formatCode>0.0000000E+00</c:formatCode>
                <c:ptCount val="12"/>
                <c:pt idx="0" formatCode="0.00000000E+0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 formatCode="0.000000E+00">
                  <c:v>2.0632736880999997E-2</c:v>
                </c:pt>
                <c:pt idx="4" formatCode="0.000000E+00">
                  <c:v>2.5600000000000012E-2</c:v>
                </c:pt>
                <c:pt idx="5" formatCode="0.000000E+00">
                  <c:v>3.3556377855999991E-2</c:v>
                </c:pt>
                <c:pt idx="6" formatCode="0.00000E+00">
                  <c:v>3.9567575056000004E-2</c:v>
                </c:pt>
                <c:pt idx="7" formatCode="0.00000E+00">
                  <c:v>4.5954068160999992E-2</c:v>
                </c:pt>
                <c:pt idx="8" formatCode="0.00000E+00">
                  <c:v>5.3527912321000015E-2</c:v>
                </c:pt>
                <c:pt idx="9" formatCode="0.00000E+00">
                  <c:v>6.0037250624999997E-2</c:v>
                </c:pt>
                <c:pt idx="10" formatCode="0.00000E+00">
                  <c:v>6.5037750625000001E-2</c:v>
                </c:pt>
                <c:pt idx="11" formatCode="0.00000E+00">
                  <c:v>7.3116160000000013E-2</c:v>
                </c:pt>
              </c:numCache>
            </c:numRef>
          </c:xVal>
          <c:yVal>
            <c:numRef>
              <c:f>'Barra #1'!$S$37:$S$48</c:f>
              <c:numCache>
                <c:formatCode>0.00000</c:formatCode>
                <c:ptCount val="12"/>
                <c:pt idx="0" formatCode="0.000000">
                  <c:v>-4.1141232219974876E-5</c:v>
                </c:pt>
                <c:pt idx="1">
                  <c:v>-1.7791183254745654E-5</c:v>
                </c:pt>
                <c:pt idx="2">
                  <c:v>1.0567906724192645E-5</c:v>
                </c:pt>
                <c:pt idx="3">
                  <c:v>2.7064557207424553E-5</c:v>
                </c:pt>
                <c:pt idx="4">
                  <c:v>1.3612596968103421E-4</c:v>
                </c:pt>
                <c:pt idx="5">
                  <c:v>5.3824739873576527E-5</c:v>
                </c:pt>
                <c:pt idx="6">
                  <c:v>-1.7882750229113523E-4</c:v>
                </c:pt>
                <c:pt idx="7">
                  <c:v>-1.2459078350185449E-4</c:v>
                </c:pt>
                <c:pt idx="8">
                  <c:v>1.7402508973373559E-5</c:v>
                </c:pt>
                <c:pt idx="9">
                  <c:v>2.6001985186676832E-4</c:v>
                </c:pt>
                <c:pt idx="10">
                  <c:v>-1.0766192886643711E-4</c:v>
                </c:pt>
                <c:pt idx="11">
                  <c:v>-3.4992904192246432E-5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853-4199-B741-3AE1C17ED4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- </a:t>
                </a:r>
                <a:r>
                  <a:rPr lang="en-US" sz="1400" b="0" i="0" u="none" strike="noStrike" baseline="0">
                    <a:effectLst/>
                  </a:rPr>
                  <a:t>T</a:t>
                </a:r>
                <a:r>
                  <a:rPr lang="en-US" sz="1400" b="0" i="0" u="none" strike="noStrike" baseline="30000">
                    <a:effectLst/>
                  </a:rPr>
                  <a:t>2</a:t>
                </a:r>
                <a:r>
                  <a:rPr lang="en-US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3553063374555999"/>
          <c:y val="0.14441178607690414"/>
          <c:w val="0.2755539104539062"/>
          <c:h val="0.1466177592422775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  <c:extLst/>
  </c:chart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dos 3 valores de i juntos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70288055555555562"/>
        </c:manualLayout>
      </c:layout>
      <c:scatterChart>
        <c:scatterStyle val="lineMarker"/>
        <c:varyColors val="0"/>
        <c:ser>
          <c:idx val="1"/>
          <c:order val="0"/>
          <c:tx>
            <c:v>Resíduos para i=51</c:v>
          </c:tx>
          <c:spPr>
            <a:ln w="25400">
              <a:noFill/>
            </a:ln>
          </c:spPr>
          <c:marker>
            <c:symbol val="circle"/>
            <c:size val="5"/>
          </c:marker>
          <c:xVal>
            <c:numRef>
              <c:f>'Barra #1'!$N$53:$N$63</c:f>
              <c:numCache>
                <c:formatCode>General</c:formatCode>
                <c:ptCount val="11"/>
                <c:pt idx="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>
                  <c:v>2.5600000000000012E-2</c:v>
                </c:pt>
                <c:pt idx="4">
                  <c:v>3.3556377855999991E-2</c:v>
                </c:pt>
                <c:pt idx="5">
                  <c:v>3.9567575056000004E-2</c:v>
                </c:pt>
                <c:pt idx="6">
                  <c:v>4.5954068160999992E-2</c:v>
                </c:pt>
                <c:pt idx="7">
                  <c:v>5.3527912321000015E-2</c:v>
                </c:pt>
                <c:pt idx="8">
                  <c:v>6.0037250624999997E-2</c:v>
                </c:pt>
                <c:pt idx="9">
                  <c:v>6.5037750625000001E-2</c:v>
                </c:pt>
                <c:pt idx="10">
                  <c:v>7.3116160000000013E-2</c:v>
                </c:pt>
              </c:numCache>
            </c:numRef>
          </c:xVal>
          <c:yVal>
            <c:numRef>
              <c:f>'Barra #1'!$Q$53:$Q$63</c:f>
              <c:numCache>
                <c:formatCode>General</c:formatCode>
                <c:ptCount val="11"/>
                <c:pt idx="0">
                  <c:v>-1.9508101051439138E-5</c:v>
                </c:pt>
                <c:pt idx="1">
                  <c:v>-3.7209018997089779E-5</c:v>
                </c:pt>
                <c:pt idx="2">
                  <c:v>6.7545023528323839E-6</c:v>
                </c:pt>
                <c:pt idx="3">
                  <c:v>1.0586558888467899E-4</c:v>
                </c:pt>
                <c:pt idx="4">
                  <c:v>1.0728247826809201E-4</c:v>
                </c:pt>
                <c:pt idx="5">
                  <c:v>-2.2864863055457874E-4</c:v>
                </c:pt>
                <c:pt idx="6">
                  <c:v>-7.8453485916212679E-5</c:v>
                </c:pt>
                <c:pt idx="7">
                  <c:v>7.0371029041369632E-5</c:v>
                </c:pt>
                <c:pt idx="8">
                  <c:v>2.8542762726949111E-4</c:v>
                </c:pt>
                <c:pt idx="9">
                  <c:v>-1.4096105573623702E-4</c:v>
                </c:pt>
                <c:pt idx="10">
                  <c:v>-7.0920933560925103E-5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E3-4A2C-A1C3-84FFFEB81E3B}"/>
            </c:ext>
          </c:extLst>
        </c:ser>
        <c:ser>
          <c:idx val="2"/>
          <c:order val="1"/>
          <c:tx>
            <c:v>Resíduos para i=101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</c:marker>
          <c:xVal>
            <c:numRef>
              <c:f>'Barra #1'!$D$37:$D$48</c:f>
              <c:numCache>
                <c:formatCode>0.0000000E+00</c:formatCode>
                <c:ptCount val="12"/>
                <c:pt idx="0" formatCode="0.00000000E+0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 formatCode="0.000000E+00">
                  <c:v>2.0632736880999997E-2</c:v>
                </c:pt>
                <c:pt idx="4" formatCode="0.000000E+00">
                  <c:v>2.5600000000000012E-2</c:v>
                </c:pt>
                <c:pt idx="5" formatCode="0.000000E+00">
                  <c:v>3.3556377855999991E-2</c:v>
                </c:pt>
                <c:pt idx="6" formatCode="0.00000E+00">
                  <c:v>3.9567575056000004E-2</c:v>
                </c:pt>
                <c:pt idx="7" formatCode="0.00000E+00">
                  <c:v>4.5954068160999992E-2</c:v>
                </c:pt>
                <c:pt idx="8" formatCode="0.00000E+00">
                  <c:v>5.3527912321000015E-2</c:v>
                </c:pt>
                <c:pt idx="9" formatCode="0.00000E+00">
                  <c:v>6.0037250624999997E-2</c:v>
                </c:pt>
                <c:pt idx="10" formatCode="0.00000E+00">
                  <c:v>6.5037750625000001E-2</c:v>
                </c:pt>
                <c:pt idx="11" formatCode="0.00000E+00">
                  <c:v>7.3116160000000013E-2</c:v>
                </c:pt>
              </c:numCache>
            </c:numRef>
          </c:xVal>
          <c:yVal>
            <c:numRef>
              <c:f>'Barra #1'!$O$37:$O$48</c:f>
              <c:numCache>
                <c:formatCode>0.00000</c:formatCode>
                <c:ptCount val="12"/>
                <c:pt idx="0">
                  <c:v>-5.1676643306004669E-5</c:v>
                </c:pt>
                <c:pt idx="1">
                  <c:v>-3.9126142947312412E-5</c:v>
                </c:pt>
                <c:pt idx="2">
                  <c:v>8.0500679407423392E-6</c:v>
                </c:pt>
                <c:pt idx="3">
                  <c:v>3.8099793222192563E-5</c:v>
                </c:pt>
                <c:pt idx="4">
                  <c:v>1.4281614880871929E-4</c:v>
                </c:pt>
                <c:pt idx="5">
                  <c:v>1.1240052264006525E-4</c:v>
                </c:pt>
                <c:pt idx="6">
                  <c:v>-2.2534525795970747E-4</c:v>
                </c:pt>
                <c:pt idx="7">
                  <c:v>-1.0227023723501094E-4</c:v>
                </c:pt>
                <c:pt idx="8">
                  <c:v>1.1481540363188908E-5</c:v>
                </c:pt>
                <c:pt idx="9">
                  <c:v>2.999962247699911E-4</c:v>
                </c:pt>
                <c:pt idx="10">
                  <c:v>-1.5227453230735183E-4</c:v>
                </c:pt>
                <c:pt idx="11">
                  <c:v>-4.2151483989567862E-5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FE3-4A2C-A1C3-84FFFEB81E3B}"/>
            </c:ext>
          </c:extLst>
        </c:ser>
        <c:ser>
          <c:idx val="0"/>
          <c:order val="2"/>
          <c:tx>
            <c:v>Resíduos para i=151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'Barra #1'!$D$37:$D$48</c:f>
              <c:numCache>
                <c:formatCode>0.0000000E+00</c:formatCode>
                <c:ptCount val="12"/>
                <c:pt idx="0" formatCode="0.00000000E+0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 formatCode="0.000000E+00">
                  <c:v>2.0632736880999997E-2</c:v>
                </c:pt>
                <c:pt idx="4" formatCode="0.000000E+00">
                  <c:v>2.5600000000000012E-2</c:v>
                </c:pt>
                <c:pt idx="5" formatCode="0.000000E+00">
                  <c:v>3.3556377855999991E-2</c:v>
                </c:pt>
                <c:pt idx="6" formatCode="0.00000E+00">
                  <c:v>3.9567575056000004E-2</c:v>
                </c:pt>
                <c:pt idx="7" formatCode="0.00000E+00">
                  <c:v>4.5954068160999992E-2</c:v>
                </c:pt>
                <c:pt idx="8" formatCode="0.00000E+00">
                  <c:v>5.3527912321000015E-2</c:v>
                </c:pt>
                <c:pt idx="9" formatCode="0.00000E+00">
                  <c:v>6.0037250624999997E-2</c:v>
                </c:pt>
                <c:pt idx="10" formatCode="0.00000E+00">
                  <c:v>6.5037750625000001E-2</c:v>
                </c:pt>
                <c:pt idx="11" formatCode="0.00000E+00">
                  <c:v>7.3116160000000013E-2</c:v>
                </c:pt>
              </c:numCache>
            </c:numRef>
          </c:xVal>
          <c:yVal>
            <c:numRef>
              <c:f>'Barra #1'!$S$37:$S$48</c:f>
              <c:numCache>
                <c:formatCode>0.00000</c:formatCode>
                <c:ptCount val="12"/>
                <c:pt idx="0" formatCode="0.000000">
                  <c:v>-4.1141232219974876E-5</c:v>
                </c:pt>
                <c:pt idx="1">
                  <c:v>-1.7791183254745654E-5</c:v>
                </c:pt>
                <c:pt idx="2">
                  <c:v>1.0567906724192645E-5</c:v>
                </c:pt>
                <c:pt idx="3">
                  <c:v>2.7064557207424553E-5</c:v>
                </c:pt>
                <c:pt idx="4">
                  <c:v>1.3612596968103421E-4</c:v>
                </c:pt>
                <c:pt idx="5">
                  <c:v>5.3824739873576527E-5</c:v>
                </c:pt>
                <c:pt idx="6">
                  <c:v>-1.7882750229113523E-4</c:v>
                </c:pt>
                <c:pt idx="7">
                  <c:v>-1.2459078350185449E-4</c:v>
                </c:pt>
                <c:pt idx="8">
                  <c:v>1.7402508973373559E-5</c:v>
                </c:pt>
                <c:pt idx="9">
                  <c:v>2.6001985186676832E-4</c:v>
                </c:pt>
                <c:pt idx="10">
                  <c:v>-1.0766192886643711E-4</c:v>
                </c:pt>
                <c:pt idx="11">
                  <c:v>-3.4992904192246432E-5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FE3-4A2C-A1C3-84FFFEB81E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- </a:t>
                </a:r>
                <a:r>
                  <a:rPr lang="en-US" sz="1400" b="0" i="0" u="none" strike="noStrike" baseline="0">
                    <a:effectLst/>
                  </a:rPr>
                  <a:t>T</a:t>
                </a:r>
                <a:r>
                  <a:rPr lang="en-US" sz="1400" b="0" i="0" u="none" strike="noStrike" baseline="30000">
                    <a:effectLst/>
                  </a:rPr>
                  <a:t>2</a:t>
                </a:r>
                <a:r>
                  <a:rPr lang="en-US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714016233062518"/>
          <c:y val="0.15666151272969195"/>
          <c:w val="0.2755539104539062"/>
          <c:h val="0.1466177592422775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  <c:extLst/>
  </c:chart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Resíduos da linearização para i=51 - Fórmula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7330662393162394"/>
          <c:y val="0.14591770833333334"/>
          <c:w val="0.7888036324786325"/>
          <c:h val="0.70424849135726708"/>
        </c:manualLayout>
      </c:layout>
      <c:scatterChart>
        <c:scatterStyle val="lineMarker"/>
        <c:varyColors val="0"/>
        <c:ser>
          <c:idx val="0"/>
          <c:order val="0"/>
          <c:tx>
            <c:v>Resíduos-loglog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#1'!$G$49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#1'!$G$49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#1'!$E$82:$E$92</c:f>
                <c:numCache>
                  <c:formatCode>General</c:formatCode>
                  <c:ptCount val="11"/>
                  <c:pt idx="0">
                    <c:v>3.583785664285903E-4</c:v>
                  </c:pt>
                  <c:pt idx="1">
                    <c:v>4.0294768174313483E-4</c:v>
                  </c:pt>
                  <c:pt idx="2">
                    <c:v>4.4706776807562946E-4</c:v>
                  </c:pt>
                  <c:pt idx="3">
                    <c:v>4.5901056047212556E-4</c:v>
                  </c:pt>
                  <c:pt idx="4">
                    <c:v>4.8903416754990598E-4</c:v>
                  </c:pt>
                  <c:pt idx="5">
                    <c:v>5.0713963062341317E-4</c:v>
                  </c:pt>
                  <c:pt idx="6">
                    <c:v>5.2822631075067532E-4</c:v>
                  </c:pt>
                  <c:pt idx="7">
                    <c:v>5.512663729728114E-4</c:v>
                  </c:pt>
                  <c:pt idx="8">
                    <c:v>5.7035035411589607E-4</c:v>
                  </c:pt>
                  <c:pt idx="9">
                    <c:v>5.812704861438906E-4</c:v>
                  </c:pt>
                  <c:pt idx="10">
                    <c:v>6.0214440235263904E-4</c:v>
                  </c:pt>
                </c:numCache>
              </c:numRef>
            </c:plus>
            <c:minus>
              <c:numRef>
                <c:f>'Barra #1'!$E$82:$E$92</c:f>
                <c:numCache>
                  <c:formatCode>General</c:formatCode>
                  <c:ptCount val="11"/>
                  <c:pt idx="0">
                    <c:v>3.583785664285903E-4</c:v>
                  </c:pt>
                  <c:pt idx="1">
                    <c:v>4.0294768174313483E-4</c:v>
                  </c:pt>
                  <c:pt idx="2">
                    <c:v>4.4706776807562946E-4</c:v>
                  </c:pt>
                  <c:pt idx="3">
                    <c:v>4.5901056047212556E-4</c:v>
                  </c:pt>
                  <c:pt idx="4">
                    <c:v>4.8903416754990598E-4</c:v>
                  </c:pt>
                  <c:pt idx="5">
                    <c:v>5.0713963062341317E-4</c:v>
                  </c:pt>
                  <c:pt idx="6">
                    <c:v>5.2822631075067532E-4</c:v>
                  </c:pt>
                  <c:pt idx="7">
                    <c:v>5.512663729728114E-4</c:v>
                  </c:pt>
                  <c:pt idx="8">
                    <c:v>5.7035035411589607E-4</c:v>
                  </c:pt>
                  <c:pt idx="9">
                    <c:v>5.812704861438906E-4</c:v>
                  </c:pt>
                  <c:pt idx="10">
                    <c:v>6.0214440235263904E-4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#1'!$K$83:$K$92</c:f>
              <c:numCache>
                <c:formatCode>General</c:formatCode>
                <c:ptCount val="10"/>
                <c:pt idx="0">
                  <c:v>-0.53017798402183702</c:v>
                </c:pt>
                <c:pt idx="1">
                  <c:v>-0.46344155742846993</c:v>
                </c:pt>
                <c:pt idx="2" formatCode="0.0000">
                  <c:v>-0.3979400086720376</c:v>
                </c:pt>
                <c:pt idx="3">
                  <c:v>-0.36855623098682799</c:v>
                </c:pt>
                <c:pt idx="4">
                  <c:v>-0.35066514128785814</c:v>
                </c:pt>
                <c:pt idx="5">
                  <c:v>-0.33441900898204691</c:v>
                </c:pt>
                <c:pt idx="6">
                  <c:v>-0.31785492362616818</c:v>
                </c:pt>
                <c:pt idx="7">
                  <c:v>-0.3053948010664313</c:v>
                </c:pt>
                <c:pt idx="8">
                  <c:v>-0.29670862188133862</c:v>
                </c:pt>
                <c:pt idx="9">
                  <c:v>-0.28399665636520083</c:v>
                </c:pt>
              </c:numCache>
            </c:numRef>
          </c:xVal>
          <c:yVal>
            <c:numRef>
              <c:f>'Barra #1'!$N$83:$N$92</c:f>
              <c:numCache>
                <c:formatCode>General</c:formatCode>
                <c:ptCount val="10"/>
                <c:pt idx="0">
                  <c:v>-7.2387211093927206E-4</c:v>
                </c:pt>
                <c:pt idx="1">
                  <c:v>4.1503298816758516E-4</c:v>
                </c:pt>
                <c:pt idx="2">
                  <c:v>1.6153184311367141E-3</c:v>
                </c:pt>
                <c:pt idx="3">
                  <c:v>1.1882772416723641E-3</c:v>
                </c:pt>
                <c:pt idx="4">
                  <c:v>-2.7351016332005651E-3</c:v>
                </c:pt>
                <c:pt idx="5">
                  <c:v>-9.0193270360738875E-4</c:v>
                </c:pt>
                <c:pt idx="6">
                  <c:v>4.7496008397251988E-4</c:v>
                </c:pt>
                <c:pt idx="7">
                  <c:v>2.0221401202480394E-3</c:v>
                </c:pt>
                <c:pt idx="8">
                  <c:v>-9.7038438959229367E-4</c:v>
                </c:pt>
                <c:pt idx="9">
                  <c:v>-3.8443802785648185E-4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BD-4D9E-8A41-A2D43CDF98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  <c:max val="-0.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Log(ℓ)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Log(T)-Log(T)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At val="-1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Resíduos da linearização</a:t>
            </a:r>
            <a:r>
              <a:rPr lang="en-US" sz="1400" baseline="0"/>
              <a:t> para i=101 - Fórmula 1</a:t>
            </a:r>
            <a:endParaRPr lang="en-US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8072943952390769"/>
          <c:y val="0.17171296296296296"/>
          <c:w val="0.78355631321271257"/>
          <c:h val="0.66503227243361873"/>
        </c:manualLayout>
      </c:layout>
      <c:scatterChart>
        <c:scatterStyle val="lineMarker"/>
        <c:varyColors val="0"/>
        <c:ser>
          <c:idx val="1"/>
          <c:order val="0"/>
          <c:tx>
            <c:v>Resíduos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#1'!$V$83:$V$93</c:f>
                <c:numCache>
                  <c:formatCode>General</c:formatCode>
                  <c:ptCount val="11"/>
                  <c:pt idx="0">
                    <c:v>4.0957423260842531E-4</c:v>
                  </c:pt>
                  <c:pt idx="1">
                    <c:v>4.6855366652167696E-4</c:v>
                  </c:pt>
                  <c:pt idx="2">
                    <c:v>5.1534752660581449E-4</c:v>
                  </c:pt>
                  <c:pt idx="3">
                    <c:v>5.4567833396864578E-4</c:v>
                  </c:pt>
                  <c:pt idx="4">
                    <c:v>5.8918347512455066E-4</c:v>
                  </c:pt>
                  <c:pt idx="5">
                    <c:v>6.1924387509442098E-4</c:v>
                  </c:pt>
                  <c:pt idx="6">
                    <c:v>6.4932684781469267E-4</c:v>
                  </c:pt>
                  <c:pt idx="7">
                    <c:v>6.8316462892679475E-4</c:v>
                  </c:pt>
                  <c:pt idx="8">
                    <c:v>7.1103777861755658E-4</c:v>
                  </c:pt>
                  <c:pt idx="9">
                    <c:v>7.3185349173462391E-4</c:v>
                  </c:pt>
                  <c:pt idx="10">
                    <c:v>7.6461196315068226E-4</c:v>
                  </c:pt>
                </c:numCache>
              </c:numRef>
            </c:plus>
            <c:minus>
              <c:numRef>
                <c:f>'Barra #1'!$V$83:$V$93</c:f>
                <c:numCache>
                  <c:formatCode>General</c:formatCode>
                  <c:ptCount val="11"/>
                  <c:pt idx="0">
                    <c:v>4.0957423260842531E-4</c:v>
                  </c:pt>
                  <c:pt idx="1">
                    <c:v>4.6855366652167696E-4</c:v>
                  </c:pt>
                  <c:pt idx="2">
                    <c:v>5.1534752660581449E-4</c:v>
                  </c:pt>
                  <c:pt idx="3">
                    <c:v>5.4567833396864578E-4</c:v>
                  </c:pt>
                  <c:pt idx="4">
                    <c:v>5.8918347512455066E-4</c:v>
                  </c:pt>
                  <c:pt idx="5">
                    <c:v>6.1924387509442098E-4</c:v>
                  </c:pt>
                  <c:pt idx="6">
                    <c:v>6.4932684781469267E-4</c:v>
                  </c:pt>
                  <c:pt idx="7">
                    <c:v>6.8316462892679475E-4</c:v>
                  </c:pt>
                  <c:pt idx="8">
                    <c:v>7.1103777861755658E-4</c:v>
                  </c:pt>
                  <c:pt idx="9">
                    <c:v>7.3185349173462391E-4</c:v>
                  </c:pt>
                  <c:pt idx="10">
                    <c:v>7.6461196315068226E-4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#1'!$X$83:$X$93</c:f>
                <c:numCache>
                  <c:formatCode>General</c:formatCode>
                  <c:ptCount val="11"/>
                  <c:pt idx="0">
                    <c:v>3.5963190889503558E-4</c:v>
                  </c:pt>
                  <c:pt idx="1">
                    <c:v>4.0450000145607806E-4</c:v>
                  </c:pt>
                  <c:pt idx="2">
                    <c:v>4.3881424964755322E-4</c:v>
                  </c:pt>
                  <c:pt idx="3">
                    <c:v>4.6124308146133644E-4</c:v>
                  </c:pt>
                  <c:pt idx="4">
                    <c:v>4.9125177316041422E-4</c:v>
                  </c:pt>
                  <c:pt idx="5">
                    <c:v>5.0954173192075184E-4</c:v>
                  </c:pt>
                  <c:pt idx="6">
                    <c:v>5.3063547802632719E-4</c:v>
                  </c:pt>
                  <c:pt idx="7">
                    <c:v>5.5369107654519361E-4</c:v>
                  </c:pt>
                  <c:pt idx="8">
                    <c:v>5.733574061055482E-4</c:v>
                  </c:pt>
                  <c:pt idx="9">
                    <c:v>5.8429281683092303E-4</c:v>
                  </c:pt>
                  <c:pt idx="10">
                    <c:v>6.0558270348473641E-4</c:v>
                  </c:pt>
                </c:numCache>
              </c:numRef>
            </c:plus>
            <c:minus>
              <c:numRef>
                <c:f>'Barra #1'!$X$83:$X$93</c:f>
                <c:numCache>
                  <c:formatCode>General</c:formatCode>
                  <c:ptCount val="11"/>
                  <c:pt idx="0">
                    <c:v>3.5963190889503558E-4</c:v>
                  </c:pt>
                  <c:pt idx="1">
                    <c:v>4.0450000145607806E-4</c:v>
                  </c:pt>
                  <c:pt idx="2">
                    <c:v>4.3881424964755322E-4</c:v>
                  </c:pt>
                  <c:pt idx="3">
                    <c:v>4.6124308146133644E-4</c:v>
                  </c:pt>
                  <c:pt idx="4">
                    <c:v>4.9125177316041422E-4</c:v>
                  </c:pt>
                  <c:pt idx="5">
                    <c:v>5.0954173192075184E-4</c:v>
                  </c:pt>
                  <c:pt idx="6">
                    <c:v>5.3063547802632719E-4</c:v>
                  </c:pt>
                  <c:pt idx="7">
                    <c:v>5.5369107654519361E-4</c:v>
                  </c:pt>
                  <c:pt idx="8">
                    <c:v>5.733574061055482E-4</c:v>
                  </c:pt>
                  <c:pt idx="9">
                    <c:v>5.8429281683092303E-4</c:v>
                  </c:pt>
                  <c:pt idx="10">
                    <c:v>6.0558270348473641E-4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#1'!$U$83:$U$93</c:f>
              <c:numCache>
                <c:formatCode>General</c:formatCode>
                <c:ptCount val="11"/>
                <c:pt idx="0">
                  <c:v>-0.53017798402183702</c:v>
                </c:pt>
                <c:pt idx="1">
                  <c:v>-0.46344155742846993</c:v>
                </c:pt>
                <c:pt idx="2">
                  <c:v>-0.42136079003192767</c:v>
                </c:pt>
                <c:pt idx="3">
                  <c:v>-0.3979400086720376</c:v>
                </c:pt>
                <c:pt idx="4">
                  <c:v>-0.36855623098682799</c:v>
                </c:pt>
                <c:pt idx="5">
                  <c:v>-0.35066514128785814</c:v>
                </c:pt>
                <c:pt idx="6">
                  <c:v>-0.33441900898204691</c:v>
                </c:pt>
                <c:pt idx="7">
                  <c:v>-0.31785492362616818</c:v>
                </c:pt>
                <c:pt idx="8">
                  <c:v>-0.3053948010664313</c:v>
                </c:pt>
                <c:pt idx="9">
                  <c:v>-0.29670862188133862</c:v>
                </c:pt>
                <c:pt idx="10">
                  <c:v>-0.28399665636520083</c:v>
                </c:pt>
              </c:numCache>
            </c:numRef>
          </c:xVal>
          <c:yVal>
            <c:numRef>
              <c:f>'Barra #1'!$Z$83:$Z$93</c:f>
              <c:numCache>
                <c:formatCode>General</c:formatCode>
                <c:ptCount val="11"/>
                <c:pt idx="0">
                  <c:v>-9.5714424631210271E-4</c:v>
                </c:pt>
                <c:pt idx="1">
                  <c:v>2.5345003151389101E-4</c:v>
                </c:pt>
                <c:pt idx="2">
                  <c:v>5.1142439197005007E-4</c:v>
                </c:pt>
                <c:pt idx="3">
                  <c:v>2.0530631278933287E-3</c:v>
                </c:pt>
                <c:pt idx="4">
                  <c:v>1.1252608203184966E-3</c:v>
                </c:pt>
                <c:pt idx="5">
                  <c:v>-2.7273473851652241E-3</c:v>
                </c:pt>
                <c:pt idx="6">
                  <c:v>-1.1597982527715711E-3</c:v>
                </c:pt>
                <c:pt idx="7">
                  <c:v>-2.6324505744912408E-5</c:v>
                </c:pt>
                <c:pt idx="8">
                  <c:v>2.0940932637901755E-3</c:v>
                </c:pt>
                <c:pt idx="9">
                  <c:v>-1.0065830231638095E-3</c:v>
                </c:pt>
                <c:pt idx="10">
                  <c:v>-1.600942223266566E-4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69-4EEE-9563-3C3A9C57A9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34031"/>
        <c:axId val="295511791"/>
      </c:scatterChart>
      <c:valAx>
        <c:axId val="512934031"/>
        <c:scaling>
          <c:orientation val="minMax"/>
          <c:max val="-0.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</a:t>
                </a:r>
                <a:r>
                  <a:rPr lang="en-US" sz="1400" b="0" i="0" u="none" strike="noStrike" baseline="0">
                    <a:effectLst/>
                  </a:rPr>
                  <a:t>ℓ</a:t>
                </a:r>
                <a:r>
                  <a:rPr lang="en-US" sz="1400"/>
                  <a:t>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95511791"/>
        <c:crossesAt val="-10"/>
        <c:crossBetween val="midCat"/>
      </c:valAx>
      <c:valAx>
        <c:axId val="29551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Log(T)-Log(T) </a:t>
                </a:r>
                <a:r>
                  <a:rPr lang="en-US" sz="1400" b="0" i="0" baseline="-25000">
                    <a:effectLst/>
                  </a:rPr>
                  <a:t>ajuste</a:t>
                </a:r>
                <a:r>
                  <a:rPr lang="en-US" sz="1400" b="0" i="0" baseline="0">
                    <a:effectLst/>
                  </a:rPr>
                  <a:t> (s.u.)</a:t>
                </a:r>
                <a:endParaRPr lang="en-US" sz="1100">
                  <a:effectLst/>
                </a:endParaRPr>
              </a:p>
            </c:rich>
          </c:tx>
          <c:layout>
            <c:manualLayout>
              <c:xMode val="edge"/>
              <c:yMode val="edge"/>
              <c:x val="2.4999940889338181E-2"/>
              <c:y val="0.201260378394335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2934031"/>
        <c:crossesAt val="-1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Resíduos</a:t>
            </a:r>
            <a:r>
              <a:rPr lang="en-US" sz="1400" baseline="0"/>
              <a:t> da l</a:t>
            </a:r>
            <a:r>
              <a:rPr lang="en-US" sz="1400"/>
              <a:t>inearização</a:t>
            </a:r>
            <a:r>
              <a:rPr lang="en-US" sz="1400" baseline="0"/>
              <a:t> para i=151 - Fórmula 1</a:t>
            </a:r>
            <a:endParaRPr lang="en-US" sz="1400"/>
          </a:p>
        </c:rich>
      </c:tx>
      <c:layout>
        <c:manualLayout>
          <c:xMode val="edge"/>
          <c:yMode val="edge"/>
          <c:x val="0.12493912430350805"/>
          <c:y val="3.72641784514019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6269592651486231"/>
          <c:y val="0.17171296296296296"/>
          <c:w val="0.79547506959763281"/>
          <c:h val="0.67006531134111058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#1'!$AS$77:$AS$87</c:f>
                <c:numCache>
                  <c:formatCode>General</c:formatCode>
                  <c:ptCount val="11"/>
                  <c:pt idx="0">
                    <c:v>4.0957423260842531E-4</c:v>
                  </c:pt>
                  <c:pt idx="1">
                    <c:v>4.6855366652167696E-4</c:v>
                  </c:pt>
                  <c:pt idx="2">
                    <c:v>5.1534752660581449E-4</c:v>
                  </c:pt>
                  <c:pt idx="3">
                    <c:v>5.4567833396864578E-4</c:v>
                  </c:pt>
                  <c:pt idx="4">
                    <c:v>5.8918347512455066E-4</c:v>
                  </c:pt>
                  <c:pt idx="5">
                    <c:v>6.1924387509442098E-4</c:v>
                  </c:pt>
                  <c:pt idx="6">
                    <c:v>6.4932684781469267E-4</c:v>
                  </c:pt>
                  <c:pt idx="7">
                    <c:v>6.8316462892679475E-4</c:v>
                  </c:pt>
                  <c:pt idx="8">
                    <c:v>7.1103777861755658E-4</c:v>
                  </c:pt>
                  <c:pt idx="9">
                    <c:v>7.3185349173462391E-4</c:v>
                  </c:pt>
                  <c:pt idx="10">
                    <c:v>7.6461196315068226E-4</c:v>
                  </c:pt>
                </c:numCache>
              </c:numRef>
            </c:plus>
            <c:minus>
              <c:numRef>
                <c:f>'Barra #1'!$AS$77:$AS$87</c:f>
                <c:numCache>
                  <c:formatCode>General</c:formatCode>
                  <c:ptCount val="11"/>
                  <c:pt idx="0">
                    <c:v>4.0957423260842531E-4</c:v>
                  </c:pt>
                  <c:pt idx="1">
                    <c:v>4.6855366652167696E-4</c:v>
                  </c:pt>
                  <c:pt idx="2">
                    <c:v>5.1534752660581449E-4</c:v>
                  </c:pt>
                  <c:pt idx="3">
                    <c:v>5.4567833396864578E-4</c:v>
                  </c:pt>
                  <c:pt idx="4">
                    <c:v>5.8918347512455066E-4</c:v>
                  </c:pt>
                  <c:pt idx="5">
                    <c:v>6.1924387509442098E-4</c:v>
                  </c:pt>
                  <c:pt idx="6">
                    <c:v>6.4932684781469267E-4</c:v>
                  </c:pt>
                  <c:pt idx="7">
                    <c:v>6.8316462892679475E-4</c:v>
                  </c:pt>
                  <c:pt idx="8">
                    <c:v>7.1103777861755658E-4</c:v>
                  </c:pt>
                  <c:pt idx="9">
                    <c:v>7.3185349173462391E-4</c:v>
                  </c:pt>
                  <c:pt idx="10">
                    <c:v>7.6461196315068226E-4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#1'!$AU$77:$AU$87</c:f>
                <c:numCache>
                  <c:formatCode>General</c:formatCode>
                  <c:ptCount val="11"/>
                  <c:pt idx="0">
                    <c:v>3.6032673625403577E-4</c:v>
                  </c:pt>
                  <c:pt idx="1">
                    <c:v>4.0501681356186925E-4</c:v>
                  </c:pt>
                  <c:pt idx="2">
                    <c:v>4.3931562302633166E-4</c:v>
                  </c:pt>
                  <c:pt idx="3">
                    <c:v>4.6186289879311611E-4</c:v>
                  </c:pt>
                  <c:pt idx="4">
                    <c:v>4.9162133689507296E-4</c:v>
                  </c:pt>
                  <c:pt idx="5">
                    <c:v>5.1071213364672213E-4</c:v>
                  </c:pt>
                  <c:pt idx="6">
                    <c:v>5.3143881016418223E-4</c:v>
                  </c:pt>
                  <c:pt idx="7">
                    <c:v>5.5474863896899033E-4</c:v>
                  </c:pt>
                  <c:pt idx="8">
                    <c:v>5.7423521813044175E-4</c:v>
                  </c:pt>
                  <c:pt idx="9">
                    <c:v>5.8567955364025395E-4</c:v>
                  </c:pt>
                  <c:pt idx="10">
                    <c:v>6.0685787002977352E-4</c:v>
                  </c:pt>
                </c:numCache>
              </c:numRef>
            </c:plus>
            <c:minus>
              <c:numRef>
                <c:f>'Barra #1'!$AU$77:$AU$87</c:f>
                <c:numCache>
                  <c:formatCode>General</c:formatCode>
                  <c:ptCount val="11"/>
                  <c:pt idx="0">
                    <c:v>3.6032673625403577E-4</c:v>
                  </c:pt>
                  <c:pt idx="1">
                    <c:v>4.0501681356186925E-4</c:v>
                  </c:pt>
                  <c:pt idx="2">
                    <c:v>4.3931562302633166E-4</c:v>
                  </c:pt>
                  <c:pt idx="3">
                    <c:v>4.6186289879311611E-4</c:v>
                  </c:pt>
                  <c:pt idx="4">
                    <c:v>4.9162133689507296E-4</c:v>
                  </c:pt>
                  <c:pt idx="5">
                    <c:v>5.1071213364672213E-4</c:v>
                  </c:pt>
                  <c:pt idx="6">
                    <c:v>5.3143881016418223E-4</c:v>
                  </c:pt>
                  <c:pt idx="7">
                    <c:v>5.5474863896899033E-4</c:v>
                  </c:pt>
                  <c:pt idx="8">
                    <c:v>5.7423521813044175E-4</c:v>
                  </c:pt>
                  <c:pt idx="9">
                    <c:v>5.8567955364025395E-4</c:v>
                  </c:pt>
                  <c:pt idx="10">
                    <c:v>6.0685787002977352E-4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#1'!$AR$77:$AR$87</c:f>
              <c:numCache>
                <c:formatCode>General</c:formatCode>
                <c:ptCount val="11"/>
                <c:pt idx="0">
                  <c:v>-0.53017798402183702</c:v>
                </c:pt>
                <c:pt idx="1">
                  <c:v>-0.46344155742846993</c:v>
                </c:pt>
                <c:pt idx="2">
                  <c:v>-0.42136079003192767</c:v>
                </c:pt>
                <c:pt idx="3">
                  <c:v>-0.3979400086720376</c:v>
                </c:pt>
                <c:pt idx="4">
                  <c:v>-0.36855623098682799</c:v>
                </c:pt>
                <c:pt idx="5">
                  <c:v>-0.35066514128785814</c:v>
                </c:pt>
                <c:pt idx="6">
                  <c:v>-0.33441900898204691</c:v>
                </c:pt>
                <c:pt idx="7">
                  <c:v>-0.31785492362616818</c:v>
                </c:pt>
                <c:pt idx="8">
                  <c:v>-0.3053948010664313</c:v>
                </c:pt>
                <c:pt idx="9">
                  <c:v>-0.29670862188133862</c:v>
                </c:pt>
                <c:pt idx="10">
                  <c:v>-0.28399665636520083</c:v>
                </c:pt>
              </c:numCache>
            </c:numRef>
          </c:xVal>
          <c:yVal>
            <c:numRef>
              <c:f>'Barra #1'!$AW$77:$AW$87</c:f>
              <c:numCache>
                <c:formatCode>General</c:formatCode>
                <c:ptCount val="11"/>
                <c:pt idx="0">
                  <c:v>-3.4041313453458955E-4</c:v>
                </c:pt>
                <c:pt idx="1">
                  <c:v>2.3849224397354263E-5</c:v>
                </c:pt>
                <c:pt idx="2">
                  <c:v>1.1213394451259351E-4</c:v>
                </c:pt>
                <c:pt idx="3">
                  <c:v>1.8272707289028745E-3</c:v>
                </c:pt>
                <c:pt idx="4">
                  <c:v>3.4990054922579006E-4</c:v>
                </c:pt>
                <c:pt idx="5">
                  <c:v>-2.1838898903300263E-3</c:v>
                </c:pt>
                <c:pt idx="6">
                  <c:v>-1.305102307749606E-3</c:v>
                </c:pt>
                <c:pt idx="7">
                  <c:v>1.1437061196373222E-4</c:v>
                </c:pt>
                <c:pt idx="8">
                  <c:v>1.9183632236531301E-3</c:v>
                </c:pt>
                <c:pt idx="9">
                  <c:v>-5.656942718716973E-4</c:v>
                </c:pt>
                <c:pt idx="10">
                  <c:v>4.9211321829001342E-5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36-4CDF-9BB1-C99CCA5B98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34031"/>
        <c:axId val="295511791"/>
      </c:scatterChart>
      <c:valAx>
        <c:axId val="512934031"/>
        <c:scaling>
          <c:orientation val="minMax"/>
          <c:max val="-0.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</a:t>
                </a:r>
                <a:r>
                  <a:rPr lang="en-US" sz="1400" b="0" i="0" u="none" strike="noStrike" baseline="0">
                    <a:effectLst/>
                  </a:rPr>
                  <a:t>ℓ</a:t>
                </a:r>
                <a:r>
                  <a:rPr lang="en-US" sz="1400"/>
                  <a:t>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95511791"/>
        <c:crossesAt val="-10"/>
        <c:crossBetween val="midCat"/>
      </c:valAx>
      <c:valAx>
        <c:axId val="29551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Log(T)-Log(T) </a:t>
                </a:r>
                <a:r>
                  <a:rPr lang="en-US" sz="1400" b="0" i="0" baseline="-25000">
                    <a:effectLst/>
                  </a:rPr>
                  <a:t>ajuste</a:t>
                </a:r>
                <a:r>
                  <a:rPr lang="en-US" sz="1400" b="0" i="0" baseline="0">
                    <a:effectLst/>
                  </a:rPr>
                  <a:t> (s.u.)</a:t>
                </a:r>
                <a:endParaRPr lang="en-US" sz="1100">
                  <a:effectLst/>
                </a:endParaRPr>
              </a:p>
            </c:rich>
          </c:tx>
          <c:layout>
            <c:manualLayout>
              <c:xMode val="edge"/>
              <c:yMode val="edge"/>
              <c:x val="1.497546101051082E-2"/>
              <c:y val="0.24218881509146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2934031"/>
        <c:crossesAt val="-1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r>
              <a:rPr lang="en-US" sz="1600" baseline="0"/>
              <a:t> da </a:t>
            </a:r>
            <a:r>
              <a:rPr lang="en-US" sz="1600"/>
              <a:t>Linearização</a:t>
            </a:r>
            <a:r>
              <a:rPr lang="en-US" sz="1600" baseline="0"/>
              <a:t> da média dos 3 i - Fórmula 1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358314938499149"/>
          <c:y val="0.20632410016934261"/>
          <c:w val="0.80572444176343105"/>
          <c:h val="0.65215950159923342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#1'!$DG$51:$DG$61</c:f>
                <c:numCache>
                  <c:formatCode>General</c:formatCode>
                  <c:ptCount val="11"/>
                  <c:pt idx="0">
                    <c:v>4.0957423260842531E-4</c:v>
                  </c:pt>
                  <c:pt idx="1">
                    <c:v>4.6855366652167696E-4</c:v>
                  </c:pt>
                  <c:pt idx="2">
                    <c:v>5.1534752660581449E-4</c:v>
                  </c:pt>
                  <c:pt idx="3">
                    <c:v>5.4567833396864578E-4</c:v>
                  </c:pt>
                  <c:pt idx="4">
                    <c:v>5.8918347512455066E-4</c:v>
                  </c:pt>
                  <c:pt idx="5">
                    <c:v>6.1924387509442098E-4</c:v>
                  </c:pt>
                  <c:pt idx="6">
                    <c:v>6.4932684781469267E-4</c:v>
                  </c:pt>
                  <c:pt idx="7">
                    <c:v>6.8316462892679475E-4</c:v>
                  </c:pt>
                  <c:pt idx="8">
                    <c:v>7.1103777861755658E-4</c:v>
                  </c:pt>
                  <c:pt idx="9">
                    <c:v>7.3185349173462391E-4</c:v>
                  </c:pt>
                  <c:pt idx="10">
                    <c:v>7.6461196315068226E-4</c:v>
                  </c:pt>
                </c:numCache>
              </c:numRef>
            </c:plus>
            <c:minus>
              <c:numRef>
                <c:f>'Barra #1'!$DG$51:$DG$61</c:f>
                <c:numCache>
                  <c:formatCode>General</c:formatCode>
                  <c:ptCount val="11"/>
                  <c:pt idx="0">
                    <c:v>4.0957423260842531E-4</c:v>
                  </c:pt>
                  <c:pt idx="1">
                    <c:v>4.6855366652167696E-4</c:v>
                  </c:pt>
                  <c:pt idx="2">
                    <c:v>5.1534752660581449E-4</c:v>
                  </c:pt>
                  <c:pt idx="3">
                    <c:v>5.4567833396864578E-4</c:v>
                  </c:pt>
                  <c:pt idx="4">
                    <c:v>5.8918347512455066E-4</c:v>
                  </c:pt>
                  <c:pt idx="5">
                    <c:v>6.1924387509442098E-4</c:v>
                  </c:pt>
                  <c:pt idx="6">
                    <c:v>6.4932684781469267E-4</c:v>
                  </c:pt>
                  <c:pt idx="7">
                    <c:v>6.8316462892679475E-4</c:v>
                  </c:pt>
                  <c:pt idx="8">
                    <c:v>7.1103777861755658E-4</c:v>
                  </c:pt>
                  <c:pt idx="9">
                    <c:v>7.3185349173462391E-4</c:v>
                  </c:pt>
                  <c:pt idx="10">
                    <c:v>7.6461196315068226E-4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#1'!$DI$51:$DI$61</c:f>
                <c:numCache>
                  <c:formatCode>General</c:formatCode>
                  <c:ptCount val="11"/>
                  <c:pt idx="0">
                    <c:v>3.5944644485875988E-4</c:v>
                  </c:pt>
                  <c:pt idx="1">
                    <c:v>4.0415528690739195E-4</c:v>
                  </c:pt>
                  <c:pt idx="2">
                    <c:v>4.3906495620121318E-4</c:v>
                  </c:pt>
                  <c:pt idx="3">
                    <c:v>4.6070579328699637E-4</c:v>
                  </c:pt>
                  <c:pt idx="4">
                    <c:v>4.9063581138301471E-4</c:v>
                  </c:pt>
                  <c:pt idx="5">
                    <c:v>5.0913108911728377E-4</c:v>
                  </c:pt>
                  <c:pt idx="6">
                    <c:v>5.301000014727781E-4</c:v>
                  </c:pt>
                  <c:pt idx="7">
                    <c:v>5.5323499442573229E-4</c:v>
                  </c:pt>
                  <c:pt idx="8">
                    <c:v>5.7264704830431857E-4</c:v>
                  </c:pt>
                  <c:pt idx="9">
                    <c:v>5.8374678781035417E-4</c:v>
                  </c:pt>
                  <c:pt idx="10">
                    <c:v>6.0486052497036951E-4</c:v>
                  </c:pt>
                </c:numCache>
              </c:numRef>
            </c:plus>
            <c:minus>
              <c:numRef>
                <c:f>'Barra #1'!$DI$51:$DI$61</c:f>
                <c:numCache>
                  <c:formatCode>General</c:formatCode>
                  <c:ptCount val="11"/>
                  <c:pt idx="0">
                    <c:v>3.5944644485875988E-4</c:v>
                  </c:pt>
                  <c:pt idx="1">
                    <c:v>4.0415528690739195E-4</c:v>
                  </c:pt>
                  <c:pt idx="2">
                    <c:v>4.3906495620121318E-4</c:v>
                  </c:pt>
                  <c:pt idx="3">
                    <c:v>4.6070579328699637E-4</c:v>
                  </c:pt>
                  <c:pt idx="4">
                    <c:v>4.9063581138301471E-4</c:v>
                  </c:pt>
                  <c:pt idx="5">
                    <c:v>5.0913108911728377E-4</c:v>
                  </c:pt>
                  <c:pt idx="6">
                    <c:v>5.301000014727781E-4</c:v>
                  </c:pt>
                  <c:pt idx="7">
                    <c:v>5.5323499442573229E-4</c:v>
                  </c:pt>
                  <c:pt idx="8">
                    <c:v>5.7264704830431857E-4</c:v>
                  </c:pt>
                  <c:pt idx="9">
                    <c:v>5.8374678781035417E-4</c:v>
                  </c:pt>
                  <c:pt idx="10">
                    <c:v>6.0486052497036951E-4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#1'!$DF$51:$DF$61</c:f>
              <c:numCache>
                <c:formatCode>General</c:formatCode>
                <c:ptCount val="11"/>
                <c:pt idx="0">
                  <c:v>-0.53017798402183702</c:v>
                </c:pt>
                <c:pt idx="1">
                  <c:v>-0.46344155742846993</c:v>
                </c:pt>
                <c:pt idx="2">
                  <c:v>-0.42136079003192767</c:v>
                </c:pt>
                <c:pt idx="3">
                  <c:v>-0.3979400086720376</c:v>
                </c:pt>
                <c:pt idx="4">
                  <c:v>-0.36855623098682799</c:v>
                </c:pt>
                <c:pt idx="5">
                  <c:v>-0.35066514128785814</c:v>
                </c:pt>
                <c:pt idx="6">
                  <c:v>-0.33441900898204691</c:v>
                </c:pt>
                <c:pt idx="7">
                  <c:v>-0.31785492362616818</c:v>
                </c:pt>
                <c:pt idx="8">
                  <c:v>-0.3053948010664313</c:v>
                </c:pt>
                <c:pt idx="9">
                  <c:v>-0.29670862188133862</c:v>
                </c:pt>
                <c:pt idx="10">
                  <c:v>-0.28399665636520083</c:v>
                </c:pt>
              </c:numCache>
            </c:numRef>
          </c:xVal>
          <c:yVal>
            <c:numRef>
              <c:f>'Barra #1'!$DK$51:$DK$61</c:f>
              <c:numCache>
                <c:formatCode>General</c:formatCode>
                <c:ptCount val="11"/>
                <c:pt idx="0">
                  <c:v>-1.0757794857538805E-3</c:v>
                </c:pt>
                <c:pt idx="1">
                  <c:v>-7.1286807319159706E-5</c:v>
                </c:pt>
                <c:pt idx="2">
                  <c:v>1.7221368282049898E-3</c:v>
                </c:pt>
                <c:pt idx="3">
                  <c:v>1.6309424249624227E-3</c:v>
                </c:pt>
                <c:pt idx="4">
                  <c:v>7.2946478540392157E-4</c:v>
                </c:pt>
                <c:pt idx="5">
                  <c:v>-2.6775088197454888E-3</c:v>
                </c:pt>
                <c:pt idx="6">
                  <c:v>-1.228184737873117E-3</c:v>
                </c:pt>
                <c:pt idx="7">
                  <c:v>1.0689447551037734E-4</c:v>
                </c:pt>
                <c:pt idx="8">
                  <c:v>1.9504817007045538E-3</c:v>
                </c:pt>
                <c:pt idx="9">
                  <c:v>-8.9457194052711131E-4</c:v>
                </c:pt>
                <c:pt idx="10">
                  <c:v>-1.9258842356573158E-4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D4-404E-82D7-D32C961457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34031"/>
        <c:axId val="295511791"/>
      </c:scatterChart>
      <c:valAx>
        <c:axId val="512934031"/>
        <c:scaling>
          <c:orientation val="minMax"/>
          <c:max val="-0.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</a:t>
                </a:r>
                <a:r>
                  <a:rPr lang="en-US" sz="1400" b="0" i="0" u="none" strike="noStrike" baseline="0">
                    <a:effectLst/>
                  </a:rPr>
                  <a:t>ℓ</a:t>
                </a:r>
                <a:r>
                  <a:rPr lang="en-US" sz="1400"/>
                  <a:t>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95511791"/>
        <c:crossesAt val="-10"/>
        <c:crossBetween val="midCat"/>
      </c:valAx>
      <c:valAx>
        <c:axId val="29551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Log(T)-Log(T) </a:t>
                </a:r>
                <a:r>
                  <a:rPr lang="en-US" sz="1400" b="0" i="0" baseline="-25000">
                    <a:effectLst/>
                  </a:rPr>
                  <a:t>ajuste</a:t>
                </a:r>
                <a:r>
                  <a:rPr lang="en-US" sz="1400" b="0" i="0" baseline="0">
                    <a:effectLst/>
                  </a:rPr>
                  <a:t> (s.u.)</a:t>
                </a:r>
                <a:endParaRPr lang="en-US" sz="1100">
                  <a:effectLst/>
                </a:endParaRPr>
              </a:p>
            </c:rich>
          </c:tx>
          <c:layout>
            <c:manualLayout>
              <c:xMode val="edge"/>
              <c:yMode val="edge"/>
              <c:x val="1.246706057512194E-2"/>
              <c:y val="0.19517331083334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2934031"/>
        <c:crossesAt val="-1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u="none" strike="noStrike" baseline="0">
                <a:effectLst/>
              </a:rPr>
              <a:t>Gráfico da sobreposição dos gráficos de ajuste usando a Fórmula 2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25016468125711822"/>
          <c:w val="0.82136773504273508"/>
          <c:h val="0.58099479107882468"/>
        </c:manualLayout>
      </c:layout>
      <c:scatterChart>
        <c:scatterStyle val="lineMarker"/>
        <c:varyColors val="0"/>
        <c:ser>
          <c:idx val="2"/>
          <c:order val="0"/>
          <c:tx>
            <c:v>i=51 - Fórmula 2</c:v>
          </c:tx>
          <c:spPr>
            <a:ln w="25400">
              <a:noFill/>
            </a:ln>
          </c:spPr>
          <c:marker>
            <c:symbol val="circ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#1'!$G$49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#1'!$G$49</c:f>
                <c:numCache>
                  <c:formatCode>General</c:formatCode>
                  <c:ptCount val="1"/>
                </c:numCache>
              </c:numRef>
            </c:minus>
          </c:errBars>
          <c:errBars>
            <c:errDir val="y"/>
            <c:errBarType val="both"/>
            <c:errValType val="cust"/>
            <c:noEndCap val="0"/>
            <c:plus>
              <c:numRef>
                <c:f>'Barra #1'!$I$49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#1'!$I$49</c:f>
                <c:numCache>
                  <c:formatCode>General</c:formatCode>
                  <c:ptCount val="1"/>
                </c:numCache>
              </c:numRef>
            </c:minus>
          </c:errBars>
          <c:xVal>
            <c:numRef>
              <c:f>'Barra #1'!$BK$110:$BK$120</c:f>
              <c:numCache>
                <c:formatCode>General</c:formatCode>
                <c:ptCount val="11"/>
                <c:pt idx="0">
                  <c:v>3.2399999999999998E-2</c:v>
                </c:pt>
                <c:pt idx="1">
                  <c:v>8.7024999999999991E-2</c:v>
                </c:pt>
                <c:pt idx="2">
                  <c:v>0.11833599999999998</c:v>
                </c:pt>
                <c:pt idx="3">
                  <c:v>0.16000000000000003</c:v>
                </c:pt>
                <c:pt idx="4">
                  <c:v>0.18318399999999999</c:v>
                </c:pt>
                <c:pt idx="5">
                  <c:v>0.19891600000000001</c:v>
                </c:pt>
                <c:pt idx="6">
                  <c:v>0.21436899999999998</c:v>
                </c:pt>
                <c:pt idx="7">
                  <c:v>0.23136100000000004</c:v>
                </c:pt>
                <c:pt idx="8">
                  <c:v>0.24502499999999999</c:v>
                </c:pt>
                <c:pt idx="9">
                  <c:v>0.255025</c:v>
                </c:pt>
                <c:pt idx="10">
                  <c:v>0.27040000000000003</c:v>
                </c:pt>
              </c:numCache>
            </c:numRef>
          </c:xVal>
          <c:yVal>
            <c:numRef>
              <c:f>'Barra #1'!$BL$110:$BL$120</c:f>
              <c:numCache>
                <c:formatCode>General</c:formatCode>
                <c:ptCount val="11"/>
                <c:pt idx="0">
                  <c:v>2.3800000000000002E-2</c:v>
                </c:pt>
                <c:pt idx="1">
                  <c:v>6.1400000000000003E-2</c:v>
                </c:pt>
                <c:pt idx="2">
                  <c:v>8.3599999999999994E-2</c:v>
                </c:pt>
                <c:pt idx="3">
                  <c:v>0.11320000000000001</c:v>
                </c:pt>
                <c:pt idx="4">
                  <c:v>0.12940000000000002</c:v>
                </c:pt>
                <c:pt idx="5">
                  <c:v>0.13919999999999999</c:v>
                </c:pt>
                <c:pt idx="6">
                  <c:v>0.15059999999999998</c:v>
                </c:pt>
                <c:pt idx="7">
                  <c:v>0.16300000000000001</c:v>
                </c:pt>
                <c:pt idx="8">
                  <c:v>0.17319999999999999</c:v>
                </c:pt>
                <c:pt idx="9">
                  <c:v>0.17899999999999999</c:v>
                </c:pt>
                <c:pt idx="10">
                  <c:v>0.19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85ED-4EB8-B575-E24FB8048B65}"/>
            </c:ext>
          </c:extLst>
        </c:ser>
        <c:ser>
          <c:idx val="3"/>
          <c:order val="1"/>
          <c:tx>
            <c:v>Ajuste Linear</c:v>
          </c:tx>
          <c:spPr>
            <a:ln w="12700"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'Barra #1'!$BK$110:$BK$120</c:f>
              <c:numCache>
                <c:formatCode>General</c:formatCode>
                <c:ptCount val="11"/>
                <c:pt idx="0">
                  <c:v>3.2399999999999998E-2</c:v>
                </c:pt>
                <c:pt idx="1">
                  <c:v>8.7024999999999991E-2</c:v>
                </c:pt>
                <c:pt idx="2">
                  <c:v>0.11833599999999998</c:v>
                </c:pt>
                <c:pt idx="3">
                  <c:v>0.16000000000000003</c:v>
                </c:pt>
                <c:pt idx="4">
                  <c:v>0.18318399999999999</c:v>
                </c:pt>
                <c:pt idx="5">
                  <c:v>0.19891600000000001</c:v>
                </c:pt>
                <c:pt idx="6">
                  <c:v>0.21436899999999998</c:v>
                </c:pt>
                <c:pt idx="7">
                  <c:v>0.23136100000000004</c:v>
                </c:pt>
                <c:pt idx="8">
                  <c:v>0.24502499999999999</c:v>
                </c:pt>
                <c:pt idx="9">
                  <c:v>0.255025</c:v>
                </c:pt>
                <c:pt idx="10">
                  <c:v>0.27040000000000003</c:v>
                </c:pt>
              </c:numCache>
            </c:numRef>
          </c:xVal>
          <c:yVal>
            <c:numRef>
              <c:f>'Barra #1'!$BM$110:$BM$120</c:f>
              <c:numCache>
                <c:formatCode>General</c:formatCode>
                <c:ptCount val="11"/>
                <c:pt idx="0">
                  <c:v>2.4458281296220533E-2</c:v>
                </c:pt>
                <c:pt idx="1">
                  <c:v>6.2511186409373462E-2</c:v>
                </c:pt>
                <c:pt idx="2">
                  <c:v>8.4323076789198287E-2</c:v>
                </c:pt>
                <c:pt idx="3">
                  <c:v>0.11334708115779153</c:v>
                </c:pt>
                <c:pt idx="4">
                  <c:v>0.12949753520160545</c:v>
                </c:pt>
                <c:pt idx="5">
                  <c:v>0.14045677187419353</c:v>
                </c:pt>
                <c:pt idx="6">
                  <c:v>0.15122165137467042</c:v>
                </c:pt>
                <c:pt idx="7">
                  <c:v>0.16305863011485711</c:v>
                </c:pt>
                <c:pt idx="8">
                  <c:v>0.17257725520348172</c:v>
                </c:pt>
                <c:pt idx="9">
                  <c:v>0.17954346208918479</c:v>
                </c:pt>
                <c:pt idx="10">
                  <c:v>0.19025400517595326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85ED-4EB8-B575-E24FB8048B65}"/>
            </c:ext>
          </c:extLst>
        </c:ser>
        <c:ser>
          <c:idx val="5"/>
          <c:order val="2"/>
          <c:tx>
            <c:v>i=101 - Fórmula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#1'!$G$49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#1'!$G$49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#1'!$I$49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#1'!$I$49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#1'!$BD$47:$BD$58</c:f>
              <c:numCache>
                <c:formatCode>0.00</c:formatCode>
                <c:ptCount val="12"/>
                <c:pt idx="0">
                  <c:v>3.2399999999999998E-2</c:v>
                </c:pt>
                <c:pt idx="1">
                  <c:v>8.7024999999999991E-2</c:v>
                </c:pt>
                <c:pt idx="2">
                  <c:v>0.11833599999999998</c:v>
                </c:pt>
                <c:pt idx="3">
                  <c:v>0.14364099999999999</c:v>
                </c:pt>
                <c:pt idx="4">
                  <c:v>0.16000000000000003</c:v>
                </c:pt>
                <c:pt idx="5">
                  <c:v>0.18318399999999999</c:v>
                </c:pt>
                <c:pt idx="6">
                  <c:v>0.19891600000000001</c:v>
                </c:pt>
                <c:pt idx="7">
                  <c:v>0.21436899999999998</c:v>
                </c:pt>
                <c:pt idx="8">
                  <c:v>0.23136100000000004</c:v>
                </c:pt>
                <c:pt idx="9">
                  <c:v>0.24502499999999999</c:v>
                </c:pt>
                <c:pt idx="10">
                  <c:v>0.255025</c:v>
                </c:pt>
                <c:pt idx="11">
                  <c:v>0.27040000000000003</c:v>
                </c:pt>
              </c:numCache>
            </c:numRef>
          </c:xVal>
          <c:yVal>
            <c:numRef>
              <c:f>'Barra #1'!$BL$47:$BL$58</c:f>
              <c:numCache>
                <c:formatCode>0.0000</c:formatCode>
                <c:ptCount val="12"/>
                <c:pt idx="0">
                  <c:v>2.35E-2</c:v>
                </c:pt>
                <c:pt idx="1">
                  <c:v>6.2E-2</c:v>
                </c:pt>
                <c:pt idx="2">
                  <c:v>8.4399999999999989E-2</c:v>
                </c:pt>
                <c:pt idx="3">
                  <c:v>0.1024</c:v>
                </c:pt>
                <c:pt idx="4">
                  <c:v>0.1144</c:v>
                </c:pt>
                <c:pt idx="5">
                  <c:v>0.13059999999999999</c:v>
                </c:pt>
                <c:pt idx="6">
                  <c:v>0.14050000000000001</c:v>
                </c:pt>
                <c:pt idx="7">
                  <c:v>0.15189999999999998</c:v>
                </c:pt>
                <c:pt idx="8">
                  <c:v>0.1643</c:v>
                </c:pt>
                <c:pt idx="9">
                  <c:v>0.17480000000000001</c:v>
                </c:pt>
                <c:pt idx="10">
                  <c:v>0.18059999999999998</c:v>
                </c:pt>
                <c:pt idx="11">
                  <c:v>0.1918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85ED-4EB8-B575-E24FB8048B65}"/>
            </c:ext>
          </c:extLst>
        </c:ser>
        <c:ser>
          <c:idx val="6"/>
          <c:order val="3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#1'!$BD$47:$BD$58</c:f>
              <c:numCache>
                <c:formatCode>0.00</c:formatCode>
                <c:ptCount val="12"/>
                <c:pt idx="0">
                  <c:v>3.2399999999999998E-2</c:v>
                </c:pt>
                <c:pt idx="1">
                  <c:v>8.7024999999999991E-2</c:v>
                </c:pt>
                <c:pt idx="2">
                  <c:v>0.11833599999999998</c:v>
                </c:pt>
                <c:pt idx="3">
                  <c:v>0.14364099999999999</c:v>
                </c:pt>
                <c:pt idx="4">
                  <c:v>0.16000000000000003</c:v>
                </c:pt>
                <c:pt idx="5">
                  <c:v>0.18318399999999999</c:v>
                </c:pt>
                <c:pt idx="6">
                  <c:v>0.19891600000000001</c:v>
                </c:pt>
                <c:pt idx="7">
                  <c:v>0.21436899999999998</c:v>
                </c:pt>
                <c:pt idx="8">
                  <c:v>0.23136100000000004</c:v>
                </c:pt>
                <c:pt idx="9">
                  <c:v>0.24502499999999999</c:v>
                </c:pt>
                <c:pt idx="10">
                  <c:v>0.255025</c:v>
                </c:pt>
                <c:pt idx="11">
                  <c:v>0.27040000000000003</c:v>
                </c:pt>
              </c:numCache>
            </c:numRef>
          </c:xVal>
          <c:yVal>
            <c:numRef>
              <c:f>'Barra #1'!$BN$47:$BN$58</c:f>
              <c:numCache>
                <c:formatCode>0.0000</c:formatCode>
                <c:ptCount val="12"/>
                <c:pt idx="0">
                  <c:v>2.3580586299750399E-2</c:v>
                </c:pt>
                <c:pt idx="1">
                  <c:v>6.2211673763390776E-2</c:v>
                </c:pt>
                <c:pt idx="2">
                  <c:v>8.4354977737286313E-2</c:v>
                </c:pt>
                <c:pt idx="3">
                  <c:v>0.10225080690465327</c:v>
                </c:pt>
                <c:pt idx="4">
                  <c:v>0.11381997779376439</c:v>
                </c:pt>
                <c:pt idx="5">
                  <c:v>0.13021582459938519</c:v>
                </c:pt>
                <c:pt idx="6">
                  <c:v>0.14134157778891365</c:v>
                </c:pt>
                <c:pt idx="7">
                  <c:v>0.1522700207102067</c:v>
                </c:pt>
                <c:pt idx="8">
                  <c:v>0.16428685253047545</c:v>
                </c:pt>
                <c:pt idx="9">
                  <c:v>0.17395010523716983</c:v>
                </c:pt>
                <c:pt idx="10">
                  <c:v>0.18102215786209255</c:v>
                </c:pt>
                <c:pt idx="11">
                  <c:v>0.19189543877291126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85ED-4EB8-B575-E24FB8048B65}"/>
            </c:ext>
          </c:extLst>
        </c:ser>
        <c:ser>
          <c:idx val="0"/>
          <c:order val="4"/>
          <c:tx>
            <c:v>i=151 - Fórmula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#1'!$G$49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#1'!$G$49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#1'!$I$49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#1'!$I$49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#1'!$BD$47:$BD$58</c:f>
              <c:numCache>
                <c:formatCode>0.00</c:formatCode>
                <c:ptCount val="12"/>
                <c:pt idx="0">
                  <c:v>3.2399999999999998E-2</c:v>
                </c:pt>
                <c:pt idx="1">
                  <c:v>8.7024999999999991E-2</c:v>
                </c:pt>
                <c:pt idx="2">
                  <c:v>0.11833599999999998</c:v>
                </c:pt>
                <c:pt idx="3">
                  <c:v>0.14364099999999999</c:v>
                </c:pt>
                <c:pt idx="4">
                  <c:v>0.16000000000000003</c:v>
                </c:pt>
                <c:pt idx="5">
                  <c:v>0.18318399999999999</c:v>
                </c:pt>
                <c:pt idx="6">
                  <c:v>0.19891600000000001</c:v>
                </c:pt>
                <c:pt idx="7">
                  <c:v>0.21436899999999998</c:v>
                </c:pt>
                <c:pt idx="8">
                  <c:v>0.23136100000000004</c:v>
                </c:pt>
                <c:pt idx="9">
                  <c:v>0.24502499999999999</c:v>
                </c:pt>
                <c:pt idx="10">
                  <c:v>0.255025</c:v>
                </c:pt>
                <c:pt idx="11">
                  <c:v>0.27040000000000003</c:v>
                </c:pt>
              </c:numCache>
            </c:numRef>
          </c:xVal>
          <c:yVal>
            <c:numRef>
              <c:f>'Barra #1'!$BR$47:$BR$58</c:f>
              <c:numCache>
                <c:formatCode>0.00000</c:formatCode>
                <c:ptCount val="12"/>
                <c:pt idx="0">
                  <c:v>2.3695553014209909E-2</c:v>
                </c:pt>
                <c:pt idx="1">
                  <c:v>6.2441671636625395E-2</c:v>
                </c:pt>
                <c:pt idx="2">
                  <c:v>8.4650911365439147E-2</c:v>
                </c:pt>
                <c:pt idx="3">
                  <c:v>0.10260002865130138</c:v>
                </c:pt>
                <c:pt idx="4">
                  <c:v>0.11420364887178827</c:v>
                </c:pt>
                <c:pt idx="5">
                  <c:v>0.13064831732290186</c:v>
                </c:pt>
                <c:pt idx="6">
                  <c:v>0.14180719948615753</c:v>
                </c:pt>
                <c:pt idx="7">
                  <c:v>0.15276818385361171</c:v>
                </c:pt>
                <c:pt idx="8">
                  <c:v>0.16482079799790622</c:v>
                </c:pt>
                <c:pt idx="9">
                  <c:v>0.17451282481450453</c:v>
                </c:pt>
                <c:pt idx="10">
                  <c:v>0.18160593577512979</c:v>
                </c:pt>
                <c:pt idx="11">
                  <c:v>0.19251159387709116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85ED-4EB8-B575-E24FB8048B65}"/>
            </c:ext>
          </c:extLst>
        </c:ser>
        <c:ser>
          <c:idx val="1"/>
          <c:order val="5"/>
          <c:tx>
            <c:v>Ajuste Linear</c:v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'Barra #1'!$BD$47:$BD$58</c:f>
              <c:numCache>
                <c:formatCode>0.00</c:formatCode>
                <c:ptCount val="12"/>
                <c:pt idx="0">
                  <c:v>3.2399999999999998E-2</c:v>
                </c:pt>
                <c:pt idx="1">
                  <c:v>8.7024999999999991E-2</c:v>
                </c:pt>
                <c:pt idx="2">
                  <c:v>0.11833599999999998</c:v>
                </c:pt>
                <c:pt idx="3">
                  <c:v>0.14364099999999999</c:v>
                </c:pt>
                <c:pt idx="4">
                  <c:v>0.16000000000000003</c:v>
                </c:pt>
                <c:pt idx="5">
                  <c:v>0.18318399999999999</c:v>
                </c:pt>
                <c:pt idx="6">
                  <c:v>0.19891600000000001</c:v>
                </c:pt>
                <c:pt idx="7">
                  <c:v>0.21436899999999998</c:v>
                </c:pt>
                <c:pt idx="8">
                  <c:v>0.23136100000000004</c:v>
                </c:pt>
                <c:pt idx="9">
                  <c:v>0.24502499999999999</c:v>
                </c:pt>
                <c:pt idx="10">
                  <c:v>0.255025</c:v>
                </c:pt>
                <c:pt idx="11">
                  <c:v>0.27040000000000003</c:v>
                </c:pt>
              </c:numCache>
            </c:numRef>
          </c:xVal>
          <c:yVal>
            <c:numRef>
              <c:f>'Barra #1'!$BR$47:$BR$58</c:f>
              <c:numCache>
                <c:formatCode>0.00000</c:formatCode>
                <c:ptCount val="12"/>
                <c:pt idx="0">
                  <c:v>2.3695553014209909E-2</c:v>
                </c:pt>
                <c:pt idx="1">
                  <c:v>6.2441671636625395E-2</c:v>
                </c:pt>
                <c:pt idx="2">
                  <c:v>8.4650911365439147E-2</c:v>
                </c:pt>
                <c:pt idx="3">
                  <c:v>0.10260002865130138</c:v>
                </c:pt>
                <c:pt idx="4">
                  <c:v>0.11420364887178827</c:v>
                </c:pt>
                <c:pt idx="5">
                  <c:v>0.13064831732290186</c:v>
                </c:pt>
                <c:pt idx="6">
                  <c:v>0.14180719948615753</c:v>
                </c:pt>
                <c:pt idx="7">
                  <c:v>0.15276818385361171</c:v>
                </c:pt>
                <c:pt idx="8">
                  <c:v>0.16482079799790622</c:v>
                </c:pt>
                <c:pt idx="9">
                  <c:v>0.17451282481450453</c:v>
                </c:pt>
                <c:pt idx="10">
                  <c:v>0.18160593577512979</c:v>
                </c:pt>
                <c:pt idx="11">
                  <c:v>0.19251159387709116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85ED-4EB8-B575-E24FB8048B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0309171880539734"/>
          <c:y val="0.52190961854827389"/>
          <c:w val="0.2540912815288881"/>
          <c:h val="0.29984848640310824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da sobreposição</a:t>
            </a:r>
            <a:r>
              <a:rPr lang="en-US" sz="1600" baseline="0"/>
              <a:t> dos gráficos de ajuste usando a </a:t>
            </a:r>
            <a:r>
              <a:rPr lang="en-US" sz="1600"/>
              <a:t>Fórmula 2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431089743589743"/>
          <c:y val="0.23391501671603526"/>
          <c:w val="0.80779935897435895"/>
          <c:h val="0.61488333419944918"/>
        </c:manualLayout>
      </c:layout>
      <c:scatterChart>
        <c:scatterStyle val="lineMarker"/>
        <c:varyColors val="0"/>
        <c:ser>
          <c:idx val="0"/>
          <c:order val="0"/>
          <c:tx>
            <c:v>res 51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#1'!$G$49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#1'!$G$49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#1'!$BG$47:$BG$58</c:f>
                <c:numCache>
                  <c:formatCode>General</c:formatCode>
                  <c:ptCount val="12"/>
                  <c:pt idx="0">
                    <c:v>2.8284271247461902E-4</c:v>
                  </c:pt>
                  <c:pt idx="1">
                    <c:v>2.8284271247461902E-4</c:v>
                  </c:pt>
                  <c:pt idx="2">
                    <c:v>2.8284271247461902E-4</c:v>
                  </c:pt>
                  <c:pt idx="3">
                    <c:v>2.8284271247461902E-4</c:v>
                  </c:pt>
                  <c:pt idx="4">
                    <c:v>2.8284271247461902E-4</c:v>
                  </c:pt>
                  <c:pt idx="5">
                    <c:v>2.8284271247461902E-4</c:v>
                  </c:pt>
                  <c:pt idx="6">
                    <c:v>2.8284271247461902E-4</c:v>
                  </c:pt>
                  <c:pt idx="7">
                    <c:v>2.8284271247461902E-4</c:v>
                  </c:pt>
                  <c:pt idx="8">
                    <c:v>2.8284271247461902E-4</c:v>
                  </c:pt>
                  <c:pt idx="9">
                    <c:v>2.8284271247461902E-4</c:v>
                  </c:pt>
                  <c:pt idx="10">
                    <c:v>2.8284271247461902E-4</c:v>
                  </c:pt>
                  <c:pt idx="11">
                    <c:v>2.8284271247461902E-4</c:v>
                  </c:pt>
                </c:numCache>
              </c:numRef>
            </c:plus>
            <c:minus>
              <c:numRef>
                <c:f>'Barra #1'!$BG$47:$BG$58</c:f>
                <c:numCache>
                  <c:formatCode>General</c:formatCode>
                  <c:ptCount val="12"/>
                  <c:pt idx="0">
                    <c:v>2.8284271247461902E-4</c:v>
                  </c:pt>
                  <c:pt idx="1">
                    <c:v>2.8284271247461902E-4</c:v>
                  </c:pt>
                  <c:pt idx="2">
                    <c:v>2.8284271247461902E-4</c:v>
                  </c:pt>
                  <c:pt idx="3">
                    <c:v>2.8284271247461902E-4</c:v>
                  </c:pt>
                  <c:pt idx="4">
                    <c:v>2.8284271247461902E-4</c:v>
                  </c:pt>
                  <c:pt idx="5">
                    <c:v>2.8284271247461902E-4</c:v>
                  </c:pt>
                  <c:pt idx="6">
                    <c:v>2.8284271247461902E-4</c:v>
                  </c:pt>
                  <c:pt idx="7">
                    <c:v>2.8284271247461902E-4</c:v>
                  </c:pt>
                  <c:pt idx="8">
                    <c:v>2.8284271247461902E-4</c:v>
                  </c:pt>
                  <c:pt idx="9">
                    <c:v>2.8284271247461902E-4</c:v>
                  </c:pt>
                  <c:pt idx="10">
                    <c:v>2.8284271247461902E-4</c:v>
                  </c:pt>
                  <c:pt idx="11">
                    <c:v>2.8284271247461902E-4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#1'!$BK$110:$BK$120</c:f>
              <c:numCache>
                <c:formatCode>General</c:formatCode>
                <c:ptCount val="11"/>
                <c:pt idx="0">
                  <c:v>3.2399999999999998E-2</c:v>
                </c:pt>
                <c:pt idx="1">
                  <c:v>8.7024999999999991E-2</c:v>
                </c:pt>
                <c:pt idx="2">
                  <c:v>0.11833599999999998</c:v>
                </c:pt>
                <c:pt idx="3">
                  <c:v>0.16000000000000003</c:v>
                </c:pt>
                <c:pt idx="4">
                  <c:v>0.18318399999999999</c:v>
                </c:pt>
                <c:pt idx="5">
                  <c:v>0.19891600000000001</c:v>
                </c:pt>
                <c:pt idx="6">
                  <c:v>0.21436899999999998</c:v>
                </c:pt>
                <c:pt idx="7">
                  <c:v>0.23136100000000004</c:v>
                </c:pt>
                <c:pt idx="8">
                  <c:v>0.24502499999999999</c:v>
                </c:pt>
                <c:pt idx="9">
                  <c:v>0.255025</c:v>
                </c:pt>
                <c:pt idx="10">
                  <c:v>0.27040000000000003</c:v>
                </c:pt>
              </c:numCache>
            </c:numRef>
          </c:xVal>
          <c:yVal>
            <c:numRef>
              <c:f>'Barra #1'!$BN$110:$BN$120</c:f>
              <c:numCache>
                <c:formatCode>General</c:formatCode>
                <c:ptCount val="11"/>
                <c:pt idx="0">
                  <c:v>-6.5828129622053089E-4</c:v>
                </c:pt>
                <c:pt idx="1">
                  <c:v>-1.1111864093734589E-3</c:v>
                </c:pt>
                <c:pt idx="2">
                  <c:v>-7.230767891982931E-4</c:v>
                </c:pt>
                <c:pt idx="3">
                  <c:v>-1.470811577915232E-4</c:v>
                </c:pt>
                <c:pt idx="4">
                  <c:v>-9.7535201605436495E-5</c:v>
                </c:pt>
                <c:pt idx="5">
                  <c:v>-1.2567718741935408E-3</c:v>
                </c:pt>
                <c:pt idx="6">
                  <c:v>-6.2165137467043441E-4</c:v>
                </c:pt>
                <c:pt idx="7">
                  <c:v>-5.8630114857100013E-5</c:v>
                </c:pt>
                <c:pt idx="8">
                  <c:v>6.2274479651827641E-4</c:v>
                </c:pt>
                <c:pt idx="9">
                  <c:v>-5.43462089184793E-4</c:v>
                </c:pt>
                <c:pt idx="10">
                  <c:v>-2.5400517595325356E-4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853-47DE-8B51-CC751FAEA8D6}"/>
            </c:ext>
          </c:extLst>
        </c:ser>
        <c:ser>
          <c:idx val="2"/>
          <c:order val="1"/>
          <c:tx>
            <c:v>res 101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#1'!$G$49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#1'!$G$49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#1'!$BM$47:$BM$58</c:f>
                <c:numCache>
                  <c:formatCode>General</c:formatCode>
                  <c:ptCount val="12"/>
                  <c:pt idx="0">
                    <c:v>1.4142135623730951E-4</c:v>
                  </c:pt>
                  <c:pt idx="1">
                    <c:v>1.4142135623730951E-4</c:v>
                  </c:pt>
                  <c:pt idx="2">
                    <c:v>1.4142135623730951E-4</c:v>
                  </c:pt>
                  <c:pt idx="3">
                    <c:v>1.4142135623730951E-4</c:v>
                  </c:pt>
                  <c:pt idx="4">
                    <c:v>1.4142135623730951E-4</c:v>
                  </c:pt>
                  <c:pt idx="5">
                    <c:v>1.4142135623730951E-4</c:v>
                  </c:pt>
                  <c:pt idx="6">
                    <c:v>1.4142135623730951E-4</c:v>
                  </c:pt>
                  <c:pt idx="7">
                    <c:v>1.4142135623730951E-4</c:v>
                  </c:pt>
                  <c:pt idx="8">
                    <c:v>1.4142135623730951E-4</c:v>
                  </c:pt>
                  <c:pt idx="9">
                    <c:v>1.4142135623730951E-4</c:v>
                  </c:pt>
                  <c:pt idx="10">
                    <c:v>1.4142135623730951E-4</c:v>
                  </c:pt>
                  <c:pt idx="11">
                    <c:v>1.4142135623730951E-4</c:v>
                  </c:pt>
                </c:numCache>
              </c:numRef>
            </c:plus>
            <c:minus>
              <c:numRef>
                <c:f>'Barra #1'!$BM$47:$BM$58</c:f>
                <c:numCache>
                  <c:formatCode>General</c:formatCode>
                  <c:ptCount val="12"/>
                  <c:pt idx="0">
                    <c:v>1.4142135623730951E-4</c:v>
                  </c:pt>
                  <c:pt idx="1">
                    <c:v>1.4142135623730951E-4</c:v>
                  </c:pt>
                  <c:pt idx="2">
                    <c:v>1.4142135623730951E-4</c:v>
                  </c:pt>
                  <c:pt idx="3">
                    <c:v>1.4142135623730951E-4</c:v>
                  </c:pt>
                  <c:pt idx="4">
                    <c:v>1.4142135623730951E-4</c:v>
                  </c:pt>
                  <c:pt idx="5">
                    <c:v>1.4142135623730951E-4</c:v>
                  </c:pt>
                  <c:pt idx="6">
                    <c:v>1.4142135623730951E-4</c:v>
                  </c:pt>
                  <c:pt idx="7">
                    <c:v>1.4142135623730951E-4</c:v>
                  </c:pt>
                  <c:pt idx="8">
                    <c:v>1.4142135623730951E-4</c:v>
                  </c:pt>
                  <c:pt idx="9">
                    <c:v>1.4142135623730951E-4</c:v>
                  </c:pt>
                  <c:pt idx="10">
                    <c:v>1.4142135623730951E-4</c:v>
                  </c:pt>
                  <c:pt idx="11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#1'!$BD$47:$BD$58</c:f>
              <c:numCache>
                <c:formatCode>0.00</c:formatCode>
                <c:ptCount val="12"/>
                <c:pt idx="0">
                  <c:v>3.2399999999999998E-2</c:v>
                </c:pt>
                <c:pt idx="1">
                  <c:v>8.7024999999999991E-2</c:v>
                </c:pt>
                <c:pt idx="2">
                  <c:v>0.11833599999999998</c:v>
                </c:pt>
                <c:pt idx="3">
                  <c:v>0.14364099999999999</c:v>
                </c:pt>
                <c:pt idx="4">
                  <c:v>0.16000000000000003</c:v>
                </c:pt>
                <c:pt idx="5">
                  <c:v>0.18318399999999999</c:v>
                </c:pt>
                <c:pt idx="6">
                  <c:v>0.19891600000000001</c:v>
                </c:pt>
                <c:pt idx="7">
                  <c:v>0.21436899999999998</c:v>
                </c:pt>
                <c:pt idx="8">
                  <c:v>0.23136100000000004</c:v>
                </c:pt>
                <c:pt idx="9">
                  <c:v>0.24502499999999999</c:v>
                </c:pt>
                <c:pt idx="10">
                  <c:v>0.255025</c:v>
                </c:pt>
                <c:pt idx="11">
                  <c:v>0.27040000000000003</c:v>
                </c:pt>
              </c:numCache>
            </c:numRef>
          </c:xVal>
          <c:yVal>
            <c:numRef>
              <c:f>'Barra #1'!$BO$47:$BO$58</c:f>
              <c:numCache>
                <c:formatCode>0.0000</c:formatCode>
                <c:ptCount val="12"/>
                <c:pt idx="0">
                  <c:v>-8.058629975039866E-5</c:v>
                </c:pt>
                <c:pt idx="1">
                  <c:v>-2.116737633907767E-4</c:v>
                </c:pt>
                <c:pt idx="2">
                  <c:v>4.5022262713675931E-5</c:v>
                </c:pt>
                <c:pt idx="3">
                  <c:v>1.491930953467363E-4</c:v>
                </c:pt>
                <c:pt idx="4">
                  <c:v>5.800222062356114E-4</c:v>
                </c:pt>
                <c:pt idx="5">
                  <c:v>3.8417540061480571E-4</c:v>
                </c:pt>
                <c:pt idx="6">
                  <c:v>-8.4157778891363888E-4</c:v>
                </c:pt>
                <c:pt idx="7">
                  <c:v>-3.7002071020672544E-4</c:v>
                </c:pt>
                <c:pt idx="8">
                  <c:v>1.314746952454926E-5</c:v>
                </c:pt>
                <c:pt idx="9">
                  <c:v>8.4989476283017784E-4</c:v>
                </c:pt>
                <c:pt idx="10">
                  <c:v>-4.2215786209257034E-4</c:v>
                </c:pt>
                <c:pt idx="11">
                  <c:v>-9.5438772911266012E-5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853-47DE-8B51-CC751FAEA8D6}"/>
            </c:ext>
          </c:extLst>
        </c:ser>
        <c:ser>
          <c:idx val="1"/>
          <c:order val="2"/>
          <c:tx>
            <c:v>res 151</c:v>
          </c:tx>
          <c:spPr>
            <a:ln w="25400">
              <a:noFill/>
            </a:ln>
          </c:spPr>
          <c:marker>
            <c:symbol val="circle"/>
            <c:size val="3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#1'!$G$49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#1'!$G$49</c:f>
                <c:numCache>
                  <c:formatCode>General</c:formatCode>
                  <c:ptCount val="1"/>
                </c:numCache>
              </c:numRef>
            </c:minus>
          </c:errBars>
          <c:errBars>
            <c:errDir val="y"/>
            <c:errBarType val="both"/>
            <c:errValType val="cust"/>
            <c:noEndCap val="0"/>
            <c:plus>
              <c:numRef>
                <c:f>'Barra #1'!$BQ$47:$BQ$58</c:f>
                <c:numCache>
                  <c:formatCode>General</c:formatCode>
                  <c:ptCount val="12"/>
                  <c:pt idx="0">
                    <c:v>9.4280904158206352E-5</c:v>
                  </c:pt>
                  <c:pt idx="1">
                    <c:v>9.4280904158206352E-5</c:v>
                  </c:pt>
                  <c:pt idx="2">
                    <c:v>9.4280904158206352E-5</c:v>
                  </c:pt>
                  <c:pt idx="3">
                    <c:v>9.4280904158206352E-5</c:v>
                  </c:pt>
                  <c:pt idx="4">
                    <c:v>9.4280904158206352E-5</c:v>
                  </c:pt>
                  <c:pt idx="5">
                    <c:v>9.4280904158206352E-5</c:v>
                  </c:pt>
                  <c:pt idx="6">
                    <c:v>9.4280904158206352E-5</c:v>
                  </c:pt>
                  <c:pt idx="7">
                    <c:v>9.4280904158206352E-5</c:v>
                  </c:pt>
                  <c:pt idx="8">
                    <c:v>9.4280904158206352E-5</c:v>
                  </c:pt>
                  <c:pt idx="9">
                    <c:v>9.4280904158206352E-5</c:v>
                  </c:pt>
                  <c:pt idx="10">
                    <c:v>9.4280904158206352E-5</c:v>
                  </c:pt>
                  <c:pt idx="11">
                    <c:v>9.4280904158206352E-5</c:v>
                  </c:pt>
                </c:numCache>
              </c:numRef>
            </c:plus>
            <c:minus>
              <c:numRef>
                <c:f>'Barra #1'!$BQ$47:$BQ$58</c:f>
                <c:numCache>
                  <c:formatCode>General</c:formatCode>
                  <c:ptCount val="12"/>
                  <c:pt idx="0">
                    <c:v>9.4280904158206352E-5</c:v>
                  </c:pt>
                  <c:pt idx="1">
                    <c:v>9.4280904158206352E-5</c:v>
                  </c:pt>
                  <c:pt idx="2">
                    <c:v>9.4280904158206352E-5</c:v>
                  </c:pt>
                  <c:pt idx="3">
                    <c:v>9.4280904158206352E-5</c:v>
                  </c:pt>
                  <c:pt idx="4">
                    <c:v>9.4280904158206352E-5</c:v>
                  </c:pt>
                  <c:pt idx="5">
                    <c:v>9.4280904158206352E-5</c:v>
                  </c:pt>
                  <c:pt idx="6">
                    <c:v>9.4280904158206352E-5</c:v>
                  </c:pt>
                  <c:pt idx="7">
                    <c:v>9.4280904158206352E-5</c:v>
                  </c:pt>
                  <c:pt idx="8">
                    <c:v>9.4280904158206352E-5</c:v>
                  </c:pt>
                  <c:pt idx="9">
                    <c:v>9.4280904158206352E-5</c:v>
                  </c:pt>
                  <c:pt idx="10">
                    <c:v>9.4280904158206352E-5</c:v>
                  </c:pt>
                  <c:pt idx="11">
                    <c:v>9.4280904158206352E-5</c:v>
                  </c:pt>
                </c:numCache>
              </c:numRef>
            </c:minus>
          </c:errBars>
          <c:xVal>
            <c:numRef>
              <c:f>'Barra #1'!$BD$47:$BD$58</c:f>
              <c:numCache>
                <c:formatCode>0.00</c:formatCode>
                <c:ptCount val="12"/>
                <c:pt idx="0">
                  <c:v>3.2399999999999998E-2</c:v>
                </c:pt>
                <c:pt idx="1">
                  <c:v>8.7024999999999991E-2</c:v>
                </c:pt>
                <c:pt idx="2">
                  <c:v>0.11833599999999998</c:v>
                </c:pt>
                <c:pt idx="3">
                  <c:v>0.14364099999999999</c:v>
                </c:pt>
                <c:pt idx="4">
                  <c:v>0.16000000000000003</c:v>
                </c:pt>
                <c:pt idx="5">
                  <c:v>0.18318399999999999</c:v>
                </c:pt>
                <c:pt idx="6">
                  <c:v>0.19891600000000001</c:v>
                </c:pt>
                <c:pt idx="7">
                  <c:v>0.21436899999999998</c:v>
                </c:pt>
                <c:pt idx="8">
                  <c:v>0.23136100000000004</c:v>
                </c:pt>
                <c:pt idx="9">
                  <c:v>0.24502499999999999</c:v>
                </c:pt>
                <c:pt idx="10">
                  <c:v>0.255025</c:v>
                </c:pt>
                <c:pt idx="11">
                  <c:v>0.27040000000000003</c:v>
                </c:pt>
              </c:numCache>
            </c:numRef>
          </c:xVal>
          <c:yVal>
            <c:numRef>
              <c:f>'Barra #1'!$BS$47:$BS$58</c:f>
              <c:numCache>
                <c:formatCode>0.00000</c:formatCode>
                <c:ptCount val="12"/>
                <c:pt idx="0">
                  <c:v>-2.8886347543242985E-5</c:v>
                </c:pt>
                <c:pt idx="1">
                  <c:v>-1.0833830329206456E-4</c:v>
                </c:pt>
                <c:pt idx="2">
                  <c:v>1.5755301227521334E-5</c:v>
                </c:pt>
                <c:pt idx="3">
                  <c:v>6.6638015365286241E-5</c:v>
                </c:pt>
                <c:pt idx="4">
                  <c:v>5.2968446154505466E-4</c:v>
                </c:pt>
                <c:pt idx="5">
                  <c:v>1.5168267709814165E-4</c:v>
                </c:pt>
                <c:pt idx="6">
                  <c:v>-6.7386615282419293E-4</c:v>
                </c:pt>
                <c:pt idx="7">
                  <c:v>-4.3485052027839033E-4</c:v>
                </c:pt>
                <c:pt idx="8">
                  <c:v>4.5868668760440379E-5</c:v>
                </c:pt>
                <c:pt idx="9">
                  <c:v>7.5384185216215149E-4</c:v>
                </c:pt>
                <c:pt idx="10">
                  <c:v>-2.726024417964712E-4</c:v>
                </c:pt>
                <c:pt idx="11">
                  <c:v>-4.4927210424483555E-5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853-47DE-8B51-CC751FAEA8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- </a:t>
                </a:r>
                <a:r>
                  <a:rPr lang="en-US" sz="1400" b="0" i="0" u="none" strike="noStrike" baseline="0">
                    <a:effectLst/>
                  </a:rPr>
                  <a:t>T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,##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 Gráfico</a:t>
            </a:r>
            <a:r>
              <a:rPr lang="en-US" sz="1600" baseline="0"/>
              <a:t> dos 3 conjuntos de impulsos - Fórmula 1</a:t>
            </a:r>
            <a:endParaRPr lang="en-US" sz="1600"/>
          </a:p>
        </c:rich>
      </c:tx>
      <c:layout>
        <c:manualLayout>
          <c:xMode val="edge"/>
          <c:yMode val="edge"/>
          <c:x val="0.15293676959075561"/>
          <c:y val="3.0355138042465781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2076538194444445"/>
          <c:w val="0.82136773504273508"/>
          <c:h val="0.62350555555555565"/>
        </c:manualLayout>
      </c:layout>
      <c:scatterChart>
        <c:scatterStyle val="lineMarker"/>
        <c:varyColors val="0"/>
        <c:ser>
          <c:idx val="2"/>
          <c:order val="0"/>
          <c:tx>
            <c:v>i=51</c:v>
          </c:tx>
          <c:spPr>
            <a:ln w="25400">
              <a:noFill/>
            </a:ln>
          </c:spPr>
          <c:marker>
            <c:symbol val="circ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#1'!$G$49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#1'!$G$49</c:f>
                <c:numCache>
                  <c:formatCode>General</c:formatCode>
                  <c:ptCount val="1"/>
                </c:numCache>
              </c:numRef>
            </c:minus>
          </c:errBars>
          <c:errBars>
            <c:errDir val="y"/>
            <c:errBarType val="both"/>
            <c:errValType val="cust"/>
            <c:noEndCap val="0"/>
            <c:plus>
              <c:numRef>
                <c:f>'Barra #1'!$I$49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#1'!$I$49</c:f>
                <c:numCache>
                  <c:formatCode>General</c:formatCode>
                  <c:ptCount val="1"/>
                </c:numCache>
              </c:numRef>
            </c:minus>
          </c:errBars>
          <c:xVal>
            <c:numRef>
              <c:f>'Barra #1'!$N$53:$N$63</c:f>
              <c:numCache>
                <c:formatCode>General</c:formatCode>
                <c:ptCount val="11"/>
                <c:pt idx="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>
                  <c:v>2.5600000000000012E-2</c:v>
                </c:pt>
                <c:pt idx="4">
                  <c:v>3.3556377855999991E-2</c:v>
                </c:pt>
                <c:pt idx="5">
                  <c:v>3.9567575056000004E-2</c:v>
                </c:pt>
                <c:pt idx="6">
                  <c:v>4.5954068160999992E-2</c:v>
                </c:pt>
                <c:pt idx="7">
                  <c:v>5.3527912321000015E-2</c:v>
                </c:pt>
                <c:pt idx="8">
                  <c:v>6.0037250624999997E-2</c:v>
                </c:pt>
                <c:pt idx="9">
                  <c:v>6.5037750625000001E-2</c:v>
                </c:pt>
                <c:pt idx="10">
                  <c:v>7.3116160000000013E-2</c:v>
                </c:pt>
              </c:numCache>
            </c:numRef>
          </c:xVal>
          <c:yVal>
            <c:numRef>
              <c:f>'Barra #1'!$O$53:$O$63</c:f>
              <c:numCache>
                <c:formatCode>General</c:formatCode>
                <c:ptCount val="11"/>
                <c:pt idx="0">
                  <c:v>5.6644000000000009E-4</c:v>
                </c:pt>
                <c:pt idx="1">
                  <c:v>3.7699600000000006E-3</c:v>
                </c:pt>
                <c:pt idx="2">
                  <c:v>6.9889599999999989E-3</c:v>
                </c:pt>
                <c:pt idx="3">
                  <c:v>1.2814240000000003E-2</c:v>
                </c:pt>
                <c:pt idx="4">
                  <c:v>1.6744360000000003E-2</c:v>
                </c:pt>
                <c:pt idx="5">
                  <c:v>1.9376639999999997E-2</c:v>
                </c:pt>
                <c:pt idx="6">
                  <c:v>2.2680359999999997E-2</c:v>
                </c:pt>
                <c:pt idx="7">
                  <c:v>2.6569000000000002E-2</c:v>
                </c:pt>
                <c:pt idx="8">
                  <c:v>2.9998239999999999E-2</c:v>
                </c:pt>
                <c:pt idx="9">
                  <c:v>3.2041E-2</c:v>
                </c:pt>
                <c:pt idx="10">
                  <c:v>3.61E-2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D595-4E4B-8EED-97A632BAB229}"/>
            </c:ext>
          </c:extLst>
        </c:ser>
        <c:ser>
          <c:idx val="5"/>
          <c:order val="1"/>
          <c:tx>
            <c:v>i=101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#1'!$G$49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#1'!$G$49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#1'!$I$49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#1'!$I$49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#1'!$D$37:$D$48</c:f>
              <c:numCache>
                <c:formatCode>0.0000000E+00</c:formatCode>
                <c:ptCount val="12"/>
                <c:pt idx="0" formatCode="0.00000000E+0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 formatCode="0.000000E+00">
                  <c:v>2.0632736880999997E-2</c:v>
                </c:pt>
                <c:pt idx="4" formatCode="0.000000E+00">
                  <c:v>2.5600000000000012E-2</c:v>
                </c:pt>
                <c:pt idx="5" formatCode="0.000000E+00">
                  <c:v>3.3556377855999991E-2</c:v>
                </c:pt>
                <c:pt idx="6" formatCode="0.00000E+00">
                  <c:v>3.9567575056000004E-2</c:v>
                </c:pt>
                <c:pt idx="7" formatCode="0.00000E+00">
                  <c:v>4.5954068160999992E-2</c:v>
                </c:pt>
                <c:pt idx="8" formatCode="0.00000E+00">
                  <c:v>5.3527912321000015E-2</c:v>
                </c:pt>
                <c:pt idx="9" formatCode="0.00000E+00">
                  <c:v>6.0037250624999997E-2</c:v>
                </c:pt>
                <c:pt idx="10" formatCode="0.00000E+00">
                  <c:v>6.5037750625000001E-2</c:v>
                </c:pt>
                <c:pt idx="11" formatCode="0.00000E+00">
                  <c:v>7.3116160000000013E-2</c:v>
                </c:pt>
              </c:numCache>
            </c:numRef>
          </c:xVal>
          <c:yVal>
            <c:numRef>
              <c:f>'Barra #1'!$L$37:$L$48</c:f>
              <c:numCache>
                <c:formatCode>0.00000</c:formatCode>
                <c:ptCount val="12"/>
                <c:pt idx="0">
                  <c:v>5.5225000000000001E-4</c:v>
                </c:pt>
                <c:pt idx="1">
                  <c:v>3.8439999999999998E-3</c:v>
                </c:pt>
                <c:pt idx="2">
                  <c:v>7.1233599999999979E-3</c:v>
                </c:pt>
                <c:pt idx="3">
                  <c:v>1.048576E-2</c:v>
                </c:pt>
                <c:pt idx="4">
                  <c:v>1.3087360000000001E-2</c:v>
                </c:pt>
                <c:pt idx="5">
                  <c:v>1.705636E-2</c:v>
                </c:pt>
                <c:pt idx="6">
                  <c:v>1.9740250000000004E-2</c:v>
                </c:pt>
                <c:pt idx="7">
                  <c:v>2.3073609999999994E-2</c:v>
                </c:pt>
                <c:pt idx="8">
                  <c:v>2.6994489999999999E-2</c:v>
                </c:pt>
                <c:pt idx="9">
                  <c:v>3.0555040000000006E-2</c:v>
                </c:pt>
                <c:pt idx="10">
                  <c:v>3.2616359999999997E-2</c:v>
                </c:pt>
                <c:pt idx="11">
                  <c:v>3.6787239999999999E-2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D595-4E4B-8EED-97A632BAB229}"/>
            </c:ext>
          </c:extLst>
        </c:ser>
        <c:ser>
          <c:idx val="0"/>
          <c:order val="2"/>
          <c:tx>
            <c:v>i=151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6">
                  <a:alpha val="95000"/>
                </a:schemeClr>
              </a:solidFill>
              <a:ln w="9525">
                <a:solidFill>
                  <a:schemeClr val="accent6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#1'!$G$49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#1'!$G$49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#1'!$I$49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#1'!$I$49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#1'!$D$37:$D$48</c:f>
              <c:numCache>
                <c:formatCode>0.0000000E+00</c:formatCode>
                <c:ptCount val="12"/>
                <c:pt idx="0" formatCode="0.00000000E+0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 formatCode="0.000000E+00">
                  <c:v>2.0632736880999997E-2</c:v>
                </c:pt>
                <c:pt idx="4" formatCode="0.000000E+00">
                  <c:v>2.5600000000000012E-2</c:v>
                </c:pt>
                <c:pt idx="5" formatCode="0.000000E+00">
                  <c:v>3.3556377855999991E-2</c:v>
                </c:pt>
                <c:pt idx="6" formatCode="0.00000E+00">
                  <c:v>3.9567575056000004E-2</c:v>
                </c:pt>
                <c:pt idx="7" formatCode="0.00000E+00">
                  <c:v>4.5954068160999992E-2</c:v>
                </c:pt>
                <c:pt idx="8" formatCode="0.00000E+00">
                  <c:v>5.3527912321000015E-2</c:v>
                </c:pt>
                <c:pt idx="9" formatCode="0.00000E+00">
                  <c:v>6.0037250624999997E-2</c:v>
                </c:pt>
                <c:pt idx="10" formatCode="0.00000E+00">
                  <c:v>6.5037750625000001E-2</c:v>
                </c:pt>
                <c:pt idx="11" formatCode="0.00000E+00">
                  <c:v>7.3116160000000013E-2</c:v>
                </c:pt>
              </c:numCache>
            </c:numRef>
          </c:xVal>
          <c:yVal>
            <c:numRef>
              <c:f>'Barra #1'!$P$37:$P$48</c:f>
              <c:numCache>
                <c:formatCode>0.00000</c:formatCode>
                <c:ptCount val="12"/>
                <c:pt idx="0" formatCode="0.000000">
                  <c:v>5.6011111111111105E-4</c:v>
                </c:pt>
                <c:pt idx="1">
                  <c:v>3.885444444444444E-3</c:v>
                </c:pt>
                <c:pt idx="2">
                  <c:v>7.1684444444444443E-3</c:v>
                </c:pt>
                <c:pt idx="3">
                  <c:v>1.0540444444444444E-2</c:v>
                </c:pt>
                <c:pt idx="4">
                  <c:v>1.3163737777777776E-2</c:v>
                </c:pt>
                <c:pt idx="5">
                  <c:v>1.7108640000000001E-2</c:v>
                </c:pt>
                <c:pt idx="6">
                  <c:v>1.9918617777777779E-2</c:v>
                </c:pt>
                <c:pt idx="7">
                  <c:v>2.3205444444444442E-2</c:v>
                </c:pt>
                <c:pt idx="8">
                  <c:v>2.7181017777777775E-2</c:v>
                </c:pt>
                <c:pt idx="9">
                  <c:v>3.0718404444444451E-2</c:v>
                </c:pt>
                <c:pt idx="10">
                  <c:v>3.2881777777777774E-2</c:v>
                </c:pt>
                <c:pt idx="11">
                  <c:v>3.7043417777777782E-2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595-4E4B-8EED-97A632BAB229}"/>
            </c:ext>
          </c:extLst>
        </c:ser>
        <c:ser>
          <c:idx val="3"/>
          <c:order val="3"/>
          <c:tx>
            <c:v>Ajuste Linear 51</c:v>
          </c:tx>
          <c:spPr>
            <a:ln w="12700"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'Barra #1'!$N$53:$N$63</c:f>
              <c:numCache>
                <c:formatCode>General</c:formatCode>
                <c:ptCount val="11"/>
                <c:pt idx="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>
                  <c:v>2.5600000000000012E-2</c:v>
                </c:pt>
                <c:pt idx="4">
                  <c:v>3.3556377855999991E-2</c:v>
                </c:pt>
                <c:pt idx="5">
                  <c:v>3.9567575056000004E-2</c:v>
                </c:pt>
                <c:pt idx="6">
                  <c:v>4.5954068160999992E-2</c:v>
                </c:pt>
                <c:pt idx="7">
                  <c:v>5.3527912321000015E-2</c:v>
                </c:pt>
                <c:pt idx="8">
                  <c:v>6.0037250624999997E-2</c:v>
                </c:pt>
                <c:pt idx="9">
                  <c:v>6.5037750625000001E-2</c:v>
                </c:pt>
                <c:pt idx="10">
                  <c:v>7.3116160000000013E-2</c:v>
                </c:pt>
              </c:numCache>
            </c:numRef>
          </c:xVal>
          <c:yVal>
            <c:numRef>
              <c:f>'Barra #1'!$P$53:$P$63</c:f>
              <c:numCache>
                <c:formatCode>General</c:formatCode>
                <c:ptCount val="11"/>
                <c:pt idx="0">
                  <c:v>5.8594810105143922E-4</c:v>
                </c:pt>
                <c:pt idx="1">
                  <c:v>3.8071690189970904E-3</c:v>
                </c:pt>
                <c:pt idx="2">
                  <c:v>6.9822054976471665E-3</c:v>
                </c:pt>
                <c:pt idx="3">
                  <c:v>1.2708374411115324E-2</c:v>
                </c:pt>
                <c:pt idx="4">
                  <c:v>1.6637077521731911E-2</c:v>
                </c:pt>
                <c:pt idx="5">
                  <c:v>1.9605288630554576E-2</c:v>
                </c:pt>
                <c:pt idx="6">
                  <c:v>2.2758813485916209E-2</c:v>
                </c:pt>
                <c:pt idx="7">
                  <c:v>2.6498628970958633E-2</c:v>
                </c:pt>
                <c:pt idx="8">
                  <c:v>2.9712812372730508E-2</c:v>
                </c:pt>
                <c:pt idx="9">
                  <c:v>3.2181961055736237E-2</c:v>
                </c:pt>
                <c:pt idx="10">
                  <c:v>3.6170920933560925E-2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D595-4E4B-8EED-97A632BAB229}"/>
            </c:ext>
          </c:extLst>
        </c:ser>
        <c:ser>
          <c:idx val="6"/>
          <c:order val="4"/>
          <c:tx>
            <c:v>Ajuste Linear 101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#1'!$D$37:$D$48</c:f>
              <c:numCache>
                <c:formatCode>0.0000000E+00</c:formatCode>
                <c:ptCount val="12"/>
                <c:pt idx="0" formatCode="0.00000000E+0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 formatCode="0.000000E+00">
                  <c:v>2.0632736880999997E-2</c:v>
                </c:pt>
                <c:pt idx="4" formatCode="0.000000E+00">
                  <c:v>2.5600000000000012E-2</c:v>
                </c:pt>
                <c:pt idx="5" formatCode="0.000000E+00">
                  <c:v>3.3556377855999991E-2</c:v>
                </c:pt>
                <c:pt idx="6" formatCode="0.00000E+00">
                  <c:v>3.9567575056000004E-2</c:v>
                </c:pt>
                <c:pt idx="7" formatCode="0.00000E+00">
                  <c:v>4.5954068160999992E-2</c:v>
                </c:pt>
                <c:pt idx="8" formatCode="0.00000E+00">
                  <c:v>5.3527912321000015E-2</c:v>
                </c:pt>
                <c:pt idx="9" formatCode="0.00000E+00">
                  <c:v>6.0037250624999997E-2</c:v>
                </c:pt>
                <c:pt idx="10" formatCode="0.00000E+00">
                  <c:v>6.5037750625000001E-2</c:v>
                </c:pt>
                <c:pt idx="11" formatCode="0.00000E+00">
                  <c:v>7.3116160000000013E-2</c:v>
                </c:pt>
              </c:numCache>
            </c:numRef>
          </c:xVal>
          <c:yVal>
            <c:numRef>
              <c:f>'Barra #1'!$N$37:$N$48</c:f>
              <c:numCache>
                <c:formatCode>0.00000</c:formatCode>
                <c:ptCount val="12"/>
                <c:pt idx="0">
                  <c:v>6.0392664330600468E-4</c:v>
                </c:pt>
                <c:pt idx="1">
                  <c:v>3.8831261429473122E-3</c:v>
                </c:pt>
                <c:pt idx="2">
                  <c:v>7.1153099320592555E-3</c:v>
                </c:pt>
                <c:pt idx="3">
                  <c:v>1.0447660206777808E-2</c:v>
                </c:pt>
                <c:pt idx="4">
                  <c:v>1.2944543851191282E-2</c:v>
                </c:pt>
                <c:pt idx="5">
                  <c:v>1.6943959477359934E-2</c:v>
                </c:pt>
                <c:pt idx="6">
                  <c:v>1.9965595257959712E-2</c:v>
                </c:pt>
                <c:pt idx="7">
                  <c:v>2.3175880237235005E-2</c:v>
                </c:pt>
                <c:pt idx="8">
                  <c:v>2.6983008459636811E-2</c:v>
                </c:pt>
                <c:pt idx="9">
                  <c:v>3.0255043775230014E-2</c:v>
                </c:pt>
                <c:pt idx="10">
                  <c:v>3.2768634532307349E-2</c:v>
                </c:pt>
                <c:pt idx="11">
                  <c:v>3.6829391483989567E-2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D595-4E4B-8EED-97A632BAB229}"/>
            </c:ext>
          </c:extLst>
        </c:ser>
        <c:ser>
          <c:idx val="1"/>
          <c:order val="5"/>
          <c:tx>
            <c:v>Ajuste Linear 151</c:v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'Barra #1'!$D$37:$D$48</c:f>
              <c:numCache>
                <c:formatCode>0.0000000E+00</c:formatCode>
                <c:ptCount val="12"/>
                <c:pt idx="0" formatCode="0.00000000E+0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 formatCode="0.000000E+00">
                  <c:v>2.0632736880999997E-2</c:v>
                </c:pt>
                <c:pt idx="4" formatCode="0.000000E+00">
                  <c:v>2.5600000000000012E-2</c:v>
                </c:pt>
                <c:pt idx="5" formatCode="0.000000E+00">
                  <c:v>3.3556377855999991E-2</c:v>
                </c:pt>
                <c:pt idx="6" formatCode="0.00000E+00">
                  <c:v>3.9567575056000004E-2</c:v>
                </c:pt>
                <c:pt idx="7" formatCode="0.00000E+00">
                  <c:v>4.5954068160999992E-2</c:v>
                </c:pt>
                <c:pt idx="8" formatCode="0.00000E+00">
                  <c:v>5.3527912321000015E-2</c:v>
                </c:pt>
                <c:pt idx="9" formatCode="0.00000E+00">
                  <c:v>6.0037250624999997E-2</c:v>
                </c:pt>
                <c:pt idx="10" formatCode="0.00000E+00">
                  <c:v>6.5037750625000001E-2</c:v>
                </c:pt>
                <c:pt idx="11" formatCode="0.00000E+00">
                  <c:v>7.3116160000000013E-2</c:v>
                </c:pt>
              </c:numCache>
            </c:numRef>
          </c:xVal>
          <c:yVal>
            <c:numRef>
              <c:f>'Barra #1'!$R$37:$R$48</c:f>
              <c:numCache>
                <c:formatCode>0.00000</c:formatCode>
                <c:ptCount val="12"/>
                <c:pt idx="0" formatCode="0.000000">
                  <c:v>6.0125234333108593E-4</c:v>
                </c:pt>
                <c:pt idx="1">
                  <c:v>3.9032356276991896E-3</c:v>
                </c:pt>
                <c:pt idx="2">
                  <c:v>7.1578765377202517E-3</c:v>
                </c:pt>
                <c:pt idx="3">
                  <c:v>1.051337988723702E-2</c:v>
                </c:pt>
                <c:pt idx="4">
                  <c:v>1.3027611808096742E-2</c:v>
                </c:pt>
                <c:pt idx="5">
                  <c:v>1.7054815260126425E-2</c:v>
                </c:pt>
                <c:pt idx="6">
                  <c:v>2.0097445280068914E-2</c:v>
                </c:pt>
                <c:pt idx="7">
                  <c:v>2.3330035227946296E-2</c:v>
                </c:pt>
                <c:pt idx="8">
                  <c:v>2.7163615268804401E-2</c:v>
                </c:pt>
                <c:pt idx="9">
                  <c:v>3.0458384592577683E-2</c:v>
                </c:pt>
                <c:pt idx="10">
                  <c:v>3.2989439706644211E-2</c:v>
                </c:pt>
                <c:pt idx="11">
                  <c:v>3.7078410681970028E-2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595-4E4B-8EED-97A632BAB2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1510019024117377"/>
          <c:y val="0.45539583333333333"/>
          <c:w val="0.24452916943482364"/>
          <c:h val="0.377690625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r>
              <a:rPr lang="en-US" sz="1600" baseline="0"/>
              <a:t> para</a:t>
            </a:r>
            <a:r>
              <a:rPr lang="en-US" sz="1600"/>
              <a:t> os 3 conjuntos sobrepostos - Fórmula 1</a:t>
            </a:r>
          </a:p>
        </c:rich>
      </c:tx>
      <c:layout>
        <c:manualLayout>
          <c:xMode val="edge"/>
          <c:yMode val="edge"/>
          <c:x val="0.13727649572649572"/>
          <c:y val="4.409722222222222E-3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7678576388888889"/>
          <c:w val="0.82136773504273508"/>
          <c:h val="0.67201250000000001"/>
        </c:manualLayout>
      </c:layout>
      <c:scatterChart>
        <c:scatterStyle val="lineMarker"/>
        <c:varyColors val="0"/>
        <c:ser>
          <c:idx val="1"/>
          <c:order val="0"/>
          <c:tx>
            <c:v>Resíduos para i=51</c:v>
          </c:tx>
          <c:spPr>
            <a:ln w="25400">
              <a:noFill/>
            </a:ln>
          </c:spPr>
          <c:marker>
            <c:symbol val="circ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#1'!$G$49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#1'!$G$49</c:f>
                <c:numCache>
                  <c:formatCode>General</c:formatCode>
                  <c:ptCount val="1"/>
                </c:numCache>
              </c:numRef>
            </c:minus>
          </c:errBars>
          <c:errBars>
            <c:errDir val="y"/>
            <c:errBarType val="both"/>
            <c:errValType val="cust"/>
            <c:noEndCap val="0"/>
            <c:plus>
              <c:numRef>
                <c:f>'Barra #1'!$G$37:$G$48</c:f>
                <c:numCache>
                  <c:formatCode>General</c:formatCode>
                  <c:ptCount val="12"/>
                  <c:pt idx="0">
                    <c:v>1.3463313113791866E-5</c:v>
                  </c:pt>
                  <c:pt idx="1">
                    <c:v>3.4733085091883214E-5</c:v>
                  </c:pt>
                  <c:pt idx="2">
                    <c:v>4.7291301525756293E-5</c:v>
                  </c:pt>
                  <c:pt idx="3">
                    <c:v>6.0415203384578618E-5</c:v>
                  </c:pt>
                  <c:pt idx="4">
                    <c:v>6.4035590104253757E-5</c:v>
                  </c:pt>
                  <c:pt idx="5">
                    <c:v>7.3199693988431407E-5</c:v>
                  </c:pt>
                  <c:pt idx="6">
                    <c:v>7.8743411152933925E-5</c:v>
                  </c:pt>
                  <c:pt idx="7">
                    <c:v>8.519222499735524E-5</c:v>
                  </c:pt>
                  <c:pt idx="8">
                    <c:v>9.2206724266725808E-5</c:v>
                  </c:pt>
                  <c:pt idx="9">
                    <c:v>9.7976715601208022E-5</c:v>
                  </c:pt>
                  <c:pt idx="10">
                    <c:v>1.0125769106591361E-4</c:v>
                  </c:pt>
                  <c:pt idx="11">
                    <c:v>1.0748023074035523E-4</c:v>
                  </c:pt>
                </c:numCache>
              </c:numRef>
            </c:plus>
            <c:minus>
              <c:numRef>
                <c:f>'Barra #1'!$G$37:$G$48</c:f>
                <c:numCache>
                  <c:formatCode>General</c:formatCode>
                  <c:ptCount val="12"/>
                  <c:pt idx="0">
                    <c:v>1.3463313113791866E-5</c:v>
                  </c:pt>
                  <c:pt idx="1">
                    <c:v>3.4733085091883214E-5</c:v>
                  </c:pt>
                  <c:pt idx="2">
                    <c:v>4.7291301525756293E-5</c:v>
                  </c:pt>
                  <c:pt idx="3">
                    <c:v>6.0415203384578618E-5</c:v>
                  </c:pt>
                  <c:pt idx="4">
                    <c:v>6.4035590104253757E-5</c:v>
                  </c:pt>
                  <c:pt idx="5">
                    <c:v>7.3199693988431407E-5</c:v>
                  </c:pt>
                  <c:pt idx="6">
                    <c:v>7.8743411152933925E-5</c:v>
                  </c:pt>
                  <c:pt idx="7">
                    <c:v>8.519222499735524E-5</c:v>
                  </c:pt>
                  <c:pt idx="8">
                    <c:v>9.2206724266725808E-5</c:v>
                  </c:pt>
                  <c:pt idx="9">
                    <c:v>9.7976715601208022E-5</c:v>
                  </c:pt>
                  <c:pt idx="10">
                    <c:v>1.0125769106591361E-4</c:v>
                  </c:pt>
                  <c:pt idx="11">
                    <c:v>1.0748023074035523E-4</c:v>
                  </c:pt>
                </c:numCache>
              </c:numRef>
            </c:minus>
          </c:errBars>
          <c:xVal>
            <c:numRef>
              <c:f>'Barra #1'!$N$53:$N$63</c:f>
              <c:numCache>
                <c:formatCode>General</c:formatCode>
                <c:ptCount val="11"/>
                <c:pt idx="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>
                  <c:v>2.5600000000000012E-2</c:v>
                </c:pt>
                <c:pt idx="4">
                  <c:v>3.3556377855999991E-2</c:v>
                </c:pt>
                <c:pt idx="5">
                  <c:v>3.9567575056000004E-2</c:v>
                </c:pt>
                <c:pt idx="6">
                  <c:v>4.5954068160999992E-2</c:v>
                </c:pt>
                <c:pt idx="7">
                  <c:v>5.3527912321000015E-2</c:v>
                </c:pt>
                <c:pt idx="8">
                  <c:v>6.0037250624999997E-2</c:v>
                </c:pt>
                <c:pt idx="9">
                  <c:v>6.5037750625000001E-2</c:v>
                </c:pt>
                <c:pt idx="10">
                  <c:v>7.3116160000000013E-2</c:v>
                </c:pt>
              </c:numCache>
            </c:numRef>
          </c:xVal>
          <c:yVal>
            <c:numRef>
              <c:f>'Barra #1'!$Q$53:$Q$63</c:f>
              <c:numCache>
                <c:formatCode>General</c:formatCode>
                <c:ptCount val="11"/>
                <c:pt idx="0">
                  <c:v>-1.9508101051439138E-5</c:v>
                </c:pt>
                <c:pt idx="1">
                  <c:v>-3.7209018997089779E-5</c:v>
                </c:pt>
                <c:pt idx="2">
                  <c:v>6.7545023528323839E-6</c:v>
                </c:pt>
                <c:pt idx="3">
                  <c:v>1.0586558888467899E-4</c:v>
                </c:pt>
                <c:pt idx="4">
                  <c:v>1.0728247826809201E-4</c:v>
                </c:pt>
                <c:pt idx="5">
                  <c:v>-2.2864863055457874E-4</c:v>
                </c:pt>
                <c:pt idx="6">
                  <c:v>-7.8453485916212679E-5</c:v>
                </c:pt>
                <c:pt idx="7">
                  <c:v>7.0371029041369632E-5</c:v>
                </c:pt>
                <c:pt idx="8">
                  <c:v>2.8542762726949111E-4</c:v>
                </c:pt>
                <c:pt idx="9">
                  <c:v>-1.4096105573623702E-4</c:v>
                </c:pt>
                <c:pt idx="10">
                  <c:v>-7.0920933560925103E-5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F86-47F0-973D-ACE4B5CF35D3}"/>
            </c:ext>
          </c:extLst>
        </c:ser>
        <c:ser>
          <c:idx val="2"/>
          <c:order val="1"/>
          <c:tx>
            <c:v>Resíduos para i=101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#1'!$G$49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#1'!$G$49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#1'!$M$37:$M$48</c:f>
                <c:numCache>
                  <c:formatCode>General</c:formatCode>
                  <c:ptCount val="12"/>
                  <c:pt idx="0">
                    <c:v>6.6468037431535469E-6</c:v>
                  </c:pt>
                  <c:pt idx="1">
                    <c:v>1.7536248173426379E-5</c:v>
                  </c:pt>
                  <c:pt idx="2">
                    <c:v>2.3871924932857842E-5</c:v>
                  </c:pt>
                  <c:pt idx="3">
                    <c:v>2.8963093757400989E-5</c:v>
                  </c:pt>
                  <c:pt idx="4">
                    <c:v>3.2357206307096415E-5</c:v>
                  </c:pt>
                  <c:pt idx="5">
                    <c:v>3.693925824918524E-5</c:v>
                  </c:pt>
                  <c:pt idx="6">
                    <c:v>3.9739401102683978E-5</c:v>
                  </c:pt>
                  <c:pt idx="7">
                    <c:v>4.2963808024894622E-5</c:v>
                  </c:pt>
                  <c:pt idx="8">
                    <c:v>4.6471057659579906E-5</c:v>
                  </c:pt>
                  <c:pt idx="9">
                    <c:v>4.9440906140563409E-5</c:v>
                  </c:pt>
                  <c:pt idx="10">
                    <c:v>5.108139387291619E-5</c:v>
                  </c:pt>
                  <c:pt idx="11">
                    <c:v>5.424923225263193E-5</c:v>
                  </c:pt>
                </c:numCache>
              </c:numRef>
            </c:plus>
            <c:minus>
              <c:numRef>
                <c:f>'Barra #1'!$M$37:$M$48</c:f>
                <c:numCache>
                  <c:formatCode>General</c:formatCode>
                  <c:ptCount val="12"/>
                  <c:pt idx="0">
                    <c:v>6.6468037431535469E-6</c:v>
                  </c:pt>
                  <c:pt idx="1">
                    <c:v>1.7536248173426379E-5</c:v>
                  </c:pt>
                  <c:pt idx="2">
                    <c:v>2.3871924932857842E-5</c:v>
                  </c:pt>
                  <c:pt idx="3">
                    <c:v>2.8963093757400989E-5</c:v>
                  </c:pt>
                  <c:pt idx="4">
                    <c:v>3.2357206307096415E-5</c:v>
                  </c:pt>
                  <c:pt idx="5">
                    <c:v>3.693925824918524E-5</c:v>
                  </c:pt>
                  <c:pt idx="6">
                    <c:v>3.9739401102683978E-5</c:v>
                  </c:pt>
                  <c:pt idx="7">
                    <c:v>4.2963808024894622E-5</c:v>
                  </c:pt>
                  <c:pt idx="8">
                    <c:v>4.6471057659579906E-5</c:v>
                  </c:pt>
                  <c:pt idx="9">
                    <c:v>4.9440906140563409E-5</c:v>
                  </c:pt>
                  <c:pt idx="10">
                    <c:v>5.108139387291619E-5</c:v>
                  </c:pt>
                  <c:pt idx="11">
                    <c:v>5.424923225263193E-5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#1'!$D$37:$D$48</c:f>
              <c:numCache>
                <c:formatCode>0.0000000E+00</c:formatCode>
                <c:ptCount val="12"/>
                <c:pt idx="0" formatCode="0.00000000E+0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 formatCode="0.000000E+00">
                  <c:v>2.0632736880999997E-2</c:v>
                </c:pt>
                <c:pt idx="4" formatCode="0.000000E+00">
                  <c:v>2.5600000000000012E-2</c:v>
                </c:pt>
                <c:pt idx="5" formatCode="0.000000E+00">
                  <c:v>3.3556377855999991E-2</c:v>
                </c:pt>
                <c:pt idx="6" formatCode="0.00000E+00">
                  <c:v>3.9567575056000004E-2</c:v>
                </c:pt>
                <c:pt idx="7" formatCode="0.00000E+00">
                  <c:v>4.5954068160999992E-2</c:v>
                </c:pt>
                <c:pt idx="8" formatCode="0.00000E+00">
                  <c:v>5.3527912321000015E-2</c:v>
                </c:pt>
                <c:pt idx="9" formatCode="0.00000E+00">
                  <c:v>6.0037250624999997E-2</c:v>
                </c:pt>
                <c:pt idx="10" formatCode="0.00000E+00">
                  <c:v>6.5037750625000001E-2</c:v>
                </c:pt>
                <c:pt idx="11" formatCode="0.00000E+00">
                  <c:v>7.3116160000000013E-2</c:v>
                </c:pt>
              </c:numCache>
            </c:numRef>
          </c:xVal>
          <c:yVal>
            <c:numRef>
              <c:f>'Barra #1'!$O$37:$O$48</c:f>
              <c:numCache>
                <c:formatCode>0.00000</c:formatCode>
                <c:ptCount val="12"/>
                <c:pt idx="0">
                  <c:v>-5.1676643306004669E-5</c:v>
                </c:pt>
                <c:pt idx="1">
                  <c:v>-3.9126142947312412E-5</c:v>
                </c:pt>
                <c:pt idx="2">
                  <c:v>8.0500679407423392E-6</c:v>
                </c:pt>
                <c:pt idx="3">
                  <c:v>3.8099793222192563E-5</c:v>
                </c:pt>
                <c:pt idx="4">
                  <c:v>1.4281614880871929E-4</c:v>
                </c:pt>
                <c:pt idx="5">
                  <c:v>1.1240052264006525E-4</c:v>
                </c:pt>
                <c:pt idx="6">
                  <c:v>-2.2534525795970747E-4</c:v>
                </c:pt>
                <c:pt idx="7">
                  <c:v>-1.0227023723501094E-4</c:v>
                </c:pt>
                <c:pt idx="8">
                  <c:v>1.1481540363188908E-5</c:v>
                </c:pt>
                <c:pt idx="9">
                  <c:v>2.999962247699911E-4</c:v>
                </c:pt>
                <c:pt idx="10">
                  <c:v>-1.5227453230735183E-4</c:v>
                </c:pt>
                <c:pt idx="11">
                  <c:v>-4.2151483989567862E-5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F86-47F0-973D-ACE4B5CF35D3}"/>
            </c:ext>
          </c:extLst>
        </c:ser>
        <c:ser>
          <c:idx val="0"/>
          <c:order val="2"/>
          <c:tx>
            <c:v>Resíduos para i=151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#1'!$G$49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#1'!$G$49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#1'!$Q$37:$Q$48</c:f>
                <c:numCache>
                  <c:formatCode>General</c:formatCode>
                  <c:ptCount val="12"/>
                  <c:pt idx="0">
                    <c:v>4.462629463488434E-6</c:v>
                  </c:pt>
                  <c:pt idx="1">
                    <c:v>1.1753686051723058E-5</c:v>
                  </c:pt>
                  <c:pt idx="2">
                    <c:v>1.5964899770789608E-5</c:v>
                  </c:pt>
                  <c:pt idx="3">
                    <c:v>1.9359012320485038E-5</c:v>
                  </c:pt>
                  <c:pt idx="4">
                    <c:v>2.1634324807503081E-5</c:v>
                  </c:pt>
                  <c:pt idx="5">
                    <c:v>2.4663884527786781E-5</c:v>
                  </c:pt>
                  <c:pt idx="6">
                    <c:v>2.6612356547056381E-5</c:v>
                  </c:pt>
                  <c:pt idx="7">
                    <c:v>2.8724248800200201E-5</c:v>
                  </c:pt>
                  <c:pt idx="8">
                    <c:v>3.1087556797765909E-5</c:v>
                  </c:pt>
                  <c:pt idx="9">
                    <c:v>3.3048599604256606E-5</c:v>
                  </c:pt>
                  <c:pt idx="10">
                    <c:v>3.4192541241376167E-5</c:v>
                  </c:pt>
                  <c:pt idx="11">
                    <c:v>3.6291862707298898E-5</c:v>
                  </c:pt>
                </c:numCache>
              </c:numRef>
            </c:plus>
            <c:minus>
              <c:numRef>
                <c:f>'Barra #1'!$Q$37:$Q$48</c:f>
                <c:numCache>
                  <c:formatCode>General</c:formatCode>
                  <c:ptCount val="12"/>
                  <c:pt idx="0">
                    <c:v>4.462629463488434E-6</c:v>
                  </c:pt>
                  <c:pt idx="1">
                    <c:v>1.1753686051723058E-5</c:v>
                  </c:pt>
                  <c:pt idx="2">
                    <c:v>1.5964899770789608E-5</c:v>
                  </c:pt>
                  <c:pt idx="3">
                    <c:v>1.9359012320485038E-5</c:v>
                  </c:pt>
                  <c:pt idx="4">
                    <c:v>2.1634324807503081E-5</c:v>
                  </c:pt>
                  <c:pt idx="5">
                    <c:v>2.4663884527786781E-5</c:v>
                  </c:pt>
                  <c:pt idx="6">
                    <c:v>2.6612356547056381E-5</c:v>
                  </c:pt>
                  <c:pt idx="7">
                    <c:v>2.8724248800200201E-5</c:v>
                  </c:pt>
                  <c:pt idx="8">
                    <c:v>3.1087556797765909E-5</c:v>
                  </c:pt>
                  <c:pt idx="9">
                    <c:v>3.3048599604256606E-5</c:v>
                  </c:pt>
                  <c:pt idx="10">
                    <c:v>3.4192541241376167E-5</c:v>
                  </c:pt>
                  <c:pt idx="11">
                    <c:v>3.6291862707298898E-5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#1'!$D$37:$D$48</c:f>
              <c:numCache>
                <c:formatCode>0.0000000E+00</c:formatCode>
                <c:ptCount val="12"/>
                <c:pt idx="0" formatCode="0.00000000E+0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 formatCode="0.000000E+00">
                  <c:v>2.0632736880999997E-2</c:v>
                </c:pt>
                <c:pt idx="4" formatCode="0.000000E+00">
                  <c:v>2.5600000000000012E-2</c:v>
                </c:pt>
                <c:pt idx="5" formatCode="0.000000E+00">
                  <c:v>3.3556377855999991E-2</c:v>
                </c:pt>
                <c:pt idx="6" formatCode="0.00000E+00">
                  <c:v>3.9567575056000004E-2</c:v>
                </c:pt>
                <c:pt idx="7" formatCode="0.00000E+00">
                  <c:v>4.5954068160999992E-2</c:v>
                </c:pt>
                <c:pt idx="8" formatCode="0.00000E+00">
                  <c:v>5.3527912321000015E-2</c:v>
                </c:pt>
                <c:pt idx="9" formatCode="0.00000E+00">
                  <c:v>6.0037250624999997E-2</c:v>
                </c:pt>
                <c:pt idx="10" formatCode="0.00000E+00">
                  <c:v>6.5037750625000001E-2</c:v>
                </c:pt>
                <c:pt idx="11" formatCode="0.00000E+00">
                  <c:v>7.3116160000000013E-2</c:v>
                </c:pt>
              </c:numCache>
            </c:numRef>
          </c:xVal>
          <c:yVal>
            <c:numRef>
              <c:f>'Barra #1'!$S$37:$S$48</c:f>
              <c:numCache>
                <c:formatCode>0.00000</c:formatCode>
                <c:ptCount val="12"/>
                <c:pt idx="0" formatCode="0.000000">
                  <c:v>-4.1141232219974876E-5</c:v>
                </c:pt>
                <c:pt idx="1">
                  <c:v>-1.7791183254745654E-5</c:v>
                </c:pt>
                <c:pt idx="2">
                  <c:v>1.0567906724192645E-5</c:v>
                </c:pt>
                <c:pt idx="3">
                  <c:v>2.7064557207424553E-5</c:v>
                </c:pt>
                <c:pt idx="4">
                  <c:v>1.3612596968103421E-4</c:v>
                </c:pt>
                <c:pt idx="5">
                  <c:v>5.3824739873576527E-5</c:v>
                </c:pt>
                <c:pt idx="6">
                  <c:v>-1.7882750229113523E-4</c:v>
                </c:pt>
                <c:pt idx="7">
                  <c:v>-1.2459078350185449E-4</c:v>
                </c:pt>
                <c:pt idx="8">
                  <c:v>1.7402508973373559E-5</c:v>
                </c:pt>
                <c:pt idx="9">
                  <c:v>2.6001985186676832E-4</c:v>
                </c:pt>
                <c:pt idx="10">
                  <c:v>-1.0766192886643711E-4</c:v>
                </c:pt>
                <c:pt idx="11">
                  <c:v>-3.4992904192246432E-5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F86-47F0-973D-ACE4B5CF35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- </a:t>
                </a:r>
                <a:r>
                  <a:rPr lang="en-US" sz="1400" b="0" i="0" u="none" strike="noStrike" baseline="0">
                    <a:effectLst/>
                  </a:rPr>
                  <a:t>T</a:t>
                </a:r>
                <a:r>
                  <a:rPr lang="en-US" sz="1400" b="0" i="0" u="none" strike="noStrike" baseline="30000">
                    <a:effectLst/>
                  </a:rPr>
                  <a:t>2</a:t>
                </a:r>
                <a:r>
                  <a:rPr lang="en-US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Gráfico</a:t>
            </a:r>
            <a:r>
              <a:rPr lang="en-US" baseline="0"/>
              <a:t> de</a:t>
            </a:r>
            <a:r>
              <a:rPr lang="en-US"/>
              <a:t> Log(I) em</a:t>
            </a:r>
            <a:r>
              <a:rPr lang="en-US" baseline="0"/>
              <a:t> função de </a:t>
            </a:r>
            <a:r>
              <a:rPr lang="en-US"/>
              <a:t>Log(T)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Pêndulo!$X$21:$X$24</c:f>
              <c:numCache>
                <c:formatCode>General</c:formatCode>
                <c:ptCount val="4"/>
                <c:pt idx="0">
                  <c:v>0.85215455751679248</c:v>
                </c:pt>
                <c:pt idx="1">
                  <c:v>0.94605906038512377</c:v>
                </c:pt>
                <c:pt idx="2">
                  <c:v>1.0085433975305924</c:v>
                </c:pt>
                <c:pt idx="3">
                  <c:v>1.059336177389288</c:v>
                </c:pt>
              </c:numCache>
            </c:numRef>
          </c:xVal>
          <c:yVal>
            <c:numRef>
              <c:f>Pêndulo!$W$21:$W$24</c:f>
              <c:numCache>
                <c:formatCode>General</c:formatCode>
                <c:ptCount val="4"/>
                <c:pt idx="0">
                  <c:v>-2.5633582431301791</c:v>
                </c:pt>
                <c:pt idx="1">
                  <c:v>-2.3739837333124929</c:v>
                </c:pt>
                <c:pt idx="2">
                  <c:v>-2.1934568888402861</c:v>
                </c:pt>
                <c:pt idx="3">
                  <c:v>-2.0998990440019281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24-46CB-86A6-ECC1B8B8C5A2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Pêndulo!$X$21:$X$24</c:f>
              <c:numCache>
                <c:formatCode>General</c:formatCode>
                <c:ptCount val="4"/>
                <c:pt idx="0">
                  <c:v>0.85215455751679248</c:v>
                </c:pt>
                <c:pt idx="1">
                  <c:v>0.94605906038512377</c:v>
                </c:pt>
                <c:pt idx="2">
                  <c:v>1.0085433975305924</c:v>
                </c:pt>
                <c:pt idx="3">
                  <c:v>1.059336177389288</c:v>
                </c:pt>
              </c:numCache>
            </c:numRef>
          </c:xVal>
          <c:yVal>
            <c:numRef>
              <c:f>Pêndulo!$AC$21:$AC$24</c:f>
              <c:numCache>
                <c:formatCode>General</c:formatCode>
                <c:ptCount val="4"/>
                <c:pt idx="0">
                  <c:v>-2.5695796509479383</c:v>
                </c:pt>
                <c:pt idx="1">
                  <c:v>-2.3545377174618238</c:v>
                </c:pt>
                <c:pt idx="2">
                  <c:v>-2.2114481715728447</c:v>
                </c:pt>
                <c:pt idx="3">
                  <c:v>-2.0951323693022803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44-4EE3-93D3-0B0F4D4765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6203487"/>
        <c:axId val="292858191"/>
      </c:scatterChart>
      <c:valAx>
        <c:axId val="446203487"/>
        <c:scaling>
          <c:orientation val="minMax"/>
          <c:min val="0.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92858191"/>
        <c:crossesAt val="-10"/>
        <c:crossBetween val="midCat"/>
      </c:valAx>
      <c:valAx>
        <c:axId val="292858191"/>
        <c:scaling>
          <c:orientation val="minMax"/>
          <c:max val="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Log(I)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46203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Gráfico</a:t>
            </a:r>
            <a:r>
              <a:rPr lang="en-US" baseline="0"/>
              <a:t> de I em função de T</a:t>
            </a:r>
            <a:r>
              <a:rPr lang="en-US" baseline="30000"/>
              <a:t>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127366752423273"/>
          <c:y val="0.17171296296296296"/>
          <c:w val="0.82183727034120724"/>
          <c:h val="0.66954505686789145"/>
        </c:manualLayout>
      </c:layout>
      <c:scatterChart>
        <c:scatterStyle val="lineMarker"/>
        <c:varyColors val="0"/>
        <c:ser>
          <c:idx val="0"/>
          <c:order val="0"/>
          <c:tx>
            <c:v>I(T2)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Pêndulo!$V$21:$V$24</c:f>
                <c:numCache>
                  <c:formatCode>General</c:formatCode>
                  <c:ptCount val="4"/>
                  <c:pt idx="0">
                    <c:v>6.375324784587201E-2</c:v>
                  </c:pt>
                  <c:pt idx="1">
                    <c:v>0.21537528147862567</c:v>
                  </c:pt>
                  <c:pt idx="2">
                    <c:v>7.3438793484619486E-2</c:v>
                  </c:pt>
                  <c:pt idx="3">
                    <c:v>0.15700053915265769</c:v>
                  </c:pt>
                </c:numCache>
              </c:numRef>
            </c:plus>
            <c:minus>
              <c:numRef>
                <c:f>Pêndulo!$V$21:$V$24</c:f>
                <c:numCache>
                  <c:formatCode>General</c:formatCode>
                  <c:ptCount val="4"/>
                  <c:pt idx="0">
                    <c:v>6.375324784587201E-2</c:v>
                  </c:pt>
                  <c:pt idx="1">
                    <c:v>0.21537528147862567</c:v>
                  </c:pt>
                  <c:pt idx="2">
                    <c:v>7.3438793484619486E-2</c:v>
                  </c:pt>
                  <c:pt idx="3">
                    <c:v>0.15700053915265769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Pêndulo!$R$21:$R$24</c:f>
                <c:numCache>
                  <c:formatCode>General</c:formatCode>
                  <c:ptCount val="4"/>
                  <c:pt idx="0">
                    <c:v>1.0551870569460522E-3</c:v>
                  </c:pt>
                  <c:pt idx="1">
                    <c:v>1.2116929893010312E-3</c:v>
                  </c:pt>
                  <c:pt idx="2">
                    <c:v>1.176954455873845E-3</c:v>
                  </c:pt>
                  <c:pt idx="3">
                    <c:v>1.3190914649869197E-3</c:v>
                  </c:pt>
                </c:numCache>
              </c:numRef>
            </c:plus>
            <c:minus>
              <c:numRef>
                <c:f>Pêndulo!$R$21:$R$24</c:f>
                <c:numCache>
                  <c:formatCode>General</c:formatCode>
                  <c:ptCount val="4"/>
                  <c:pt idx="0">
                    <c:v>1.0551870569460522E-3</c:v>
                  </c:pt>
                  <c:pt idx="1">
                    <c:v>1.2116929893010312E-3</c:v>
                  </c:pt>
                  <c:pt idx="2">
                    <c:v>1.176954455873845E-3</c:v>
                  </c:pt>
                  <c:pt idx="3">
                    <c:v>1.3190914649869197E-3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Pêndulo!$U$21:$U$24</c:f>
              <c:numCache>
                <c:formatCode>General</c:formatCode>
                <c:ptCount val="4"/>
                <c:pt idx="0">
                  <c:v>50.61848177777776</c:v>
                </c:pt>
                <c:pt idx="1">
                  <c:v>78.004224000000008</c:v>
                </c:pt>
                <c:pt idx="2">
                  <c:v>104.01280177777777</c:v>
                </c:pt>
                <c:pt idx="3">
                  <c:v>131.42329600000002</c:v>
                </c:pt>
              </c:numCache>
            </c:numRef>
          </c:xVal>
          <c:yVal>
            <c:numRef>
              <c:f>Pêndulo!$Q$21:$Q$24</c:f>
              <c:numCache>
                <c:formatCode>General</c:formatCode>
                <c:ptCount val="4"/>
                <c:pt idx="0">
                  <c:v>2.7330133736983338E-3</c:v>
                </c:pt>
                <c:pt idx="1">
                  <c:v>4.2268444579770005E-3</c:v>
                </c:pt>
                <c:pt idx="2">
                  <c:v>6.4053536251020005E-3</c:v>
                </c:pt>
                <c:pt idx="3">
                  <c:v>7.9451290555140018E-3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36-4DE1-8C00-7596474622F2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Pêndulo!$U$21:$U$24</c:f>
              <c:numCache>
                <c:formatCode>General</c:formatCode>
                <c:ptCount val="4"/>
                <c:pt idx="0">
                  <c:v>50.61848177777776</c:v>
                </c:pt>
                <c:pt idx="1">
                  <c:v>78.004224000000008</c:v>
                </c:pt>
                <c:pt idx="2">
                  <c:v>104.01280177777777</c:v>
                </c:pt>
                <c:pt idx="3">
                  <c:v>131.42329600000002</c:v>
                </c:pt>
              </c:numCache>
            </c:numRef>
          </c:xVal>
          <c:yVal>
            <c:numRef>
              <c:f>Pêndulo!$Y$21:$Y$24</c:f>
              <c:numCache>
                <c:formatCode>General</c:formatCode>
                <c:ptCount val="4"/>
                <c:pt idx="0">
                  <c:v>2.6488913038728665E-3</c:v>
                </c:pt>
                <c:pt idx="1">
                  <c:v>4.464853791847927E-3</c:v>
                </c:pt>
                <c:pt idx="2">
                  <c:v>6.1894958054465486E-3</c:v>
                </c:pt>
                <c:pt idx="3">
                  <c:v>8.0070996111239988E-3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136-4DE1-8C00-7596474622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952927"/>
        <c:axId val="510292655"/>
      </c:scatterChart>
      <c:valAx>
        <c:axId val="535952927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0292655"/>
        <c:crosses val="autoZero"/>
        <c:crossBetween val="midCat"/>
      </c:valAx>
      <c:valAx>
        <c:axId val="510292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35952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Pêndulo</a:t>
            </a:r>
            <a:r>
              <a:rPr lang="en-US" baseline="0"/>
              <a:t> de Torção 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1751137357830271"/>
          <c:y val="0.17171296296296296"/>
          <c:w val="0.84559973753280848"/>
          <c:h val="0.66954505686789145"/>
        </c:manualLayout>
      </c:layout>
      <c:scatterChart>
        <c:scatterStyle val="lineMarker"/>
        <c:varyColors val="0"/>
        <c:ser>
          <c:idx val="0"/>
          <c:order val="0"/>
          <c:tx>
            <c:v>T2(I)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Pêndulo!$R$21:$R$24</c:f>
                <c:numCache>
                  <c:formatCode>General</c:formatCode>
                  <c:ptCount val="4"/>
                  <c:pt idx="0">
                    <c:v>1.0551870569460522E-3</c:v>
                  </c:pt>
                  <c:pt idx="1">
                    <c:v>1.2116929893010312E-3</c:v>
                  </c:pt>
                  <c:pt idx="2">
                    <c:v>1.176954455873845E-3</c:v>
                  </c:pt>
                  <c:pt idx="3">
                    <c:v>1.3190914649869197E-3</c:v>
                  </c:pt>
                </c:numCache>
              </c:numRef>
            </c:plus>
            <c:minus>
              <c:numRef>
                <c:f>Pêndulo!$R$21:$R$24</c:f>
                <c:numCache>
                  <c:formatCode>General</c:formatCode>
                  <c:ptCount val="4"/>
                  <c:pt idx="0">
                    <c:v>1.0551870569460522E-3</c:v>
                  </c:pt>
                  <c:pt idx="1">
                    <c:v>1.2116929893010312E-3</c:v>
                  </c:pt>
                  <c:pt idx="2">
                    <c:v>1.176954455873845E-3</c:v>
                  </c:pt>
                  <c:pt idx="3">
                    <c:v>1.3190914649869197E-3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Pêndulo!$V$21:$V$24</c:f>
                <c:numCache>
                  <c:formatCode>General</c:formatCode>
                  <c:ptCount val="4"/>
                  <c:pt idx="0">
                    <c:v>6.375324784587201E-2</c:v>
                  </c:pt>
                  <c:pt idx="1">
                    <c:v>0.21537528147862567</c:v>
                  </c:pt>
                  <c:pt idx="2">
                    <c:v>7.3438793484619486E-2</c:v>
                  </c:pt>
                  <c:pt idx="3">
                    <c:v>0.15700053915265769</c:v>
                  </c:pt>
                </c:numCache>
              </c:numRef>
            </c:plus>
            <c:minus>
              <c:numRef>
                <c:f>Pêndulo!$V$21:$V$24</c:f>
                <c:numCache>
                  <c:formatCode>General</c:formatCode>
                  <c:ptCount val="4"/>
                  <c:pt idx="0">
                    <c:v>6.375324784587201E-2</c:v>
                  </c:pt>
                  <c:pt idx="1">
                    <c:v>0.21537528147862567</c:v>
                  </c:pt>
                  <c:pt idx="2">
                    <c:v>7.3438793484619486E-2</c:v>
                  </c:pt>
                  <c:pt idx="3">
                    <c:v>0.15700053915265769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Pêndulo!$Q$21:$Q$24</c:f>
              <c:numCache>
                <c:formatCode>General</c:formatCode>
                <c:ptCount val="4"/>
                <c:pt idx="0">
                  <c:v>2.7330133736983338E-3</c:v>
                </c:pt>
                <c:pt idx="1">
                  <c:v>4.2268444579770005E-3</c:v>
                </c:pt>
                <c:pt idx="2">
                  <c:v>6.4053536251020005E-3</c:v>
                </c:pt>
                <c:pt idx="3">
                  <c:v>7.9451290555140018E-3</c:v>
                </c:pt>
              </c:numCache>
            </c:numRef>
          </c:xVal>
          <c:yVal>
            <c:numRef>
              <c:f>Pêndulo!$U$21:$U$24</c:f>
              <c:numCache>
                <c:formatCode>General</c:formatCode>
                <c:ptCount val="4"/>
                <c:pt idx="0">
                  <c:v>50.61848177777776</c:v>
                </c:pt>
                <c:pt idx="1">
                  <c:v>78.004224000000008</c:v>
                </c:pt>
                <c:pt idx="2">
                  <c:v>104.01280177777777</c:v>
                </c:pt>
                <c:pt idx="3">
                  <c:v>131.42329600000002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56-4BEF-A205-92B843287AC1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Pêndulo!$Q$21:$Q$24</c:f>
              <c:numCache>
                <c:formatCode>General</c:formatCode>
                <c:ptCount val="4"/>
                <c:pt idx="0">
                  <c:v>2.7330133736983338E-3</c:v>
                </c:pt>
                <c:pt idx="1">
                  <c:v>4.2268444579770005E-3</c:v>
                </c:pt>
                <c:pt idx="2">
                  <c:v>6.4053536251020005E-3</c:v>
                </c:pt>
                <c:pt idx="3">
                  <c:v>7.9451290555140018E-3</c:v>
                </c:pt>
              </c:numCache>
            </c:numRef>
          </c:xVal>
          <c:yVal>
            <c:numRef>
              <c:f>Pêndulo!$AA$21:$AA$24</c:f>
              <c:numCache>
                <c:formatCode>General</c:formatCode>
                <c:ptCount val="4"/>
                <c:pt idx="0">
                  <c:v>52.167025632132166</c:v>
                </c:pt>
                <c:pt idx="1">
                  <c:v>74.533670436872484</c:v>
                </c:pt>
                <c:pt idx="2">
                  <c:v>107.15177649836477</c:v>
                </c:pt>
                <c:pt idx="3">
                  <c:v>130.2063309881861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56-4BEF-A205-92B843287A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952927"/>
        <c:axId val="510292655"/>
      </c:scatterChart>
      <c:valAx>
        <c:axId val="535952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0292655"/>
        <c:crosses val="autoZero"/>
        <c:crossBetween val="midCat"/>
      </c:valAx>
      <c:valAx>
        <c:axId val="510292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T</a:t>
                </a:r>
                <a:r>
                  <a:rPr lang="en-US" sz="1400" b="0" i="0" baseline="30000">
                    <a:effectLst/>
                  </a:rPr>
                  <a:t>2</a:t>
                </a:r>
                <a:endParaRPr lang="en-US" sz="11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35952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Resíduos</a:t>
            </a:r>
            <a:r>
              <a:rPr lang="en-US" baseline="0"/>
              <a:t> do Gráfico de I em função de T2</a:t>
            </a:r>
          </a:p>
        </c:rich>
      </c:tx>
      <c:layout>
        <c:manualLayout>
          <c:xMode val="edge"/>
          <c:yMode val="edge"/>
          <c:x val="0.19000320512820512"/>
          <c:y val="6.1736111111111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2565235042735043"/>
          <c:y val="0.17171296296296296"/>
          <c:w val="0.83745876068376057"/>
          <c:h val="0.66954505686789145"/>
        </c:manualLayout>
      </c:layout>
      <c:scatterChart>
        <c:scatterStyle val="lineMarker"/>
        <c:varyColors val="0"/>
        <c:ser>
          <c:idx val="0"/>
          <c:order val="0"/>
          <c:tx>
            <c:v>res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Pêndulo!$V$21:$V$24</c:f>
                <c:numCache>
                  <c:formatCode>General</c:formatCode>
                  <c:ptCount val="4"/>
                  <c:pt idx="0">
                    <c:v>6.375324784587201E-2</c:v>
                  </c:pt>
                  <c:pt idx="1">
                    <c:v>0.21537528147862567</c:v>
                  </c:pt>
                  <c:pt idx="2">
                    <c:v>7.3438793484619486E-2</c:v>
                  </c:pt>
                  <c:pt idx="3">
                    <c:v>0.15700053915265769</c:v>
                  </c:pt>
                </c:numCache>
              </c:numRef>
            </c:plus>
            <c:minus>
              <c:numRef>
                <c:f>Pêndulo!$V$21:$V$24</c:f>
                <c:numCache>
                  <c:formatCode>General</c:formatCode>
                  <c:ptCount val="4"/>
                  <c:pt idx="0">
                    <c:v>6.375324784587201E-2</c:v>
                  </c:pt>
                  <c:pt idx="1">
                    <c:v>0.21537528147862567</c:v>
                  </c:pt>
                  <c:pt idx="2">
                    <c:v>7.3438793484619486E-2</c:v>
                  </c:pt>
                  <c:pt idx="3">
                    <c:v>0.15700053915265769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Pêndulo!$R$21:$R$24</c:f>
                <c:numCache>
                  <c:formatCode>General</c:formatCode>
                  <c:ptCount val="4"/>
                  <c:pt idx="0">
                    <c:v>1.0551870569460522E-3</c:v>
                  </c:pt>
                  <c:pt idx="1">
                    <c:v>1.2116929893010312E-3</c:v>
                  </c:pt>
                  <c:pt idx="2">
                    <c:v>1.176954455873845E-3</c:v>
                  </c:pt>
                  <c:pt idx="3">
                    <c:v>1.3190914649869197E-3</c:v>
                  </c:pt>
                </c:numCache>
              </c:numRef>
            </c:plus>
            <c:minus>
              <c:numRef>
                <c:f>Pêndulo!$R$21:$R$24</c:f>
                <c:numCache>
                  <c:formatCode>General</c:formatCode>
                  <c:ptCount val="4"/>
                  <c:pt idx="0">
                    <c:v>1.0551870569460522E-3</c:v>
                  </c:pt>
                  <c:pt idx="1">
                    <c:v>1.2116929893010312E-3</c:v>
                  </c:pt>
                  <c:pt idx="2">
                    <c:v>1.176954455873845E-3</c:v>
                  </c:pt>
                  <c:pt idx="3">
                    <c:v>1.3190914649869197E-3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Pêndulo!$U$21:$U$24</c:f>
              <c:numCache>
                <c:formatCode>General</c:formatCode>
                <c:ptCount val="4"/>
                <c:pt idx="0">
                  <c:v>50.61848177777776</c:v>
                </c:pt>
                <c:pt idx="1">
                  <c:v>78.004224000000008</c:v>
                </c:pt>
                <c:pt idx="2">
                  <c:v>104.01280177777777</c:v>
                </c:pt>
                <c:pt idx="3">
                  <c:v>131.42329600000002</c:v>
                </c:pt>
              </c:numCache>
            </c:numRef>
          </c:xVal>
          <c:yVal>
            <c:numRef>
              <c:f>Pêndulo!$Z$21:$Z$24</c:f>
              <c:numCache>
                <c:formatCode>General</c:formatCode>
                <c:ptCount val="4"/>
                <c:pt idx="0">
                  <c:v>8.4122069825467299E-5</c:v>
                </c:pt>
                <c:pt idx="1">
                  <c:v>-2.3800933387092653E-4</c:v>
                </c:pt>
                <c:pt idx="2">
                  <c:v>2.1585781965545187E-4</c:v>
                </c:pt>
                <c:pt idx="3">
                  <c:v>-6.197055560999698E-5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5D-43D9-A6D0-4761D586AA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952927"/>
        <c:axId val="510292655"/>
      </c:scatterChart>
      <c:valAx>
        <c:axId val="535952927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0292655"/>
        <c:crossesAt val="-10"/>
        <c:crossBetween val="midCat"/>
      </c:valAx>
      <c:valAx>
        <c:axId val="510292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35952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Resíduos </a:t>
            </a:r>
            <a:r>
              <a:rPr lang="en-US" baseline="0"/>
              <a:t>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1751137357830271"/>
          <c:y val="0.17171296296296296"/>
          <c:w val="0.84559973753280848"/>
          <c:h val="0.66954505686789145"/>
        </c:manualLayout>
      </c:layout>
      <c:scatterChart>
        <c:scatterStyle val="lineMarker"/>
        <c:varyColors val="0"/>
        <c:ser>
          <c:idx val="0"/>
          <c:order val="0"/>
          <c:tx>
            <c:v>res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Pêndulo!$R$21:$R$24</c:f>
                <c:numCache>
                  <c:formatCode>General</c:formatCode>
                  <c:ptCount val="4"/>
                  <c:pt idx="0">
                    <c:v>1.0551870569460522E-3</c:v>
                  </c:pt>
                  <c:pt idx="1">
                    <c:v>1.2116929893010312E-3</c:v>
                  </c:pt>
                  <c:pt idx="2">
                    <c:v>1.176954455873845E-3</c:v>
                  </c:pt>
                  <c:pt idx="3">
                    <c:v>1.3190914649869197E-3</c:v>
                  </c:pt>
                </c:numCache>
              </c:numRef>
            </c:plus>
            <c:minus>
              <c:numRef>
                <c:f>Pêndulo!$R$21:$R$24</c:f>
                <c:numCache>
                  <c:formatCode>General</c:formatCode>
                  <c:ptCount val="4"/>
                  <c:pt idx="0">
                    <c:v>1.0551870569460522E-3</c:v>
                  </c:pt>
                  <c:pt idx="1">
                    <c:v>1.2116929893010312E-3</c:v>
                  </c:pt>
                  <c:pt idx="2">
                    <c:v>1.176954455873845E-3</c:v>
                  </c:pt>
                  <c:pt idx="3">
                    <c:v>1.3190914649869197E-3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Pêndulo!$V$21:$V$24</c:f>
                <c:numCache>
                  <c:formatCode>General</c:formatCode>
                  <c:ptCount val="4"/>
                  <c:pt idx="0">
                    <c:v>6.375324784587201E-2</c:v>
                  </c:pt>
                  <c:pt idx="1">
                    <c:v>0.21537528147862567</c:v>
                  </c:pt>
                  <c:pt idx="2">
                    <c:v>7.3438793484619486E-2</c:v>
                  </c:pt>
                  <c:pt idx="3">
                    <c:v>0.15700053915265769</c:v>
                  </c:pt>
                </c:numCache>
              </c:numRef>
            </c:plus>
            <c:minus>
              <c:numRef>
                <c:f>Pêndulo!$V$21:$V$24</c:f>
                <c:numCache>
                  <c:formatCode>General</c:formatCode>
                  <c:ptCount val="4"/>
                  <c:pt idx="0">
                    <c:v>6.375324784587201E-2</c:v>
                  </c:pt>
                  <c:pt idx="1">
                    <c:v>0.21537528147862567</c:v>
                  </c:pt>
                  <c:pt idx="2">
                    <c:v>7.3438793484619486E-2</c:v>
                  </c:pt>
                  <c:pt idx="3">
                    <c:v>0.15700053915265769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Pêndulo!$Q$21:$Q$24</c:f>
              <c:numCache>
                <c:formatCode>General</c:formatCode>
                <c:ptCount val="4"/>
                <c:pt idx="0">
                  <c:v>2.7330133736983338E-3</c:v>
                </c:pt>
                <c:pt idx="1">
                  <c:v>4.2268444579770005E-3</c:v>
                </c:pt>
                <c:pt idx="2">
                  <c:v>6.4053536251020005E-3</c:v>
                </c:pt>
                <c:pt idx="3">
                  <c:v>7.9451290555140018E-3</c:v>
                </c:pt>
              </c:numCache>
            </c:numRef>
          </c:xVal>
          <c:yVal>
            <c:numRef>
              <c:f>Pêndulo!$AB$21:$AB$24</c:f>
              <c:numCache>
                <c:formatCode>General</c:formatCode>
                <c:ptCount val="4"/>
                <c:pt idx="0">
                  <c:v>-1.5485438543544063</c:v>
                </c:pt>
                <c:pt idx="1">
                  <c:v>3.4705535631275239</c:v>
                </c:pt>
                <c:pt idx="2">
                  <c:v>-3.1389747205870009</c:v>
                </c:pt>
                <c:pt idx="3">
                  <c:v>1.2169650118139259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EC-487C-A4C9-FC8199CD52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952927"/>
        <c:axId val="510292655"/>
      </c:scatterChart>
      <c:valAx>
        <c:axId val="535952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0292655"/>
        <c:crossesAt val="-100"/>
        <c:crossBetween val="midCat"/>
      </c:valAx>
      <c:valAx>
        <c:axId val="510292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T</a:t>
                </a:r>
                <a:r>
                  <a:rPr lang="en-US" sz="1400" b="0" i="0" baseline="30000">
                    <a:effectLst/>
                  </a:rPr>
                  <a:t>2</a:t>
                </a:r>
                <a:endParaRPr lang="en-US" sz="11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35952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Resíduos de Log(I) [Log(T)]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Pêndulo!$AE$32:$AE$35</c:f>
                <c:numCache>
                  <c:formatCode>General</c:formatCode>
                  <c:ptCount val="4"/>
                  <c:pt idx="0">
                    <c:v>-8.4712014613479112E-5</c:v>
                  </c:pt>
                  <c:pt idx="1">
                    <c:v>-9.1469557227603091E-5</c:v>
                  </c:pt>
                  <c:pt idx="2">
                    <c:v>-9.8997724576403652E-5</c:v>
                  </c:pt>
                  <c:pt idx="3">
                    <c:v>-1.0340841935800534E-4</c:v>
                  </c:pt>
                </c:numCache>
              </c:numRef>
            </c:plus>
            <c:minus>
              <c:numRef>
                <c:f>Pêndulo!$AE$32:$AE$35</c:f>
                <c:numCache>
                  <c:formatCode>General</c:formatCode>
                  <c:ptCount val="4"/>
                  <c:pt idx="0">
                    <c:v>-8.4712014613479112E-5</c:v>
                  </c:pt>
                  <c:pt idx="1">
                    <c:v>-9.1469557227603091E-5</c:v>
                  </c:pt>
                  <c:pt idx="2">
                    <c:v>-9.8997724576403652E-5</c:v>
                  </c:pt>
                  <c:pt idx="3">
                    <c:v>-1.0340841935800534E-4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Pêndulo!$X$21:$X$24</c:f>
              <c:numCache>
                <c:formatCode>General</c:formatCode>
                <c:ptCount val="4"/>
                <c:pt idx="0">
                  <c:v>0.85215455751679248</c:v>
                </c:pt>
                <c:pt idx="1">
                  <c:v>0.94605906038512377</c:v>
                </c:pt>
                <c:pt idx="2">
                  <c:v>1.0085433975305924</c:v>
                </c:pt>
                <c:pt idx="3">
                  <c:v>1.059336177389288</c:v>
                </c:pt>
              </c:numCache>
            </c:numRef>
          </c:xVal>
          <c:yVal>
            <c:numRef>
              <c:f>Pêndulo!$AD$21:$AD$24</c:f>
              <c:numCache>
                <c:formatCode>General</c:formatCode>
                <c:ptCount val="4"/>
                <c:pt idx="0">
                  <c:v>6.2214078177591503E-3</c:v>
                </c:pt>
                <c:pt idx="1">
                  <c:v>-1.9446015850669074E-2</c:v>
                </c:pt>
                <c:pt idx="2">
                  <c:v>1.7991282732558567E-2</c:v>
                </c:pt>
                <c:pt idx="3">
                  <c:v>-4.7666746996477549E-3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DE-4CAF-85AA-E5706F0BA1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6203487"/>
        <c:axId val="292858191"/>
      </c:scatterChart>
      <c:valAx>
        <c:axId val="446203487"/>
        <c:scaling>
          <c:orientation val="minMax"/>
          <c:min val="0.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92858191"/>
        <c:crossesAt val="-10"/>
        <c:crossBetween val="midCat"/>
      </c:valAx>
      <c:valAx>
        <c:axId val="292858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Log(I)-</a:t>
                </a:r>
                <a:r>
                  <a:rPr lang="en-US" sz="1400" b="0" i="0" u="none" strike="noStrike" baseline="0">
                    <a:effectLst/>
                  </a:rPr>
                  <a:t>Log(I)</a:t>
                </a:r>
                <a:r>
                  <a:rPr lang="en-US" sz="1400" b="0" i="0" u="none" strike="noStrike" baseline="-25000">
                    <a:effectLst/>
                  </a:rPr>
                  <a:t>ajuste </a:t>
                </a:r>
                <a:r>
                  <a:rPr lang="en-US" sz="1400" b="0" i="0" u="none" strike="noStrike" baseline="0">
                    <a:effectLst/>
                  </a:rPr>
                  <a:t>(s.u.)</a:t>
                </a:r>
                <a:endParaRPr lang="en-US" sz="14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46203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 i = 101 - Fórmula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68524166666666675"/>
        </c:manualLayout>
      </c:layout>
      <c:scatterChart>
        <c:scatterStyle val="lineMarker"/>
        <c:varyColors val="0"/>
        <c:ser>
          <c:idx val="0"/>
          <c:order val="0"/>
          <c:tx>
            <c:v>i=101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#2'!$G$47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#2'!$G$47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#2'!$I$47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#2'!$I$47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#2'!$D$35:$D$46</c:f>
              <c:numCache>
                <c:formatCode>0.0000000E+00</c:formatCode>
                <c:ptCount val="12"/>
                <c:pt idx="0" formatCode="0.00000000E+0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 formatCode="0.000000E+00">
                  <c:v>4.5697600000000008E-3</c:v>
                </c:pt>
                <c:pt idx="4" formatCode="0.000000E+00">
                  <c:v>5.7191406250000016E-3</c:v>
                </c:pt>
                <c:pt idx="5" formatCode="0.000000E+00">
                  <c:v>6.8797071360000026E-3</c:v>
                </c:pt>
                <c:pt idx="6" formatCode="0.00000E+00">
                  <c:v>8.0999999999999996E-3</c:v>
                </c:pt>
                <c:pt idx="7" formatCode="0.00000E+00">
                  <c:v>9.2352100000000006E-3</c:v>
                </c:pt>
                <c:pt idx="8" formatCode="0.00000E+00">
                  <c:v>1.0355301121000001E-2</c:v>
                </c:pt>
              </c:numCache>
            </c:numRef>
          </c:xVal>
          <c:yVal>
            <c:numRef>
              <c:f>'Barra #2'!$L$35:$L$46</c:f>
              <c:numCache>
                <c:formatCode>0.00000</c:formatCode>
                <c:ptCount val="12"/>
                <c:pt idx="0">
                  <c:v>5.5225000000000001E-4</c:v>
                </c:pt>
                <c:pt idx="1">
                  <c:v>1.1833600000000001E-3</c:v>
                </c:pt>
                <c:pt idx="2">
                  <c:v>1.7724099999999999E-3</c:v>
                </c:pt>
                <c:pt idx="3">
                  <c:v>2.2944099999999998E-3</c:v>
                </c:pt>
                <c:pt idx="4">
                  <c:v>2.9484900000000002E-3</c:v>
                </c:pt>
                <c:pt idx="5">
                  <c:v>3.5164900000000006E-3</c:v>
                </c:pt>
                <c:pt idx="6">
                  <c:v>4.0068899999999991E-3</c:v>
                </c:pt>
                <c:pt idx="7">
                  <c:v>4.7059600000000012E-3</c:v>
                </c:pt>
                <c:pt idx="8">
                  <c:v>5.2562500000000014E-3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E1-4009-A81B-0A27A30E1280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#2'!$D$35:$D$46</c:f>
              <c:numCache>
                <c:formatCode>0.0000000E+00</c:formatCode>
                <c:ptCount val="12"/>
                <c:pt idx="0" formatCode="0.00000000E+0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 formatCode="0.000000E+00">
                  <c:v>4.5697600000000008E-3</c:v>
                </c:pt>
                <c:pt idx="4" formatCode="0.000000E+00">
                  <c:v>5.7191406250000016E-3</c:v>
                </c:pt>
                <c:pt idx="5" formatCode="0.000000E+00">
                  <c:v>6.8797071360000026E-3</c:v>
                </c:pt>
                <c:pt idx="6" formatCode="0.00000E+00">
                  <c:v>8.0999999999999996E-3</c:v>
                </c:pt>
                <c:pt idx="7" formatCode="0.00000E+00">
                  <c:v>9.2352100000000006E-3</c:v>
                </c:pt>
                <c:pt idx="8" formatCode="0.00000E+00">
                  <c:v>1.0355301121000001E-2</c:v>
                </c:pt>
              </c:numCache>
            </c:numRef>
          </c:xVal>
          <c:yVal>
            <c:numRef>
              <c:f>'Barra #2'!$N$35:$N$46</c:f>
              <c:numCache>
                <c:formatCode>0.00000</c:formatCode>
                <c:ptCount val="12"/>
                <c:pt idx="0">
                  <c:v>5.7560747898994537E-4</c:v>
                </c:pt>
                <c:pt idx="1">
                  <c:v>1.1602511704011727E-3</c:v>
                </c:pt>
                <c:pt idx="2">
                  <c:v>1.7390939191137427E-3</c:v>
                </c:pt>
                <c:pt idx="3">
                  <c:v>2.33812996759217E-3</c:v>
                </c:pt>
                <c:pt idx="4">
                  <c:v>2.9136439447302893E-3</c:v>
                </c:pt>
                <c:pt idx="5">
                  <c:v>3.4947588808541879E-3</c:v>
                </c:pt>
                <c:pt idx="6">
                  <c:v>4.1057797943430544E-3</c:v>
                </c:pt>
                <c:pt idx="7">
                  <c:v>4.674198304083433E-3</c:v>
                </c:pt>
                <c:pt idx="8">
                  <c:v>5.2350465398920054E-3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E1-4009-A81B-0A27A30E1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97177992055984"/>
          <c:y val="0.61092630140624316"/>
          <c:w val="0.21103414156704173"/>
          <c:h val="0.1401068351064003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 i = 151 - Fórmula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68524166666666675"/>
        </c:manualLayout>
      </c:layout>
      <c:scatterChart>
        <c:scatterStyle val="lineMarker"/>
        <c:varyColors val="0"/>
        <c:ser>
          <c:idx val="0"/>
          <c:order val="0"/>
          <c:tx>
            <c:v>i=151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#2'!$G$47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#2'!$G$47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#2'!$I$47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#2'!$I$47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#2'!$AY$54:$AY$61</c:f>
              <c:numCache>
                <c:formatCode>0.00000</c:formatCode>
                <c:ptCount val="8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5.7191406250000016E-3</c:v>
                </c:pt>
                <c:pt idx="4">
                  <c:v>6.8797071360000026E-3</c:v>
                </c:pt>
                <c:pt idx="5">
                  <c:v>8.0999999999999996E-3</c:v>
                </c:pt>
                <c:pt idx="6">
                  <c:v>9.2352100000000006E-3</c:v>
                </c:pt>
                <c:pt idx="7">
                  <c:v>1.0355301121000001E-2</c:v>
                </c:pt>
              </c:numCache>
            </c:numRef>
          </c:xVal>
          <c:yVal>
            <c:numRef>
              <c:f>'Barra #2'!$AZ$54:$AZ$61</c:f>
              <c:numCache>
                <c:formatCode>General</c:formatCode>
                <c:ptCount val="8"/>
                <c:pt idx="0" formatCode="0.00">
                  <c:v>5.6011111111111105E-4</c:v>
                </c:pt>
                <c:pt idx="1">
                  <c:v>1.1833600000000001E-3</c:v>
                </c:pt>
                <c:pt idx="2">
                  <c:v>1.7864711111111112E-3</c:v>
                </c:pt>
                <c:pt idx="3" formatCode="0.000000E+00">
                  <c:v>2.9738844444444439E-3</c:v>
                </c:pt>
                <c:pt idx="4">
                  <c:v>3.5442177777777772E-3</c:v>
                </c:pt>
                <c:pt idx="5">
                  <c:v>4.0704399999999998E-3</c:v>
                </c:pt>
                <c:pt idx="6" formatCode="0.000000000">
                  <c:v>4.7334400000000002E-3</c:v>
                </c:pt>
                <c:pt idx="7">
                  <c:v>5.2804444444444452E-3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0E-4B01-B1EA-F40E9593801C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#2'!$AY$54:$AY$61</c:f>
              <c:numCache>
                <c:formatCode>0.00000</c:formatCode>
                <c:ptCount val="8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5.7191406250000016E-3</c:v>
                </c:pt>
                <c:pt idx="4">
                  <c:v>6.8797071360000026E-3</c:v>
                </c:pt>
                <c:pt idx="5">
                  <c:v>8.0999999999999996E-3</c:v>
                </c:pt>
                <c:pt idx="6">
                  <c:v>9.2352100000000006E-3</c:v>
                </c:pt>
                <c:pt idx="7">
                  <c:v>1.0355301121000001E-2</c:v>
                </c:pt>
              </c:numCache>
            </c:numRef>
          </c:xVal>
          <c:yVal>
            <c:numRef>
              <c:f>'Barra #2'!$BA$54:$BA$61</c:f>
              <c:numCache>
                <c:formatCode>General</c:formatCode>
                <c:ptCount val="8"/>
                <c:pt idx="0">
                  <c:v>5.9057986454838041E-4</c:v>
                </c:pt>
                <c:pt idx="1">
                  <c:v>1.1786844082048898E-3</c:v>
                </c:pt>
                <c:pt idx="2">
                  <c:v>1.7609536699474929E-3</c:v>
                </c:pt>
                <c:pt idx="3">
                  <c:v>2.9424565527539272E-3</c:v>
                </c:pt>
                <c:pt idx="4">
                  <c:v>3.527011452330774E-3</c:v>
                </c:pt>
                <c:pt idx="5">
                  <c:v>4.1416493604634341E-3</c:v>
                </c:pt>
                <c:pt idx="6">
                  <c:v>4.7134326759899602E-3</c:v>
                </c:pt>
                <c:pt idx="7">
                  <c:v>5.277600904650034E-3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40E-4B01-B1EA-F40E9593801C}"/>
            </c:ext>
          </c:extLst>
        </c:ser>
        <c:ser>
          <c:idx val="2"/>
          <c:order val="2"/>
          <c:tx>
            <c:v>Ponto Duvidoso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'Barra #2'!$D$38</c:f>
              <c:numCache>
                <c:formatCode>0.000000E+00</c:formatCode>
                <c:ptCount val="1"/>
                <c:pt idx="0">
                  <c:v>4.5697600000000008E-3</c:v>
                </c:pt>
              </c:numCache>
            </c:numRef>
          </c:xVal>
          <c:yVal>
            <c:numRef>
              <c:f>'Barra #2'!$P$38</c:f>
              <c:numCache>
                <c:formatCode>0.00000</c:formatCode>
                <c:ptCount val="1"/>
                <c:pt idx="0">
                  <c:v>2.614617777777778E-3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7E-4862-81E6-3EF63C9BF7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644093455984161"/>
          <c:y val="0.599273400932958"/>
          <c:w val="0.22694448672288006"/>
          <c:h val="0.2313317672355015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r>
              <a:rPr lang="en-US" sz="1600" baseline="0"/>
              <a:t> para</a:t>
            </a:r>
            <a:r>
              <a:rPr lang="en-US" sz="1600"/>
              <a:t> i = 101 - Fórmula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7330662393162394"/>
          <c:y val="0.14591770833333334"/>
          <c:w val="0.7888036324786325"/>
          <c:h val="0.70424849135726708"/>
        </c:manualLayout>
      </c:layout>
      <c:scatterChart>
        <c:scatterStyle val="lineMarker"/>
        <c:varyColors val="0"/>
        <c:ser>
          <c:idx val="0"/>
          <c:order val="0"/>
          <c:tx>
            <c:v>Resíduos para i=101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#2'!$G$47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#2'!$G$47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#2'!$M$35:$M$46</c:f>
                <c:numCache>
                  <c:formatCode>General</c:formatCode>
                  <c:ptCount val="12"/>
                  <c:pt idx="0">
                    <c:v>6.6468037431535469E-6</c:v>
                  </c:pt>
                  <c:pt idx="1">
                    <c:v>9.7297893091268945E-6</c:v>
                  </c:pt>
                  <c:pt idx="2">
                    <c:v>1.1907678195181461E-5</c:v>
                  </c:pt>
                  <c:pt idx="3">
                    <c:v>1.354816592753425E-5</c:v>
                  </c:pt>
                  <c:pt idx="4">
                    <c:v>1.5358359287371814E-5</c:v>
                  </c:pt>
                  <c:pt idx="5">
                    <c:v>1.6772572849744909E-5</c:v>
                  </c:pt>
                  <c:pt idx="6">
                    <c:v>1.7903943699643381E-5</c:v>
                  </c:pt>
                  <c:pt idx="7">
                    <c:v>1.9403010075758868E-5</c:v>
                  </c:pt>
                  <c:pt idx="8">
                    <c:v>2.0506096654409882E-5</c:v>
                  </c:pt>
                </c:numCache>
              </c:numRef>
            </c:plus>
            <c:minus>
              <c:numRef>
                <c:f>'Barra #2'!$M$35:$M$46</c:f>
                <c:numCache>
                  <c:formatCode>General</c:formatCode>
                  <c:ptCount val="12"/>
                  <c:pt idx="0">
                    <c:v>6.6468037431535469E-6</c:v>
                  </c:pt>
                  <c:pt idx="1">
                    <c:v>9.7297893091268945E-6</c:v>
                  </c:pt>
                  <c:pt idx="2">
                    <c:v>1.1907678195181461E-5</c:v>
                  </c:pt>
                  <c:pt idx="3">
                    <c:v>1.354816592753425E-5</c:v>
                  </c:pt>
                  <c:pt idx="4">
                    <c:v>1.5358359287371814E-5</c:v>
                  </c:pt>
                  <c:pt idx="5">
                    <c:v>1.6772572849744909E-5</c:v>
                  </c:pt>
                  <c:pt idx="6">
                    <c:v>1.7903943699643381E-5</c:v>
                  </c:pt>
                  <c:pt idx="7">
                    <c:v>1.9403010075758868E-5</c:v>
                  </c:pt>
                  <c:pt idx="8">
                    <c:v>2.0506096654409882E-5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#2'!$D$35:$D$46</c:f>
              <c:numCache>
                <c:formatCode>0.0000000E+00</c:formatCode>
                <c:ptCount val="12"/>
                <c:pt idx="0" formatCode="0.00000000E+0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 formatCode="0.000000E+00">
                  <c:v>4.5697600000000008E-3</c:v>
                </c:pt>
                <c:pt idx="4" formatCode="0.000000E+00">
                  <c:v>5.7191406250000016E-3</c:v>
                </c:pt>
                <c:pt idx="5" formatCode="0.000000E+00">
                  <c:v>6.8797071360000026E-3</c:v>
                </c:pt>
                <c:pt idx="6" formatCode="0.00000E+00">
                  <c:v>8.0999999999999996E-3</c:v>
                </c:pt>
                <c:pt idx="7" formatCode="0.00000E+00">
                  <c:v>9.2352100000000006E-3</c:v>
                </c:pt>
                <c:pt idx="8" formatCode="0.00000E+00">
                  <c:v>1.0355301121000001E-2</c:v>
                </c:pt>
              </c:numCache>
            </c:numRef>
          </c:xVal>
          <c:yVal>
            <c:numRef>
              <c:f>'Barra #2'!$O$35:$O$46</c:f>
              <c:numCache>
                <c:formatCode>0.00000</c:formatCode>
                <c:ptCount val="12"/>
                <c:pt idx="0">
                  <c:v>-2.3357478989945364E-5</c:v>
                </c:pt>
                <c:pt idx="1">
                  <c:v>2.3108829598827334E-5</c:v>
                </c:pt>
                <c:pt idx="2">
                  <c:v>3.3316080886257142E-5</c:v>
                </c:pt>
                <c:pt idx="3">
                  <c:v>-4.3719967592170238E-5</c:v>
                </c:pt>
                <c:pt idx="4">
                  <c:v>3.4846055269710952E-5</c:v>
                </c:pt>
                <c:pt idx="5">
                  <c:v>2.1731119145812668E-5</c:v>
                </c:pt>
                <c:pt idx="6">
                  <c:v>-9.8889794343055316E-5</c:v>
                </c:pt>
                <c:pt idx="7">
                  <c:v>3.1761695916568237E-5</c:v>
                </c:pt>
                <c:pt idx="8">
                  <c:v>2.1203460107995994E-5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81-4B73-9B2B-AEFAE88B34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- </a:t>
                </a:r>
                <a:r>
                  <a:rPr lang="en-US" sz="1400" b="0" i="0" u="none" strike="noStrike" baseline="0">
                    <a:effectLst/>
                  </a:rPr>
                  <a:t>T</a:t>
                </a:r>
                <a:r>
                  <a:rPr lang="en-US" sz="1400" b="0" i="0" u="none" strike="noStrike" baseline="30000">
                    <a:effectLst/>
                  </a:rPr>
                  <a:t>2</a:t>
                </a:r>
                <a:r>
                  <a:rPr lang="en-US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r>
              <a:rPr lang="en-US" sz="1600" baseline="0"/>
              <a:t> para</a:t>
            </a:r>
            <a:r>
              <a:rPr lang="en-US" sz="1600"/>
              <a:t> i = 151 - Fórmula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70288055555555562"/>
        </c:manualLayout>
      </c:layout>
      <c:scatterChart>
        <c:scatterStyle val="lineMarker"/>
        <c:varyColors val="0"/>
        <c:ser>
          <c:idx val="0"/>
          <c:order val="0"/>
          <c:tx>
            <c:v>Resíduos para i=151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#2'!$G$47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#2'!$G$47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#2'!$Q$35:$Q$46</c:f>
                <c:numCache>
                  <c:formatCode>General</c:formatCode>
                  <c:ptCount val="12"/>
                  <c:pt idx="0">
                    <c:v>4.462629463488434E-6</c:v>
                  </c:pt>
                  <c:pt idx="1">
                    <c:v>6.4865262060845966E-6</c:v>
                  </c:pt>
                  <c:pt idx="2">
                    <c:v>7.9698790981737111E-6</c:v>
                  </c:pt>
                  <c:pt idx="3">
                    <c:v>9.6417937985792362E-6</c:v>
                  </c:pt>
                  <c:pt idx="4">
                    <c:v>1.0282903946855039E-5</c:v>
                  </c:pt>
                  <c:pt idx="5">
                    <c:v>1.1225712988437101E-5</c:v>
                  </c:pt>
                  <c:pt idx="6">
                    <c:v>1.2030243370587129E-5</c:v>
                  </c:pt>
                  <c:pt idx="7">
                    <c:v>1.2973052412169193E-5</c:v>
                  </c:pt>
                  <c:pt idx="8">
                    <c:v>1.3702158070992658E-5</c:v>
                  </c:pt>
                </c:numCache>
              </c:numRef>
            </c:plus>
            <c:minus>
              <c:numRef>
                <c:f>'Barra #2'!$Q$35:$Q$46</c:f>
                <c:numCache>
                  <c:formatCode>General</c:formatCode>
                  <c:ptCount val="12"/>
                  <c:pt idx="0">
                    <c:v>4.462629463488434E-6</c:v>
                  </c:pt>
                  <c:pt idx="1">
                    <c:v>6.4865262060845966E-6</c:v>
                  </c:pt>
                  <c:pt idx="2">
                    <c:v>7.9698790981737111E-6</c:v>
                  </c:pt>
                  <c:pt idx="3">
                    <c:v>9.6417937985792362E-6</c:v>
                  </c:pt>
                  <c:pt idx="4">
                    <c:v>1.0282903946855039E-5</c:v>
                  </c:pt>
                  <c:pt idx="5">
                    <c:v>1.1225712988437101E-5</c:v>
                  </c:pt>
                  <c:pt idx="6">
                    <c:v>1.2030243370587129E-5</c:v>
                  </c:pt>
                  <c:pt idx="7">
                    <c:v>1.2973052412169193E-5</c:v>
                  </c:pt>
                  <c:pt idx="8">
                    <c:v>1.3702158070992658E-5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#2'!$AY$54:$AY$61</c:f>
              <c:numCache>
                <c:formatCode>0.00000</c:formatCode>
                <c:ptCount val="8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5.7191406250000016E-3</c:v>
                </c:pt>
                <c:pt idx="4">
                  <c:v>6.8797071360000026E-3</c:v>
                </c:pt>
                <c:pt idx="5">
                  <c:v>8.0999999999999996E-3</c:v>
                </c:pt>
                <c:pt idx="6">
                  <c:v>9.2352100000000006E-3</c:v>
                </c:pt>
                <c:pt idx="7">
                  <c:v>1.0355301121000001E-2</c:v>
                </c:pt>
              </c:numCache>
            </c:numRef>
          </c:xVal>
          <c:yVal>
            <c:numRef>
              <c:f>'Barra #2'!$BB$54:$BB$61</c:f>
              <c:numCache>
                <c:formatCode>General</c:formatCode>
                <c:ptCount val="8"/>
                <c:pt idx="0" formatCode="0.00000">
                  <c:v>-3.0468753437269355E-5</c:v>
                </c:pt>
                <c:pt idx="1">
                  <c:v>4.6755917951103038E-6</c:v>
                </c:pt>
                <c:pt idx="2">
                  <c:v>2.5517441163618298E-5</c:v>
                </c:pt>
                <c:pt idx="3">
                  <c:v>3.1427891690516668E-5</c:v>
                </c:pt>
                <c:pt idx="4">
                  <c:v>1.7206325447003193E-5</c:v>
                </c:pt>
                <c:pt idx="5">
                  <c:v>-7.1209360463434304E-5</c:v>
                </c:pt>
                <c:pt idx="6">
                  <c:v>2.000732401003999E-5</c:v>
                </c:pt>
                <c:pt idx="7">
                  <c:v>2.8435397944111956E-6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A9-43DE-AF36-32C0D35D69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- </a:t>
                </a:r>
                <a:r>
                  <a:rPr lang="en-US" sz="1400" b="0" i="0" u="none" strike="noStrike" baseline="0">
                    <a:effectLst/>
                  </a:rPr>
                  <a:t>T</a:t>
                </a:r>
                <a:r>
                  <a:rPr lang="en-US" sz="1400" b="0" i="0" u="none" strike="noStrike" baseline="30000">
                    <a:effectLst/>
                  </a:rPr>
                  <a:t>2</a:t>
                </a:r>
                <a:r>
                  <a:rPr lang="en-US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Linearização</a:t>
            </a:r>
            <a:r>
              <a:rPr lang="en-US" sz="1600" baseline="0"/>
              <a:t> para i=51 - Fórmula 1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754369658119658"/>
          <c:y val="0.17171296296296296"/>
          <c:w val="0.78293525641025652"/>
          <c:h val="0.67354166666666671"/>
        </c:manualLayout>
      </c:layout>
      <c:scatterChart>
        <c:scatterStyle val="lineMarker"/>
        <c:varyColors val="0"/>
        <c:ser>
          <c:idx val="0"/>
          <c:order val="0"/>
          <c:tx>
            <c:v>log(T)[log(ℓ)]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'Barra #2'!$D$81:$D$88</c:f>
              <c:numCache>
                <c:formatCode>0.0000</c:formatCode>
                <c:ptCount val="8"/>
                <c:pt idx="0">
                  <c:v>-0.66354026615147055</c:v>
                </c:pt>
                <c:pt idx="1">
                  <c:v>-0.61798295742513154</c:v>
                </c:pt>
                <c:pt idx="2">
                  <c:v>-0.58502665202918203</c:v>
                </c:pt>
                <c:pt idx="3">
                  <c:v>-0.56066730616973737</c:v>
                </c:pt>
                <c:pt idx="4">
                  <c:v>-0.54060751224076908</c:v>
                </c:pt>
                <c:pt idx="5">
                  <c:v>-0.52287874528033762</c:v>
                </c:pt>
                <c:pt idx="6">
                  <c:v>-0.50863830616572736</c:v>
                </c:pt>
                <c:pt idx="7">
                  <c:v>-0.49620931694281889</c:v>
                </c:pt>
              </c:numCache>
            </c:numRef>
          </c:xVal>
          <c:yVal>
            <c:numRef>
              <c:f>'Barra #2'!$F$81:$F$88</c:f>
              <c:numCache>
                <c:formatCode>0.0000</c:formatCode>
                <c:ptCount val="8"/>
                <c:pt idx="0">
                  <c:v>-1.4685210829577449</c:v>
                </c:pt>
                <c:pt idx="1">
                  <c:v>-1.3788237182249647</c:v>
                </c:pt>
                <c:pt idx="2">
                  <c:v>-1.3223930472795069</c:v>
                </c:pt>
                <c:pt idx="3">
                  <c:v>-1.2692177243336109</c:v>
                </c:pt>
                <c:pt idx="4">
                  <c:v>-1.2321023839819094</c:v>
                </c:pt>
                <c:pt idx="5">
                  <c:v>-1.2020403562628039</c:v>
                </c:pt>
                <c:pt idx="6">
                  <c:v>-1.1674910872937636</c:v>
                </c:pt>
                <c:pt idx="7">
                  <c:v>-1.1426675035687315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B1-43B7-A899-2AAD6AF35969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#2'!$D$81:$D$88</c:f>
              <c:numCache>
                <c:formatCode>0.0000</c:formatCode>
                <c:ptCount val="8"/>
                <c:pt idx="0">
                  <c:v>-0.66354026615147055</c:v>
                </c:pt>
                <c:pt idx="1">
                  <c:v>-0.61798295742513154</c:v>
                </c:pt>
                <c:pt idx="2">
                  <c:v>-0.58502665202918203</c:v>
                </c:pt>
                <c:pt idx="3">
                  <c:v>-0.56066730616973737</c:v>
                </c:pt>
                <c:pt idx="4">
                  <c:v>-0.54060751224076908</c:v>
                </c:pt>
                <c:pt idx="5">
                  <c:v>-0.52287874528033762</c:v>
                </c:pt>
                <c:pt idx="6">
                  <c:v>-0.50863830616572736</c:v>
                </c:pt>
                <c:pt idx="7">
                  <c:v>-0.49620931694281889</c:v>
                </c:pt>
              </c:numCache>
            </c:numRef>
          </c:xVal>
          <c:yVal>
            <c:numRef>
              <c:f>'Barra #2'!$H$81:$H$88</c:f>
              <c:numCache>
                <c:formatCode>0.0000</c:formatCode>
                <c:ptCount val="8"/>
                <c:pt idx="0">
                  <c:v>-1.4694909547304096</c:v>
                </c:pt>
                <c:pt idx="1">
                  <c:v>-1.3813398761831672</c:v>
                </c:pt>
                <c:pt idx="2">
                  <c:v>-1.3175710990801062</c:v>
                </c:pt>
                <c:pt idx="3">
                  <c:v>-1.2704370020439069</c:v>
                </c:pt>
                <c:pt idx="4">
                  <c:v>-1.2316223196205873</c:v>
                </c:pt>
                <c:pt idx="5">
                  <c:v>-1.1973180559894212</c:v>
                </c:pt>
                <c:pt idx="6">
                  <c:v>-1.1697635295690869</c:v>
                </c:pt>
                <c:pt idx="7">
                  <c:v>-1.145714066686351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B1-43B7-A899-2AAD6AF359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34031"/>
        <c:axId val="295511791"/>
      </c:scatterChart>
      <c:valAx>
        <c:axId val="512934031"/>
        <c:scaling>
          <c:orientation val="minMax"/>
          <c:max val="-0.4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</a:t>
                </a:r>
                <a:r>
                  <a:rPr lang="en-US" sz="1400" b="0" i="0" u="none" strike="noStrike" baseline="0">
                    <a:effectLst/>
                  </a:rPr>
                  <a:t>ℓ</a:t>
                </a:r>
                <a:r>
                  <a:rPr lang="en-US" sz="1400"/>
                  <a:t>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95511791"/>
        <c:crossesAt val="-10"/>
        <c:crossBetween val="midCat"/>
      </c:valAx>
      <c:valAx>
        <c:axId val="295511791"/>
        <c:scaling>
          <c:orientation val="minMax"/>
          <c:max val="-1.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Log(T)</a:t>
                </a:r>
                <a:r>
                  <a:rPr lang="en-US" sz="1400" baseline="0"/>
                  <a:t> (s.u.)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1.5667392646693985E-2"/>
              <c:y val="0.366377223680373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2934031"/>
        <c:crossesAt val="-1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78716102740572"/>
          <c:y val="0.63483145489325665"/>
          <c:w val="0.23955641374535583"/>
          <c:h val="0.18132426166654833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Linearização</a:t>
            </a:r>
            <a:r>
              <a:rPr lang="en-US" sz="1600" baseline="0"/>
              <a:t> para i=101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345255110631994"/>
          <c:y val="0.17171296296296296"/>
          <c:w val="0.82858552539607222"/>
          <c:h val="0.66833799158492768"/>
        </c:manualLayout>
      </c:layout>
      <c:scatterChart>
        <c:scatterStyle val="lineMarker"/>
        <c:varyColors val="0"/>
        <c:ser>
          <c:idx val="0"/>
          <c:order val="0"/>
          <c:tx>
            <c:v>log(T)[log(ℓ)]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'Barra #2'!$U$74:$U$84</c:f>
              <c:numCache>
                <c:formatCode>General</c:formatCode>
                <c:ptCount val="11"/>
                <c:pt idx="0">
                  <c:v>-0.66354026615147055</c:v>
                </c:pt>
                <c:pt idx="1">
                  <c:v>-0.61798295742513154</c:v>
                </c:pt>
                <c:pt idx="2">
                  <c:v>-0.58502665202918203</c:v>
                </c:pt>
                <c:pt idx="3">
                  <c:v>-0.56066730616973737</c:v>
                </c:pt>
                <c:pt idx="4">
                  <c:v>-0.54060751224076908</c:v>
                </c:pt>
                <c:pt idx="5">
                  <c:v>-0.52287874528033762</c:v>
                </c:pt>
                <c:pt idx="6">
                  <c:v>-0.50863830616572736</c:v>
                </c:pt>
                <c:pt idx="7">
                  <c:v>-0.49620931694281889</c:v>
                </c:pt>
              </c:numCache>
            </c:numRef>
          </c:xVal>
          <c:yVal>
            <c:numRef>
              <c:f>'Barra #2'!$W$74:$W$84</c:f>
              <c:numCache>
                <c:formatCode>General</c:formatCode>
                <c:ptCount val="11"/>
                <c:pt idx="0">
                  <c:v>-1.4634415574284698</c:v>
                </c:pt>
                <c:pt idx="1">
                  <c:v>-1.3757179041643317</c:v>
                </c:pt>
                <c:pt idx="2">
                  <c:v>-1.3196644865854368</c:v>
                </c:pt>
                <c:pt idx="3">
                  <c:v>-1.2652001704111531</c:v>
                </c:pt>
                <c:pt idx="4">
                  <c:v>-1.2269453066357374</c:v>
                </c:pt>
                <c:pt idx="5">
                  <c:v>-1.198596289982645</c:v>
                </c:pt>
                <c:pt idx="6">
                  <c:v>-1.1636758842932482</c:v>
                </c:pt>
                <c:pt idx="7">
                  <c:v>-1.1396619934290062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3B-4E42-8B98-775B71F7E179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#2'!$U$74:$U$84</c:f>
              <c:numCache>
                <c:formatCode>General</c:formatCode>
                <c:ptCount val="11"/>
                <c:pt idx="0">
                  <c:v>-0.66354026615147055</c:v>
                </c:pt>
                <c:pt idx="1">
                  <c:v>-0.61798295742513154</c:v>
                </c:pt>
                <c:pt idx="2">
                  <c:v>-0.58502665202918203</c:v>
                </c:pt>
                <c:pt idx="3">
                  <c:v>-0.56066730616973737</c:v>
                </c:pt>
                <c:pt idx="4">
                  <c:v>-0.54060751224076908</c:v>
                </c:pt>
                <c:pt idx="5">
                  <c:v>-0.52287874528033762</c:v>
                </c:pt>
                <c:pt idx="6">
                  <c:v>-0.50863830616572736</c:v>
                </c:pt>
                <c:pt idx="7">
                  <c:v>-0.49620931694281889</c:v>
                </c:pt>
              </c:numCache>
            </c:numRef>
          </c:xVal>
          <c:yVal>
            <c:numRef>
              <c:f>'Barra #2'!$Y$74:$Y$84</c:f>
              <c:numCache>
                <c:formatCode>General</c:formatCode>
                <c:ptCount val="11"/>
                <c:pt idx="0">
                  <c:v>-1.4652469986276333</c:v>
                </c:pt>
                <c:pt idx="1">
                  <c:v>-1.3772976135153479</c:v>
                </c:pt>
                <c:pt idx="2">
                  <c:v>-1.3136747420995327</c:v>
                </c:pt>
                <c:pt idx="3">
                  <c:v>-1.2666484898916839</c:v>
                </c:pt>
                <c:pt idx="4">
                  <c:v>-1.2279226171205402</c:v>
                </c:pt>
                <c:pt idx="5">
                  <c:v>-1.1936968431105957</c:v>
                </c:pt>
                <c:pt idx="6">
                  <c:v>-1.1662053626242865</c:v>
                </c:pt>
                <c:pt idx="7">
                  <c:v>-1.1422109259404087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3B-4E42-8B98-775B71F7E1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34031"/>
        <c:axId val="295511791"/>
      </c:scatterChart>
      <c:valAx>
        <c:axId val="512934031"/>
        <c:scaling>
          <c:orientation val="minMax"/>
          <c:max val="-0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</a:t>
                </a:r>
                <a:r>
                  <a:rPr lang="en-US" sz="1400" b="0" i="0" u="none" strike="noStrike" baseline="0">
                    <a:effectLst/>
                  </a:rPr>
                  <a:t>ℓ</a:t>
                </a:r>
                <a:r>
                  <a:rPr lang="en-US" sz="1400"/>
                  <a:t>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95511791"/>
        <c:crossesAt val="-10"/>
        <c:crossBetween val="midCat"/>
      </c:valAx>
      <c:valAx>
        <c:axId val="295511791"/>
        <c:scaling>
          <c:orientation val="minMax"/>
          <c:max val="-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Log(T)</a:t>
                </a:r>
                <a:r>
                  <a:rPr lang="en-US" sz="1400" baseline="0"/>
                  <a:t> (s.u.)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2.4999994531934706E-2"/>
              <c:y val="0.361747594050743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2934031"/>
        <c:crossesAt val="-1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Linearização</a:t>
            </a:r>
            <a:r>
              <a:rPr lang="en-US" sz="1600" baseline="0"/>
              <a:t> para i=151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3764137046927738"/>
          <c:y val="0.17171296296296296"/>
          <c:w val="0.82546972663139895"/>
          <c:h val="0.67006531134111058"/>
        </c:manualLayout>
      </c:layout>
      <c:scatterChart>
        <c:scatterStyle val="lineMarker"/>
        <c:varyColors val="0"/>
        <c:ser>
          <c:idx val="0"/>
          <c:order val="0"/>
          <c:tx>
            <c:v>log(T)[log(ℓ)]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'Barra #2'!$AR$90:$AR$96</c:f>
              <c:numCache>
                <c:formatCode>0.00000</c:formatCode>
                <c:ptCount val="7"/>
                <c:pt idx="0">
                  <c:v>-0.66354026615147055</c:v>
                </c:pt>
                <c:pt idx="1">
                  <c:v>-0.61798295742513154</c:v>
                </c:pt>
                <c:pt idx="2">
                  <c:v>-0.56066730616973737</c:v>
                </c:pt>
                <c:pt idx="3">
                  <c:v>-0.54060751224076908</c:v>
                </c:pt>
                <c:pt idx="4">
                  <c:v>-0.52287874528033762</c:v>
                </c:pt>
                <c:pt idx="5">
                  <c:v>-0.50863830616572736</c:v>
                </c:pt>
                <c:pt idx="6">
                  <c:v>-0.49620931694281889</c:v>
                </c:pt>
              </c:numCache>
            </c:numRef>
          </c:xVal>
          <c:yVal>
            <c:numRef>
              <c:f>'Barra #2'!$AS$90:$AS$96</c:f>
              <c:numCache>
                <c:formatCode>0.00000</c:formatCode>
                <c:ptCount val="7"/>
                <c:pt idx="0">
                  <c:v>-1.4634415574284698</c:v>
                </c:pt>
                <c:pt idx="1">
                  <c:v>-1.3740020011739484</c:v>
                </c:pt>
                <c:pt idx="2">
                  <c:v>-1.2633379553843582</c:v>
                </c:pt>
                <c:pt idx="3">
                  <c:v>-1.225239800167135</c:v>
                </c:pt>
                <c:pt idx="4">
                  <c:v>-1.1951793212788377</c:v>
                </c:pt>
                <c:pt idx="5">
                  <c:v>-1.1624115617644888</c:v>
                </c:pt>
                <c:pt idx="6">
                  <c:v>-1.1386647611150575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DD-4C2D-9142-D8324B480289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#2'!$AR$90:$AR$96</c:f>
              <c:numCache>
                <c:formatCode>0.00000</c:formatCode>
                <c:ptCount val="7"/>
                <c:pt idx="0">
                  <c:v>-0.66354026615147055</c:v>
                </c:pt>
                <c:pt idx="1">
                  <c:v>-0.61798295742513154</c:v>
                </c:pt>
                <c:pt idx="2">
                  <c:v>-0.56066730616973737</c:v>
                </c:pt>
                <c:pt idx="3">
                  <c:v>-0.54060751224076908</c:v>
                </c:pt>
                <c:pt idx="4">
                  <c:v>-0.52287874528033762</c:v>
                </c:pt>
                <c:pt idx="5">
                  <c:v>-0.50863830616572736</c:v>
                </c:pt>
                <c:pt idx="6">
                  <c:v>-0.49620931694281889</c:v>
                </c:pt>
              </c:numCache>
            </c:numRef>
          </c:xVal>
          <c:yVal>
            <c:numRef>
              <c:f>'Barra #2'!$AT$90:$AT$96</c:f>
              <c:numCache>
                <c:formatCode>General</c:formatCode>
                <c:ptCount val="7"/>
                <c:pt idx="0">
                  <c:v>-1.4628945816058589</c:v>
                </c:pt>
                <c:pt idx="1">
                  <c:v>-1.3749151061195932</c:v>
                </c:pt>
                <c:pt idx="2">
                  <c:v>-1.2642281257956673</c:v>
                </c:pt>
                <c:pt idx="3">
                  <c:v>-1.2254890036312174</c:v>
                </c:pt>
                <c:pt idx="4">
                  <c:v>-1.1912515198595912</c:v>
                </c:pt>
                <c:pt idx="5">
                  <c:v>-1.1637506336346513</c:v>
                </c:pt>
                <c:pt idx="6">
                  <c:v>-1.1397479876657131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BDD-4C2D-9142-D8324B480289}"/>
            </c:ext>
          </c:extLst>
        </c:ser>
        <c:ser>
          <c:idx val="2"/>
          <c:order val="2"/>
          <c:tx>
            <c:v>Ponto Duvidoso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'Barra #2'!$AK$92</c:f>
              <c:numCache>
                <c:formatCode>General</c:formatCode>
                <c:ptCount val="1"/>
                <c:pt idx="0">
                  <c:v>-0.58502665202918203</c:v>
                </c:pt>
              </c:numCache>
            </c:numRef>
          </c:xVal>
          <c:yVal>
            <c:numRef>
              <c:f>'Barra #2'!$AM$92</c:f>
              <c:numCache>
                <c:formatCode>General</c:formatCode>
                <c:ptCount val="1"/>
                <c:pt idx="0">
                  <c:v>-1.2912958951067002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BC-41E0-BA81-86D75DDC0C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34031"/>
        <c:axId val="295511791"/>
      </c:scatterChart>
      <c:valAx>
        <c:axId val="512934031"/>
        <c:scaling>
          <c:orientation val="minMax"/>
          <c:max val="-0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</a:t>
                </a:r>
                <a:r>
                  <a:rPr lang="en-US" sz="1400" b="0" i="0" u="none" strike="noStrike" baseline="0">
                    <a:effectLst/>
                  </a:rPr>
                  <a:t>ℓ</a:t>
                </a:r>
                <a:r>
                  <a:rPr lang="en-US" sz="1400"/>
                  <a:t>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95511791"/>
        <c:crossesAt val="-10"/>
        <c:crossBetween val="midCat"/>
      </c:valAx>
      <c:valAx>
        <c:axId val="295511791"/>
        <c:scaling>
          <c:orientation val="minMax"/>
          <c:max val="-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Log(T)</a:t>
                </a:r>
                <a:r>
                  <a:rPr lang="en-US" sz="1400" baseline="0"/>
                  <a:t> (s.u.)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2.0428939991997158E-2"/>
              <c:y val="0.366377223680373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2934031"/>
        <c:crossesAt val="-1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Média</a:t>
            </a:r>
            <a:r>
              <a:rPr lang="en-US" sz="1600" baseline="0"/>
              <a:t> dos 3 i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68524166666666675"/>
        </c:manualLayout>
      </c:layout>
      <c:scatterChart>
        <c:scatterStyle val="lineMarker"/>
        <c:varyColors val="0"/>
        <c:ser>
          <c:idx val="0"/>
          <c:order val="0"/>
          <c:tx>
            <c:v>Média dos 3 valores de 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#2'!$G$47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#2'!$G$47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#2'!$DO$48:$DO$59</c:f>
                <c:numCache>
                  <c:formatCode>General</c:formatCode>
                  <c:ptCount val="12"/>
                  <c:pt idx="0">
                    <c:v>3.3511081775101674E-6</c:v>
                  </c:pt>
                  <c:pt idx="1">
                    <c:v>7.4464488180608418E-6</c:v>
                  </c:pt>
                  <c:pt idx="2">
                    <c:v>9.3696195912568116E-6</c:v>
                  </c:pt>
                  <c:pt idx="3">
                    <c:v>1.0129304640497394E-5</c:v>
                  </c:pt>
                  <c:pt idx="4">
                    <c:v>1.9126963769165646E-5</c:v>
                  </c:pt>
                  <c:pt idx="5">
                    <c:v>2.7036880244767748E-5</c:v>
                  </c:pt>
                  <c:pt idx="6">
                    <c:v>2.2468317972202814E-5</c:v>
                  </c:pt>
                  <c:pt idx="7">
                    <c:v>2.6839513160015903E-5</c:v>
                  </c:pt>
                  <c:pt idx="8">
                    <c:v>2.3654116004034596E-5</c:v>
                  </c:pt>
                </c:numCache>
              </c:numRef>
            </c:plus>
            <c:minus>
              <c:numRef>
                <c:f>'Barra #2'!$DO$48:$DO$59</c:f>
                <c:numCache>
                  <c:formatCode>General</c:formatCode>
                  <c:ptCount val="12"/>
                  <c:pt idx="0">
                    <c:v>3.3511081775101674E-6</c:v>
                  </c:pt>
                  <c:pt idx="1">
                    <c:v>7.4464488180608418E-6</c:v>
                  </c:pt>
                  <c:pt idx="2">
                    <c:v>9.3696195912568116E-6</c:v>
                  </c:pt>
                  <c:pt idx="3">
                    <c:v>1.0129304640497394E-5</c:v>
                  </c:pt>
                  <c:pt idx="4">
                    <c:v>1.9126963769165646E-5</c:v>
                  </c:pt>
                  <c:pt idx="5">
                    <c:v>2.7036880244767748E-5</c:v>
                  </c:pt>
                  <c:pt idx="6">
                    <c:v>2.2468317972202814E-5</c:v>
                  </c:pt>
                  <c:pt idx="7">
                    <c:v>2.6839513160015903E-5</c:v>
                  </c:pt>
                  <c:pt idx="8">
                    <c:v>2.3654116004034596E-5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#2'!$DJ$48:$DJ$75</c:f>
              <c:numCache>
                <c:formatCode>0.0000000E+00</c:formatCode>
                <c:ptCount val="28"/>
                <c:pt idx="0" formatCode="0.000000000E+0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 formatCode="0.000000E+00">
                  <c:v>4.5697600000000008E-3</c:v>
                </c:pt>
                <c:pt idx="4" formatCode="0.000000E+00">
                  <c:v>5.7191406250000016E-3</c:v>
                </c:pt>
                <c:pt idx="5" formatCode="0.00000E+00">
                  <c:v>6.8797071360000026E-3</c:v>
                </c:pt>
                <c:pt idx="6" formatCode="0.00000E+00">
                  <c:v>8.0999999999999996E-3</c:v>
                </c:pt>
                <c:pt idx="7" formatCode="0.00000E+00">
                  <c:v>9.2352100000000006E-3</c:v>
                </c:pt>
                <c:pt idx="8" formatCode="0.00000E+00">
                  <c:v>1.0355301121000001E-2</c:v>
                </c:pt>
              </c:numCache>
            </c:numRef>
          </c:xVal>
          <c:yVal>
            <c:numRef>
              <c:f>'Barra #2'!$DN$48:$DN$75</c:f>
              <c:numCache>
                <c:formatCode>0.00000</c:formatCode>
                <c:ptCount val="28"/>
                <c:pt idx="0" formatCode="0.000000">
                  <c:v>5.5958530864197529E-4</c:v>
                </c:pt>
                <c:pt idx="1">
                  <c:v>1.1742400000000002E-3</c:v>
                </c:pt>
                <c:pt idx="2">
                  <c:v>1.7687070370370371E-3</c:v>
                </c:pt>
                <c:pt idx="3">
                  <c:v>2.2800849999999994E-3</c:v>
                </c:pt>
                <c:pt idx="4" formatCode="0.0000">
                  <c:v>2.9389381481481481E-3</c:v>
                </c:pt>
                <c:pt idx="5" formatCode="0.0000">
                  <c:v>3.4982225925925922E-3</c:v>
                </c:pt>
                <c:pt idx="6" formatCode="0.0000">
                  <c:v>4.0386649999999994E-3</c:v>
                </c:pt>
                <c:pt idx="7" formatCode="0.0000">
                  <c:v>4.6878000000000006E-3</c:v>
                </c:pt>
                <c:pt idx="8" formatCode="0.0000">
                  <c:v>5.240231481481482E-3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09-4E98-AE30-044DEB13CDCE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#2'!$DJ$48:$DJ$75</c:f>
              <c:numCache>
                <c:formatCode>0.0000000E+00</c:formatCode>
                <c:ptCount val="28"/>
                <c:pt idx="0" formatCode="0.000000000E+0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 formatCode="0.000000E+00">
                  <c:v>4.5697600000000008E-3</c:v>
                </c:pt>
                <c:pt idx="4" formatCode="0.000000E+00">
                  <c:v>5.7191406250000016E-3</c:v>
                </c:pt>
                <c:pt idx="5" formatCode="0.00000E+00">
                  <c:v>6.8797071360000026E-3</c:v>
                </c:pt>
                <c:pt idx="6" formatCode="0.00000E+00">
                  <c:v>8.0999999999999996E-3</c:v>
                </c:pt>
                <c:pt idx="7" formatCode="0.00000E+00">
                  <c:v>9.2352100000000006E-3</c:v>
                </c:pt>
                <c:pt idx="8" formatCode="0.00000E+00">
                  <c:v>1.0355301121000001E-2</c:v>
                </c:pt>
              </c:numCache>
            </c:numRef>
          </c:xVal>
          <c:yVal>
            <c:numRef>
              <c:f>'Barra #2'!$DP$48:$DP$75</c:f>
              <c:numCache>
                <c:formatCode>0.00000</c:formatCode>
                <c:ptCount val="28"/>
                <c:pt idx="0" formatCode="0.000000">
                  <c:v>5.7351550489721575E-4</c:v>
                </c:pt>
                <c:pt idx="1">
                  <c:v>1.1572926818883406E-3</c:v>
                </c:pt>
                <c:pt idx="2">
                  <c:v>1.7352775138969427E-3</c:v>
                </c:pt>
                <c:pt idx="3">
                  <c:v>2.3334257166980911E-3</c:v>
                </c:pt>
                <c:pt idx="4" formatCode="0.0000">
                  <c:v>2.9080867107843336E-3</c:v>
                </c:pt>
                <c:pt idx="5" formatCode="0.0000">
                  <c:v>3.4883403625408714E-3</c:v>
                </c:pt>
                <c:pt idx="6" formatCode="0.0000">
                  <c:v>4.0984556672969321E-3</c:v>
                </c:pt>
                <c:pt idx="7" formatCode="0.0000">
                  <c:v>4.6660317103476342E-3</c:v>
                </c:pt>
                <c:pt idx="8" formatCode="0.0000">
                  <c:v>5.2260486995508691E-3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09-4E98-AE30-044DEB13CD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0330849999397262"/>
          <c:y val="0.61759204576148174"/>
          <c:w val="0.31312389746804414"/>
          <c:h val="0.1417685513331690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r>
              <a:rPr lang="en-US" sz="1600" baseline="0"/>
              <a:t> para</a:t>
            </a:r>
            <a:r>
              <a:rPr lang="en-US" sz="1600"/>
              <a:t> a média dos 3 i - Fórmula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6245192307692308"/>
          <c:y val="0.14591770833333334"/>
          <c:w val="0.79965833333333325"/>
          <c:h val="0.70288055555555562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#2'!$G$47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#2'!$G$47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#2'!$DO$48:$DO$59</c:f>
                <c:numCache>
                  <c:formatCode>General</c:formatCode>
                  <c:ptCount val="12"/>
                  <c:pt idx="0">
                    <c:v>3.3511081775101674E-6</c:v>
                  </c:pt>
                  <c:pt idx="1">
                    <c:v>7.4464488180608418E-6</c:v>
                  </c:pt>
                  <c:pt idx="2">
                    <c:v>9.3696195912568116E-6</c:v>
                  </c:pt>
                  <c:pt idx="3">
                    <c:v>1.0129304640497394E-5</c:v>
                  </c:pt>
                  <c:pt idx="4">
                    <c:v>1.9126963769165646E-5</c:v>
                  </c:pt>
                  <c:pt idx="5">
                    <c:v>2.7036880244767748E-5</c:v>
                  </c:pt>
                  <c:pt idx="6">
                    <c:v>2.2468317972202814E-5</c:v>
                  </c:pt>
                  <c:pt idx="7">
                    <c:v>2.6839513160015903E-5</c:v>
                  </c:pt>
                  <c:pt idx="8">
                    <c:v>2.3654116004034596E-5</c:v>
                  </c:pt>
                </c:numCache>
              </c:numRef>
            </c:plus>
            <c:minus>
              <c:numRef>
                <c:f>'Barra #2'!$DO$48:$DO$59</c:f>
                <c:numCache>
                  <c:formatCode>General</c:formatCode>
                  <c:ptCount val="12"/>
                  <c:pt idx="0">
                    <c:v>3.3511081775101674E-6</c:v>
                  </c:pt>
                  <c:pt idx="1">
                    <c:v>7.4464488180608418E-6</c:v>
                  </c:pt>
                  <c:pt idx="2">
                    <c:v>9.3696195912568116E-6</c:v>
                  </c:pt>
                  <c:pt idx="3">
                    <c:v>1.0129304640497394E-5</c:v>
                  </c:pt>
                  <c:pt idx="4">
                    <c:v>1.9126963769165646E-5</c:v>
                  </c:pt>
                  <c:pt idx="5">
                    <c:v>2.7036880244767748E-5</c:v>
                  </c:pt>
                  <c:pt idx="6">
                    <c:v>2.2468317972202814E-5</c:v>
                  </c:pt>
                  <c:pt idx="7">
                    <c:v>2.6839513160015903E-5</c:v>
                  </c:pt>
                  <c:pt idx="8">
                    <c:v>2.3654116004034596E-5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#2'!$DJ$48:$DJ$59</c:f>
              <c:numCache>
                <c:formatCode>0.0000000E+00</c:formatCode>
                <c:ptCount val="12"/>
                <c:pt idx="0" formatCode="0.000000000E+0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 formatCode="0.000000E+00">
                  <c:v>4.5697600000000008E-3</c:v>
                </c:pt>
                <c:pt idx="4" formatCode="0.000000E+00">
                  <c:v>5.7191406250000016E-3</c:v>
                </c:pt>
                <c:pt idx="5" formatCode="0.00000E+00">
                  <c:v>6.8797071360000026E-3</c:v>
                </c:pt>
                <c:pt idx="6" formatCode="0.00000E+00">
                  <c:v>8.0999999999999996E-3</c:v>
                </c:pt>
                <c:pt idx="7" formatCode="0.00000E+00">
                  <c:v>9.2352100000000006E-3</c:v>
                </c:pt>
                <c:pt idx="8" formatCode="0.00000E+00">
                  <c:v>1.0355301121000001E-2</c:v>
                </c:pt>
              </c:numCache>
            </c:numRef>
          </c:xVal>
          <c:yVal>
            <c:numRef>
              <c:f>'Barra #2'!$DQ$48:$DQ$59</c:f>
              <c:numCache>
                <c:formatCode>0.00000</c:formatCode>
                <c:ptCount val="12"/>
                <c:pt idx="0" formatCode="0.000000">
                  <c:v>-1.3930196255240463E-5</c:v>
                </c:pt>
                <c:pt idx="1">
                  <c:v>1.6947318111659639E-5</c:v>
                </c:pt>
                <c:pt idx="2">
                  <c:v>3.3429523140094362E-5</c:v>
                </c:pt>
                <c:pt idx="3">
                  <c:v>-5.3340716698091744E-5</c:v>
                </c:pt>
                <c:pt idx="4" formatCode="0.0000">
                  <c:v>3.0851437363814578E-5</c:v>
                </c:pt>
                <c:pt idx="5" formatCode="0.0000">
                  <c:v>9.8822300517208486E-6</c:v>
                </c:pt>
                <c:pt idx="6" formatCode="0.0000">
                  <c:v>-5.9790667296932658E-5</c:v>
                </c:pt>
                <c:pt idx="7" formatCode="0.0000">
                  <c:v>2.1768289652366463E-5</c:v>
                </c:pt>
                <c:pt idx="8" formatCode="0.0000">
                  <c:v>1.4182781930612877E-5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B5-40B7-B838-17A016BF71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- </a:t>
                </a:r>
                <a:r>
                  <a:rPr lang="en-US" sz="1400" b="0" i="0" u="none" strike="noStrike" baseline="0">
                    <a:effectLst/>
                  </a:rPr>
                  <a:t>T</a:t>
                </a:r>
                <a:r>
                  <a:rPr lang="en-US" sz="1400" b="0" i="0" u="none" strike="noStrike" baseline="30000">
                    <a:effectLst/>
                  </a:rPr>
                  <a:t>2</a:t>
                </a:r>
                <a:r>
                  <a:rPr lang="en-US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Linearização</a:t>
            </a:r>
            <a:r>
              <a:rPr lang="en-US" sz="1600" baseline="0"/>
              <a:t> a média dos 3 i - Fórmula 1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3501425355963018"/>
          <c:y val="0.17171296296296296"/>
          <c:w val="0.82429333758879231"/>
          <c:h val="0.68677083333333344"/>
        </c:manualLayout>
      </c:layout>
      <c:scatterChart>
        <c:scatterStyle val="lineMarker"/>
        <c:varyColors val="0"/>
        <c:ser>
          <c:idx val="0"/>
          <c:order val="0"/>
          <c:tx>
            <c:v>log(T)[log(ℓ)]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'Barra #2'!$DY$48:$DY$58</c:f>
              <c:numCache>
                <c:formatCode>General</c:formatCode>
                <c:ptCount val="11"/>
                <c:pt idx="0">
                  <c:v>-0.66354026615147055</c:v>
                </c:pt>
                <c:pt idx="1">
                  <c:v>-0.61798295742513154</c:v>
                </c:pt>
                <c:pt idx="2">
                  <c:v>-0.58502665202918203</c:v>
                </c:pt>
                <c:pt idx="3">
                  <c:v>-0.56066730616973737</c:v>
                </c:pt>
                <c:pt idx="4">
                  <c:v>-0.54060751224076908</c:v>
                </c:pt>
                <c:pt idx="5">
                  <c:v>-0.52287874528033762</c:v>
                </c:pt>
                <c:pt idx="6">
                  <c:v>-0.50863830616572736</c:v>
                </c:pt>
                <c:pt idx="7">
                  <c:v>-0.49620931694281889</c:v>
                </c:pt>
              </c:numCache>
            </c:numRef>
          </c:xVal>
          <c:yVal>
            <c:numRef>
              <c:f>'Barra #2'!$EA$48:$EA$58</c:f>
              <c:numCache>
                <c:formatCode>General</c:formatCode>
                <c:ptCount val="11"/>
                <c:pt idx="0">
                  <c:v>-1.4651281400604055</c:v>
                </c:pt>
                <c:pt idx="1">
                  <c:v>-1.3761766256032333</c:v>
                </c:pt>
                <c:pt idx="2">
                  <c:v>-1.3052485985799795</c:v>
                </c:pt>
                <c:pt idx="3">
                  <c:v>-1.2659116913270587</c:v>
                </c:pt>
                <c:pt idx="4">
                  <c:v>-1.2280860432665701</c:v>
                </c:pt>
                <c:pt idx="5">
                  <c:v>-1.1968844451099732</c:v>
                </c:pt>
                <c:pt idx="6">
                  <c:v>-1.164520815458403</c:v>
                </c:pt>
                <c:pt idx="7">
                  <c:v>-1.1403280893907213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F6-4028-A089-E94F2B7E4037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#2'!$DY$48:$DY$58</c:f>
              <c:numCache>
                <c:formatCode>General</c:formatCode>
                <c:ptCount val="11"/>
                <c:pt idx="0">
                  <c:v>-0.66354026615147055</c:v>
                </c:pt>
                <c:pt idx="1">
                  <c:v>-0.61798295742513154</c:v>
                </c:pt>
                <c:pt idx="2">
                  <c:v>-0.58502665202918203</c:v>
                </c:pt>
                <c:pt idx="3">
                  <c:v>-0.56066730616973737</c:v>
                </c:pt>
                <c:pt idx="4">
                  <c:v>-0.54060751224076908</c:v>
                </c:pt>
                <c:pt idx="5">
                  <c:v>-0.52287874528033762</c:v>
                </c:pt>
                <c:pt idx="6">
                  <c:v>-0.50863830616572736</c:v>
                </c:pt>
                <c:pt idx="7">
                  <c:v>-0.49620931694281889</c:v>
                </c:pt>
              </c:numCache>
            </c:numRef>
          </c:xVal>
          <c:yVal>
            <c:numRef>
              <c:f>'Barra #2'!$EC$48:$EC$59</c:f>
              <c:numCache>
                <c:formatCode>General</c:formatCode>
                <c:ptCount val="12"/>
                <c:pt idx="0">
                  <c:v>-1.463116595401929</c:v>
                </c:pt>
                <c:pt idx="1">
                  <c:v>-1.375527291847618</c:v>
                </c:pt>
                <c:pt idx="2">
                  <c:v>-1.3121649046027037</c:v>
                </c:pt>
                <c:pt idx="3">
                  <c:v>-1.2653311868411059</c:v>
                </c:pt>
                <c:pt idx="4">
                  <c:v>-1.226763865179598</c:v>
                </c:pt>
                <c:pt idx="5">
                  <c:v>-1.1926782180166196</c:v>
                </c:pt>
                <c:pt idx="6">
                  <c:v>-1.1652992928951025</c:v>
                </c:pt>
                <c:pt idx="7">
                  <c:v>-1.1414030940116686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F6-4028-A089-E94F2B7E40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34031"/>
        <c:axId val="295511791"/>
      </c:scatterChart>
      <c:valAx>
        <c:axId val="512934031"/>
        <c:scaling>
          <c:orientation val="minMax"/>
          <c:max val="-0.4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</a:t>
                </a:r>
                <a:r>
                  <a:rPr lang="en-US" sz="1400" b="0" i="0" u="none" strike="noStrike" baseline="0">
                    <a:effectLst/>
                  </a:rPr>
                  <a:t>ℓ</a:t>
                </a:r>
                <a:r>
                  <a:rPr lang="en-US" sz="1400"/>
                  <a:t>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95511791"/>
        <c:crossesAt val="-10"/>
        <c:crossBetween val="midCat"/>
      </c:valAx>
      <c:valAx>
        <c:axId val="295511791"/>
        <c:scaling>
          <c:orientation val="minMax"/>
          <c:max val="-1.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Log(T)</a:t>
                </a:r>
                <a:r>
                  <a:rPr lang="en-US" sz="1400" baseline="0"/>
                  <a:t> (s.u.)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1.5119750656167979E-2"/>
              <c:y val="0.366377223680373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2934031"/>
        <c:crossesAt val="-1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604401709401697"/>
          <c:y val="0.66772231804806093"/>
          <c:w val="0.25609508547008547"/>
          <c:h val="0.1401068351064003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 i = 51 - Fórmula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68524166666666675"/>
        </c:manualLayout>
      </c:layout>
      <c:scatterChart>
        <c:scatterStyle val="lineMarker"/>
        <c:varyColors val="0"/>
        <c:ser>
          <c:idx val="0"/>
          <c:order val="0"/>
          <c:tx>
            <c:v>i=51 - Fórmula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#2'!$G$47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#2'!$G$47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#2'!$I$47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#2'!$I$47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#2'!$BY$105:$BY$115</c:f>
              <c:numCache>
                <c:formatCode>General</c:formatCode>
                <c:ptCount val="11"/>
                <c:pt idx="0">
                  <c:v>3.2399999999999998E-2</c:v>
                </c:pt>
                <c:pt idx="1">
                  <c:v>4.7088999999999999E-2</c:v>
                </c:pt>
                <c:pt idx="2">
                  <c:v>5.8081000000000008E-2</c:v>
                </c:pt>
                <c:pt idx="3">
                  <c:v>7.5625000000000012E-2</c:v>
                </c:pt>
                <c:pt idx="4">
                  <c:v>8.2944000000000018E-2</c:v>
                </c:pt>
                <c:pt idx="5">
                  <c:v>0.09</c:v>
                </c:pt>
                <c:pt idx="6">
                  <c:v>9.6100000000000005E-2</c:v>
                </c:pt>
                <c:pt idx="7">
                  <c:v>0.101761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'Barra #2'!$BZ$105:$BZ$115</c:f>
              <c:numCache>
                <c:formatCode>General</c:formatCode>
                <c:ptCount val="11"/>
                <c:pt idx="0">
                  <c:v>2.3800000000000002E-2</c:v>
                </c:pt>
                <c:pt idx="1">
                  <c:v>3.4000000000000002E-2</c:v>
                </c:pt>
                <c:pt idx="2">
                  <c:v>4.1800000000000004E-2</c:v>
                </c:pt>
                <c:pt idx="3">
                  <c:v>5.3800000000000001E-2</c:v>
                </c:pt>
                <c:pt idx="4">
                  <c:v>5.8599999999999999E-2</c:v>
                </c:pt>
                <c:pt idx="5">
                  <c:v>6.2800000000000009E-2</c:v>
                </c:pt>
                <c:pt idx="6">
                  <c:v>6.8000000000000005E-2</c:v>
                </c:pt>
                <c:pt idx="7">
                  <c:v>7.2000000000000008E-2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8E-406D-942D-EE5C7C8D1C98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#2'!$BY$105:$BY$115</c:f>
              <c:numCache>
                <c:formatCode>General</c:formatCode>
                <c:ptCount val="11"/>
                <c:pt idx="0">
                  <c:v>3.2399999999999998E-2</c:v>
                </c:pt>
                <c:pt idx="1">
                  <c:v>4.7088999999999999E-2</c:v>
                </c:pt>
                <c:pt idx="2">
                  <c:v>5.8081000000000008E-2</c:v>
                </c:pt>
                <c:pt idx="3">
                  <c:v>7.5625000000000012E-2</c:v>
                </c:pt>
                <c:pt idx="4">
                  <c:v>8.2944000000000018E-2</c:v>
                </c:pt>
                <c:pt idx="5">
                  <c:v>0.09</c:v>
                </c:pt>
                <c:pt idx="6">
                  <c:v>9.6100000000000005E-2</c:v>
                </c:pt>
                <c:pt idx="7">
                  <c:v>0.101761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'Barra #2'!$CA$105:$CA$115</c:f>
              <c:numCache>
                <c:formatCode>General</c:formatCode>
                <c:ptCount val="11"/>
                <c:pt idx="0">
                  <c:v>2.3108676886309781E-2</c:v>
                </c:pt>
                <c:pt idx="1">
                  <c:v>3.3454465861210654E-2</c:v>
                </c:pt>
                <c:pt idx="2">
                  <c:v>4.1196375617634534E-2</c:v>
                </c:pt>
                <c:pt idx="3">
                  <c:v>5.3553004508346012E-2</c:v>
                </c:pt>
                <c:pt idx="4">
                  <c:v>5.8707938779385536E-2</c:v>
                </c:pt>
                <c:pt idx="5">
                  <c:v>6.3677636308618307E-2</c:v>
                </c:pt>
                <c:pt idx="6">
                  <c:v>6.7974001802994732E-2</c:v>
                </c:pt>
                <c:pt idx="7">
                  <c:v>7.1961169846218503E-2</c:v>
                </c:pt>
                <c:pt idx="8">
                  <c:v>2.8863721126123204E-4</c:v>
                </c:pt>
                <c:pt idx="9">
                  <c:v>2.8863721126123204E-4</c:v>
                </c:pt>
                <c:pt idx="10">
                  <c:v>2.8863721126123204E-4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F8E-406D-942D-EE5C7C8D1C98}"/>
            </c:ext>
          </c:extLst>
        </c:ser>
        <c:ser>
          <c:idx val="2"/>
          <c:order val="2"/>
          <c:tx>
            <c:v>Ponto Duvidoso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'Barra #2'!$BW$47</c:f>
              <c:numCache>
                <c:formatCode>0.00</c:formatCode>
                <c:ptCount val="1"/>
                <c:pt idx="0">
                  <c:v>6.7600000000000007E-2</c:v>
                </c:pt>
              </c:numCache>
            </c:numRef>
          </c:xVal>
          <c:yVal>
            <c:numRef>
              <c:f>'Barra #2'!$BY$47</c:f>
              <c:numCache>
                <c:formatCode>0.0000</c:formatCode>
                <c:ptCount val="1"/>
                <c:pt idx="0">
                  <c:v>4.7599999999999996E-2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F8E-406D-942D-EE5C7C8D1C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110491452991451"/>
          <c:y val="0.59388888888888891"/>
          <c:w val="0.25376686992234493"/>
          <c:h val="0.1812152777777778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 i = 101 - Fórmula</a:t>
            </a:r>
            <a:r>
              <a:rPr lang="en-US" sz="1600" baseline="0"/>
              <a:t> 2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8145324108825442"/>
          <c:y val="0.14591770833333334"/>
          <c:w val="0.78058194558214045"/>
          <c:h val="0.68524166666666675"/>
        </c:manualLayout>
      </c:layout>
      <c:scatterChart>
        <c:scatterStyle val="lineMarker"/>
        <c:varyColors val="0"/>
        <c:ser>
          <c:idx val="0"/>
          <c:order val="0"/>
          <c:tx>
            <c:v>i=101 - Fórmula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#2'!$G$47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#2'!$G$47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#2'!$I$47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#2'!$I$47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#2'!$BW$44:$BW$55</c:f>
              <c:numCache>
                <c:formatCode>0.00</c:formatCode>
                <c:ptCount val="12"/>
                <c:pt idx="0">
                  <c:v>3.2399999999999998E-2</c:v>
                </c:pt>
                <c:pt idx="1">
                  <c:v>4.7088999999999999E-2</c:v>
                </c:pt>
                <c:pt idx="2">
                  <c:v>5.8081000000000008E-2</c:v>
                </c:pt>
                <c:pt idx="3">
                  <c:v>6.7600000000000007E-2</c:v>
                </c:pt>
                <c:pt idx="4">
                  <c:v>7.5625000000000012E-2</c:v>
                </c:pt>
                <c:pt idx="5">
                  <c:v>8.2944000000000018E-2</c:v>
                </c:pt>
                <c:pt idx="6">
                  <c:v>0.09</c:v>
                </c:pt>
                <c:pt idx="7">
                  <c:v>9.6100000000000005E-2</c:v>
                </c:pt>
                <c:pt idx="8">
                  <c:v>0.101761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'Barra #2'!$CE$44:$CE$55</c:f>
              <c:numCache>
                <c:formatCode>0.0000</c:formatCode>
                <c:ptCount val="12"/>
                <c:pt idx="0">
                  <c:v>2.35E-2</c:v>
                </c:pt>
                <c:pt idx="1">
                  <c:v>3.44E-2</c:v>
                </c:pt>
                <c:pt idx="2">
                  <c:v>4.2099999999999999E-2</c:v>
                </c:pt>
                <c:pt idx="3">
                  <c:v>4.7899999999999998E-2</c:v>
                </c:pt>
                <c:pt idx="4">
                  <c:v>5.4300000000000001E-2</c:v>
                </c:pt>
                <c:pt idx="5">
                  <c:v>5.9300000000000005E-2</c:v>
                </c:pt>
                <c:pt idx="6">
                  <c:v>6.3299999999999995E-2</c:v>
                </c:pt>
                <c:pt idx="7">
                  <c:v>6.8600000000000008E-2</c:v>
                </c:pt>
                <c:pt idx="8">
                  <c:v>7.2500000000000009E-2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CC-4C3B-ADB3-3EE07540B831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#2'!$BW$44:$BW$55</c:f>
              <c:numCache>
                <c:formatCode>0.00</c:formatCode>
                <c:ptCount val="12"/>
                <c:pt idx="0">
                  <c:v>3.2399999999999998E-2</c:v>
                </c:pt>
                <c:pt idx="1">
                  <c:v>4.7088999999999999E-2</c:v>
                </c:pt>
                <c:pt idx="2">
                  <c:v>5.8081000000000008E-2</c:v>
                </c:pt>
                <c:pt idx="3">
                  <c:v>6.7600000000000007E-2</c:v>
                </c:pt>
                <c:pt idx="4">
                  <c:v>7.5625000000000012E-2</c:v>
                </c:pt>
                <c:pt idx="5">
                  <c:v>8.2944000000000018E-2</c:v>
                </c:pt>
                <c:pt idx="6">
                  <c:v>0.09</c:v>
                </c:pt>
                <c:pt idx="7">
                  <c:v>9.6100000000000005E-2</c:v>
                </c:pt>
                <c:pt idx="8">
                  <c:v>0.101761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'Barra #2'!$CG$44:$CG$55</c:f>
              <c:numCache>
                <c:formatCode>0.0000</c:formatCode>
                <c:ptCount val="12"/>
                <c:pt idx="0">
                  <c:v>2.3256066630294305E-2</c:v>
                </c:pt>
                <c:pt idx="1">
                  <c:v>3.3698626551189603E-2</c:v>
                </c:pt>
                <c:pt idx="2">
                  <c:v>4.1512951464422715E-2</c:v>
                </c:pt>
                <c:pt idx="3">
                  <c:v>4.8280105653748219E-2</c:v>
                </c:pt>
                <c:pt idx="4">
                  <c:v>5.3985160004975996E-2</c:v>
                </c:pt>
                <c:pt idx="5">
                  <c:v>5.9188311755335635E-2</c:v>
                </c:pt>
                <c:pt idx="6">
                  <c:v>6.420449412321888E-2</c:v>
                </c:pt>
                <c:pt idx="7">
                  <c:v>6.8541046340351519E-2</c:v>
                </c:pt>
                <c:pt idx="8">
                  <c:v>7.2565508979890517E-2</c:v>
                </c:pt>
                <c:pt idx="9">
                  <c:v>2.2257616552423531E-4</c:v>
                </c:pt>
                <c:pt idx="10">
                  <c:v>2.2257616552423531E-4</c:v>
                </c:pt>
                <c:pt idx="11">
                  <c:v>2.2257616552423531E-4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5CC-4C3B-ADB3-3EE07540B8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074865186937018"/>
          <c:y val="0.64723993055555562"/>
          <c:w val="0.24707568496284846"/>
          <c:h val="0.14472647267968244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 i = 151 - Fórmula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68524166666666675"/>
        </c:manualLayout>
      </c:layout>
      <c:scatterChart>
        <c:scatterStyle val="lineMarker"/>
        <c:varyColors val="0"/>
        <c:ser>
          <c:idx val="0"/>
          <c:order val="0"/>
          <c:tx>
            <c:v>i=151 - Fórmula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#2'!$G$47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#2'!$G$47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#2'!$I$47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#2'!$I$47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#2'!$BW$44:$BW$55</c:f>
              <c:numCache>
                <c:formatCode>0.00</c:formatCode>
                <c:ptCount val="12"/>
                <c:pt idx="0">
                  <c:v>3.2399999999999998E-2</c:v>
                </c:pt>
                <c:pt idx="1">
                  <c:v>4.7088999999999999E-2</c:v>
                </c:pt>
                <c:pt idx="2">
                  <c:v>5.8081000000000008E-2</c:v>
                </c:pt>
                <c:pt idx="3">
                  <c:v>6.7600000000000007E-2</c:v>
                </c:pt>
                <c:pt idx="4">
                  <c:v>7.5625000000000012E-2</c:v>
                </c:pt>
                <c:pt idx="5">
                  <c:v>8.2944000000000018E-2</c:v>
                </c:pt>
                <c:pt idx="6">
                  <c:v>0.09</c:v>
                </c:pt>
                <c:pt idx="7">
                  <c:v>9.6100000000000005E-2</c:v>
                </c:pt>
                <c:pt idx="8">
                  <c:v>0.101761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'Barra #2'!$CK$44:$CK$55</c:f>
              <c:numCache>
                <c:formatCode>0.00000</c:formatCode>
                <c:ptCount val="12"/>
                <c:pt idx="0">
                  <c:v>2.3547869496638053E-2</c:v>
                </c:pt>
                <c:pt idx="1">
                  <c:v>3.4068589966830605E-2</c:v>
                </c:pt>
                <c:pt idx="2">
                  <c:v>4.1941403596645881E-2</c:v>
                </c:pt>
                <c:pt idx="3">
                  <c:v>4.875920863141768E-2</c:v>
                </c:pt>
                <c:pt idx="4">
                  <c:v>5.4506964215412186E-2</c:v>
                </c:pt>
                <c:pt idx="5">
                  <c:v>5.9749060554260255E-2</c:v>
                </c:pt>
                <c:pt idx="6">
                  <c:v>6.4802788080822876E-2</c:v>
                </c:pt>
                <c:pt idx="7">
                  <c:v>6.9171798555884123E-2</c:v>
                </c:pt>
                <c:pt idx="8">
                  <c:v>7.3226383522986049E-2</c:v>
                </c:pt>
                <c:pt idx="9">
                  <c:v>3.419777930340831E-4</c:v>
                </c:pt>
                <c:pt idx="10">
                  <c:v>3.419777930340831E-4</c:v>
                </c:pt>
                <c:pt idx="11">
                  <c:v>3.419777930340831E-4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F5-4A05-83BA-C240E9FB4756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#2'!$BW$44:$BW$55</c:f>
              <c:numCache>
                <c:formatCode>0.00</c:formatCode>
                <c:ptCount val="12"/>
                <c:pt idx="0">
                  <c:v>3.2399999999999998E-2</c:v>
                </c:pt>
                <c:pt idx="1">
                  <c:v>4.7088999999999999E-2</c:v>
                </c:pt>
                <c:pt idx="2">
                  <c:v>5.8081000000000008E-2</c:v>
                </c:pt>
                <c:pt idx="3">
                  <c:v>6.7600000000000007E-2</c:v>
                </c:pt>
                <c:pt idx="4">
                  <c:v>7.5625000000000012E-2</c:v>
                </c:pt>
                <c:pt idx="5">
                  <c:v>8.2944000000000018E-2</c:v>
                </c:pt>
                <c:pt idx="6">
                  <c:v>0.09</c:v>
                </c:pt>
                <c:pt idx="7">
                  <c:v>9.6100000000000005E-2</c:v>
                </c:pt>
                <c:pt idx="8">
                  <c:v>0.101761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'Barra #2'!$CK$44:$CK$55</c:f>
              <c:numCache>
                <c:formatCode>0.00000</c:formatCode>
                <c:ptCount val="12"/>
                <c:pt idx="0">
                  <c:v>2.3547869496638053E-2</c:v>
                </c:pt>
                <c:pt idx="1">
                  <c:v>3.4068589966830605E-2</c:v>
                </c:pt>
                <c:pt idx="2">
                  <c:v>4.1941403596645881E-2</c:v>
                </c:pt>
                <c:pt idx="3">
                  <c:v>4.875920863141768E-2</c:v>
                </c:pt>
                <c:pt idx="4">
                  <c:v>5.4506964215412186E-2</c:v>
                </c:pt>
                <c:pt idx="5">
                  <c:v>5.9749060554260255E-2</c:v>
                </c:pt>
                <c:pt idx="6">
                  <c:v>6.4802788080822876E-2</c:v>
                </c:pt>
                <c:pt idx="7">
                  <c:v>6.9171798555884123E-2</c:v>
                </c:pt>
                <c:pt idx="8">
                  <c:v>7.3226383522986049E-2</c:v>
                </c:pt>
                <c:pt idx="9">
                  <c:v>3.419777930340831E-4</c:v>
                </c:pt>
                <c:pt idx="10">
                  <c:v>3.419777930340831E-4</c:v>
                </c:pt>
                <c:pt idx="11">
                  <c:v>3.419777930340831E-4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7F5-4A05-83BA-C240E9FB47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989394869528819"/>
          <c:y val="0.63842048611111124"/>
          <c:w val="0.2540912815288881"/>
          <c:h val="0.1444609776935949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r>
              <a:rPr lang="en-US" sz="1600" baseline="0"/>
              <a:t> para</a:t>
            </a:r>
            <a:r>
              <a:rPr lang="en-US" sz="1600"/>
              <a:t> i = 51 - Fórmula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431089743589743"/>
          <c:y val="0.14591770833333334"/>
          <c:w val="0.80779935897435895"/>
          <c:h val="0.70288055555555562"/>
        </c:manualLayout>
      </c:layout>
      <c:scatterChart>
        <c:scatterStyle val="lineMarker"/>
        <c:varyColors val="0"/>
        <c:ser>
          <c:idx val="0"/>
          <c:order val="0"/>
          <c:tx>
            <c:v>res 51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#2'!$G$47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#2'!$G$47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#2'!$BZ$44:$BZ$55</c:f>
                <c:numCache>
                  <c:formatCode>General</c:formatCode>
                  <c:ptCount val="12"/>
                  <c:pt idx="0">
                    <c:v>2.8284271247461902E-4</c:v>
                  </c:pt>
                  <c:pt idx="1">
                    <c:v>2.8284271247461902E-4</c:v>
                  </c:pt>
                  <c:pt idx="2">
                    <c:v>2.8284271247461902E-4</c:v>
                  </c:pt>
                  <c:pt idx="3">
                    <c:v>2.8284271247461902E-4</c:v>
                  </c:pt>
                  <c:pt idx="4">
                    <c:v>2.8284271247461902E-4</c:v>
                  </c:pt>
                  <c:pt idx="5">
                    <c:v>2.8284271247461902E-4</c:v>
                  </c:pt>
                  <c:pt idx="6">
                    <c:v>2.8284271247461902E-4</c:v>
                  </c:pt>
                  <c:pt idx="7">
                    <c:v>2.8284271247461902E-4</c:v>
                  </c:pt>
                  <c:pt idx="8">
                    <c:v>2.8284271247461902E-4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</c:numCache>
              </c:numRef>
            </c:plus>
            <c:minus>
              <c:numRef>
                <c:f>'Barra #2'!$BZ$44:$BZ$55</c:f>
                <c:numCache>
                  <c:formatCode>General</c:formatCode>
                  <c:ptCount val="12"/>
                  <c:pt idx="0">
                    <c:v>2.8284271247461902E-4</c:v>
                  </c:pt>
                  <c:pt idx="1">
                    <c:v>2.8284271247461902E-4</c:v>
                  </c:pt>
                  <c:pt idx="2">
                    <c:v>2.8284271247461902E-4</c:v>
                  </c:pt>
                  <c:pt idx="3">
                    <c:v>2.8284271247461902E-4</c:v>
                  </c:pt>
                  <c:pt idx="4">
                    <c:v>2.8284271247461902E-4</c:v>
                  </c:pt>
                  <c:pt idx="5">
                    <c:v>2.8284271247461902E-4</c:v>
                  </c:pt>
                  <c:pt idx="6">
                    <c:v>2.8284271247461902E-4</c:v>
                  </c:pt>
                  <c:pt idx="7">
                    <c:v>2.8284271247461902E-4</c:v>
                  </c:pt>
                  <c:pt idx="8">
                    <c:v>2.8284271247461902E-4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#2'!$BY$105:$BY$115</c:f>
              <c:numCache>
                <c:formatCode>General</c:formatCode>
                <c:ptCount val="11"/>
                <c:pt idx="0">
                  <c:v>3.2399999999999998E-2</c:v>
                </c:pt>
                <c:pt idx="1">
                  <c:v>4.7088999999999999E-2</c:v>
                </c:pt>
                <c:pt idx="2">
                  <c:v>5.8081000000000008E-2</c:v>
                </c:pt>
                <c:pt idx="3">
                  <c:v>7.5625000000000012E-2</c:v>
                </c:pt>
                <c:pt idx="4">
                  <c:v>8.2944000000000018E-2</c:v>
                </c:pt>
                <c:pt idx="5">
                  <c:v>0.09</c:v>
                </c:pt>
                <c:pt idx="6">
                  <c:v>9.6100000000000005E-2</c:v>
                </c:pt>
                <c:pt idx="7">
                  <c:v>0.101761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'Barra #2'!$CB$105:$CB$115</c:f>
              <c:numCache>
                <c:formatCode>General</c:formatCode>
                <c:ptCount val="11"/>
                <c:pt idx="0">
                  <c:v>6.9132311369022106E-4</c:v>
                </c:pt>
                <c:pt idx="1">
                  <c:v>5.4553413878934837E-4</c:v>
                </c:pt>
                <c:pt idx="2">
                  <c:v>6.0362438236546967E-4</c:v>
                </c:pt>
                <c:pt idx="3">
                  <c:v>2.4699549165398821E-4</c:v>
                </c:pt>
                <c:pt idx="4">
                  <c:v>-1.0793877938553714E-4</c:v>
                </c:pt>
                <c:pt idx="5">
                  <c:v>-8.7763630861829867E-4</c:v>
                </c:pt>
                <c:pt idx="6">
                  <c:v>2.5998197005272505E-5</c:v>
                </c:pt>
                <c:pt idx="7">
                  <c:v>3.8830153781505006E-5</c:v>
                </c:pt>
                <c:pt idx="8">
                  <c:v>-2.8863721126123204E-4</c:v>
                </c:pt>
                <c:pt idx="9">
                  <c:v>-2.8863721126123204E-4</c:v>
                </c:pt>
                <c:pt idx="10">
                  <c:v>-2.8863721126123204E-4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F1-41A3-B7F5-1D58558C2F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- </a:t>
                </a:r>
                <a:r>
                  <a:rPr lang="en-US" sz="1400" b="0" i="0" u="none" strike="noStrike" baseline="0">
                    <a:effectLst/>
                  </a:rPr>
                  <a:t>T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r>
              <a:rPr lang="en-US" sz="1600" baseline="0"/>
              <a:t> para</a:t>
            </a:r>
            <a:r>
              <a:rPr lang="en-US" sz="1600"/>
              <a:t> i = 101 - Fórmula</a:t>
            </a:r>
            <a:r>
              <a:rPr lang="en-US" sz="1600" baseline="0"/>
              <a:t> 2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7330662393162394"/>
          <c:y val="0.14591770833333334"/>
          <c:w val="0.7888036324786325"/>
          <c:h val="0.7117"/>
        </c:manualLayout>
      </c:layout>
      <c:scatterChart>
        <c:scatterStyle val="lineMarker"/>
        <c:varyColors val="0"/>
        <c:ser>
          <c:idx val="0"/>
          <c:order val="0"/>
          <c:tx>
            <c:v>res 101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#2'!$G$47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#2'!$G$47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#2'!$CF$44:$CF$55</c:f>
                <c:numCache>
                  <c:formatCode>General</c:formatCode>
                  <c:ptCount val="12"/>
                  <c:pt idx="0">
                    <c:v>1.4142135623730951E-4</c:v>
                  </c:pt>
                  <c:pt idx="1">
                    <c:v>1.4142135623730951E-4</c:v>
                  </c:pt>
                  <c:pt idx="2">
                    <c:v>1.4142135623730951E-4</c:v>
                  </c:pt>
                  <c:pt idx="3">
                    <c:v>1.4142135623730951E-4</c:v>
                  </c:pt>
                  <c:pt idx="4">
                    <c:v>1.4142135623730951E-4</c:v>
                  </c:pt>
                  <c:pt idx="5">
                    <c:v>1.4142135623730951E-4</c:v>
                  </c:pt>
                  <c:pt idx="6">
                    <c:v>1.4142135623730951E-4</c:v>
                  </c:pt>
                  <c:pt idx="7">
                    <c:v>1.4142135623730951E-4</c:v>
                  </c:pt>
                  <c:pt idx="8">
                    <c:v>1.4142135623730951E-4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</c:numCache>
              </c:numRef>
            </c:plus>
            <c:minus>
              <c:numRef>
                <c:f>'Barra #2'!$CF$44:$CF$55</c:f>
                <c:numCache>
                  <c:formatCode>General</c:formatCode>
                  <c:ptCount val="12"/>
                  <c:pt idx="0">
                    <c:v>1.4142135623730951E-4</c:v>
                  </c:pt>
                  <c:pt idx="1">
                    <c:v>1.4142135623730951E-4</c:v>
                  </c:pt>
                  <c:pt idx="2">
                    <c:v>1.4142135623730951E-4</c:v>
                  </c:pt>
                  <c:pt idx="3">
                    <c:v>1.4142135623730951E-4</c:v>
                  </c:pt>
                  <c:pt idx="4">
                    <c:v>1.4142135623730951E-4</c:v>
                  </c:pt>
                  <c:pt idx="5">
                    <c:v>1.4142135623730951E-4</c:v>
                  </c:pt>
                  <c:pt idx="6">
                    <c:v>1.4142135623730951E-4</c:v>
                  </c:pt>
                  <c:pt idx="7">
                    <c:v>1.4142135623730951E-4</c:v>
                  </c:pt>
                  <c:pt idx="8">
                    <c:v>1.4142135623730951E-4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#2'!$BW$44:$BW$55</c:f>
              <c:numCache>
                <c:formatCode>0.00</c:formatCode>
                <c:ptCount val="12"/>
                <c:pt idx="0">
                  <c:v>3.2399999999999998E-2</c:v>
                </c:pt>
                <c:pt idx="1">
                  <c:v>4.7088999999999999E-2</c:v>
                </c:pt>
                <c:pt idx="2">
                  <c:v>5.8081000000000008E-2</c:v>
                </c:pt>
                <c:pt idx="3">
                  <c:v>6.7600000000000007E-2</c:v>
                </c:pt>
                <c:pt idx="4">
                  <c:v>7.5625000000000012E-2</c:v>
                </c:pt>
                <c:pt idx="5">
                  <c:v>8.2944000000000018E-2</c:v>
                </c:pt>
                <c:pt idx="6">
                  <c:v>0.09</c:v>
                </c:pt>
                <c:pt idx="7">
                  <c:v>9.6100000000000005E-2</c:v>
                </c:pt>
                <c:pt idx="8">
                  <c:v>0.101761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'Barra #2'!$CH$44:$CH$55</c:f>
              <c:numCache>
                <c:formatCode>0.0000</c:formatCode>
                <c:ptCount val="12"/>
                <c:pt idx="0">
                  <c:v>2.4393336970569487E-4</c:v>
                </c:pt>
                <c:pt idx="1">
                  <c:v>7.0137344881039676E-4</c:v>
                </c:pt>
                <c:pt idx="2">
                  <c:v>5.8704853557728365E-4</c:v>
                </c:pt>
                <c:pt idx="3">
                  <c:v>-3.8010565374822086E-4</c:v>
                </c:pt>
                <c:pt idx="4">
                  <c:v>3.1483999502400495E-4</c:v>
                </c:pt>
                <c:pt idx="5">
                  <c:v>1.1168824466437077E-4</c:v>
                </c:pt>
                <c:pt idx="6">
                  <c:v>-9.0449412321888523E-4</c:v>
                </c:pt>
                <c:pt idx="7">
                  <c:v>5.8953659648489087E-5</c:v>
                </c:pt>
                <c:pt idx="8">
                  <c:v>-6.5508979890507857E-5</c:v>
                </c:pt>
                <c:pt idx="9">
                  <c:v>-2.2257616552423531E-4</c:v>
                </c:pt>
                <c:pt idx="10">
                  <c:v>-2.2257616552423531E-4</c:v>
                </c:pt>
                <c:pt idx="11">
                  <c:v>-2.2257616552423531E-4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82-4ED9-A641-6797CD338B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- </a:t>
                </a:r>
                <a:r>
                  <a:rPr lang="en-US" sz="1400" b="0" i="0" u="none" strike="noStrike" baseline="0">
                    <a:effectLst/>
                  </a:rPr>
                  <a:t>T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r>
              <a:rPr lang="en-US" sz="1600" baseline="0"/>
              <a:t> para</a:t>
            </a:r>
            <a:r>
              <a:rPr lang="en-US" sz="1600"/>
              <a:t> i = 151 - Fórmula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6057678749596174"/>
          <c:y val="0.14591770833333334"/>
          <c:w val="0.80153346529422564"/>
          <c:h val="0.70288055555555562"/>
        </c:manualLayout>
      </c:layout>
      <c:scatterChart>
        <c:scatterStyle val="lineMarker"/>
        <c:varyColors val="0"/>
        <c:ser>
          <c:idx val="0"/>
          <c:order val="0"/>
          <c:tx>
            <c:v>res 151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#2'!$G$47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#2'!$G$47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#2'!$CJ$44:$CJ$55</c:f>
                <c:numCache>
                  <c:formatCode>General</c:formatCode>
                  <c:ptCount val="12"/>
                  <c:pt idx="0">
                    <c:v>9.4280904158206352E-5</c:v>
                  </c:pt>
                  <c:pt idx="1">
                    <c:v>9.4280904158206352E-5</c:v>
                  </c:pt>
                  <c:pt idx="2">
                    <c:v>9.4280904158206352E-5</c:v>
                  </c:pt>
                  <c:pt idx="3">
                    <c:v>9.4280904158206352E-5</c:v>
                  </c:pt>
                  <c:pt idx="4">
                    <c:v>9.4280904158206352E-5</c:v>
                  </c:pt>
                  <c:pt idx="5">
                    <c:v>9.4280904158206352E-5</c:v>
                  </c:pt>
                  <c:pt idx="6">
                    <c:v>9.4280904158206352E-5</c:v>
                  </c:pt>
                  <c:pt idx="7">
                    <c:v>9.4280904158206352E-5</c:v>
                  </c:pt>
                  <c:pt idx="8">
                    <c:v>9.4280904158206352E-5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</c:numCache>
              </c:numRef>
            </c:plus>
            <c:minus>
              <c:numRef>
                <c:f>'Barra #2'!$CJ$44:$CJ$55</c:f>
                <c:numCache>
                  <c:formatCode>General</c:formatCode>
                  <c:ptCount val="12"/>
                  <c:pt idx="0">
                    <c:v>9.4280904158206352E-5</c:v>
                  </c:pt>
                  <c:pt idx="1">
                    <c:v>9.4280904158206352E-5</c:v>
                  </c:pt>
                  <c:pt idx="2">
                    <c:v>9.4280904158206352E-5</c:v>
                  </c:pt>
                  <c:pt idx="3">
                    <c:v>9.4280904158206352E-5</c:v>
                  </c:pt>
                  <c:pt idx="4">
                    <c:v>9.4280904158206352E-5</c:v>
                  </c:pt>
                  <c:pt idx="5">
                    <c:v>9.4280904158206352E-5</c:v>
                  </c:pt>
                  <c:pt idx="6">
                    <c:v>9.4280904158206352E-5</c:v>
                  </c:pt>
                  <c:pt idx="7">
                    <c:v>9.4280904158206352E-5</c:v>
                  </c:pt>
                  <c:pt idx="8">
                    <c:v>9.4280904158206352E-5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#2'!$BW$44:$BW$55</c:f>
              <c:numCache>
                <c:formatCode>0.00</c:formatCode>
                <c:ptCount val="12"/>
                <c:pt idx="0">
                  <c:v>3.2399999999999998E-2</c:v>
                </c:pt>
                <c:pt idx="1">
                  <c:v>4.7088999999999999E-2</c:v>
                </c:pt>
                <c:pt idx="2">
                  <c:v>5.8081000000000008E-2</c:v>
                </c:pt>
                <c:pt idx="3">
                  <c:v>6.7600000000000007E-2</c:v>
                </c:pt>
                <c:pt idx="4">
                  <c:v>7.5625000000000012E-2</c:v>
                </c:pt>
                <c:pt idx="5">
                  <c:v>8.2944000000000018E-2</c:v>
                </c:pt>
                <c:pt idx="6">
                  <c:v>0.09</c:v>
                </c:pt>
                <c:pt idx="7">
                  <c:v>9.6100000000000005E-2</c:v>
                </c:pt>
                <c:pt idx="8">
                  <c:v>0.101761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'Barra #2'!$CL$44:$CL$55</c:f>
              <c:numCache>
                <c:formatCode>0.00000</c:formatCode>
                <c:ptCount val="12"/>
                <c:pt idx="0">
                  <c:v>1.1879717002861306E-4</c:v>
                </c:pt>
                <c:pt idx="1">
                  <c:v>3.3141003316939505E-4</c:v>
                </c:pt>
                <c:pt idx="2">
                  <c:v>3.2526307002078703E-4</c:v>
                </c:pt>
                <c:pt idx="3">
                  <c:v>2.3741247019156558E-3</c:v>
                </c:pt>
                <c:pt idx="4">
                  <c:v>2.6369117921143381E-5</c:v>
                </c:pt>
                <c:pt idx="5">
                  <c:v>-2.1572722092692842E-4</c:v>
                </c:pt>
                <c:pt idx="6">
                  <c:v>-1.0027880808228806E-3</c:v>
                </c:pt>
                <c:pt idx="7">
                  <c:v>-3.7179855588412303E-4</c:v>
                </c:pt>
                <c:pt idx="8">
                  <c:v>-5.5971685631937829E-4</c:v>
                </c:pt>
                <c:pt idx="9">
                  <c:v>-3.419777930340831E-4</c:v>
                </c:pt>
                <c:pt idx="10">
                  <c:v>-3.419777930340831E-4</c:v>
                </c:pt>
                <c:pt idx="11">
                  <c:v>-3.419777930340831E-4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8D-4C51-9F0B-E1A4C26FBA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- </a:t>
                </a:r>
                <a:r>
                  <a:rPr lang="en-US" sz="1400" b="0" i="0" u="none" strike="noStrike" baseline="0">
                    <a:effectLst/>
                  </a:rPr>
                  <a:t>T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dos 3 valores de i juntos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70288055555555562"/>
        </c:manualLayout>
      </c:layout>
      <c:scatterChart>
        <c:scatterStyle val="lineMarker"/>
        <c:varyColors val="0"/>
        <c:ser>
          <c:idx val="1"/>
          <c:order val="0"/>
          <c:tx>
            <c:v>Resíduos para i=51</c:v>
          </c:tx>
          <c:spPr>
            <a:ln w="25400">
              <a:noFill/>
            </a:ln>
          </c:spPr>
          <c:marker>
            <c:symbol val="circle"/>
            <c:size val="5"/>
          </c:marker>
          <c:errBars>
            <c:errDir val="x"/>
            <c:errBarType val="both"/>
            <c:errValType val="cust"/>
            <c:noEndCap val="0"/>
            <c:plus>
              <c:numRef>
                <c:f>'Barra #2'!$G$47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#2'!$G$47</c:f>
                <c:numCache>
                  <c:formatCode>General</c:formatCode>
                  <c:ptCount val="1"/>
                </c:numCache>
              </c:numRef>
            </c:minus>
          </c:errBars>
          <c:errBars>
            <c:errDir val="y"/>
            <c:errBarType val="both"/>
            <c:errValType val="cust"/>
            <c:noEndCap val="0"/>
            <c:plus>
              <c:numRef>
                <c:f>'Barra #2'!$G$35:$G$46</c:f>
                <c:numCache>
                  <c:formatCode>General</c:formatCode>
                  <c:ptCount val="12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</c:numCache>
              </c:numRef>
            </c:plus>
            <c:minus>
              <c:numRef>
                <c:f>'Barra #2'!$G$35:$G$46</c:f>
                <c:numCache>
                  <c:formatCode>General</c:formatCode>
                  <c:ptCount val="12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</c:numCache>
              </c:numRef>
            </c:minus>
          </c:errBars>
          <c:xVal>
            <c:numRef>
              <c:f>'Barra #2'!$N$51:$N$61</c:f>
              <c:numCache>
                <c:formatCode>General</c:formatCode>
                <c:ptCount val="11"/>
                <c:pt idx="0" formatCode="0.0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 formatCode="0.000000000">
                  <c:v>9.2352100000000006E-3</c:v>
                </c:pt>
                <c:pt idx="7">
                  <c:v>1.0355301121000001E-2</c:v>
                </c:pt>
              </c:numCache>
            </c:numRef>
          </c:xVal>
          <c:yVal>
            <c:numRef>
              <c:f>'Barra #2'!$Q$51:$Q$61</c:f>
              <c:numCache>
                <c:formatCode>General</c:formatCode>
                <c:ptCount val="11"/>
                <c:pt idx="0" formatCode="0.00000">
                  <c:v>-2.2285348867834721E-6</c:v>
                </c:pt>
                <c:pt idx="1">
                  <c:v>9.4722610803688653E-6</c:v>
                </c:pt>
                <c:pt idx="2">
                  <c:v>2.8586682809213617E-5</c:v>
                </c:pt>
                <c:pt idx="3">
                  <c:v>-4.4977862437756925E-5</c:v>
                </c:pt>
                <c:pt idx="4">
                  <c:v>1.4866702194667528E-5</c:v>
                </c:pt>
                <c:pt idx="5">
                  <c:v>-1.9984695929182138E-5</c:v>
                </c:pt>
                <c:pt idx="6">
                  <c:v>4.3026647717084657E-6</c:v>
                </c:pt>
                <c:pt idx="7">
                  <c:v>9.9627823977651436E-6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9C-4B3A-B623-6872C85E1B84}"/>
            </c:ext>
          </c:extLst>
        </c:ser>
        <c:ser>
          <c:idx val="2"/>
          <c:order val="1"/>
          <c:tx>
            <c:v>Resíduos para i=101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</c:marker>
          <c:errBars>
            <c:errDir val="x"/>
            <c:errBarType val="both"/>
            <c:errValType val="cust"/>
            <c:noEndCap val="0"/>
            <c:plus>
              <c:numRef>
                <c:f>'Barra #2'!$G$47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#2'!$G$47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#2'!$M$35:$M$46</c:f>
                <c:numCache>
                  <c:formatCode>General</c:formatCode>
                  <c:ptCount val="12"/>
                  <c:pt idx="0">
                    <c:v>6.6468037431535469E-6</c:v>
                  </c:pt>
                  <c:pt idx="1">
                    <c:v>9.7297893091268945E-6</c:v>
                  </c:pt>
                  <c:pt idx="2">
                    <c:v>1.1907678195181461E-5</c:v>
                  </c:pt>
                  <c:pt idx="3">
                    <c:v>1.354816592753425E-5</c:v>
                  </c:pt>
                  <c:pt idx="4">
                    <c:v>1.5358359287371814E-5</c:v>
                  </c:pt>
                  <c:pt idx="5">
                    <c:v>1.6772572849744909E-5</c:v>
                  </c:pt>
                  <c:pt idx="6">
                    <c:v>1.7903943699643381E-5</c:v>
                  </c:pt>
                  <c:pt idx="7">
                    <c:v>1.9403010075758868E-5</c:v>
                  </c:pt>
                  <c:pt idx="8">
                    <c:v>2.0506096654409882E-5</c:v>
                  </c:pt>
                </c:numCache>
              </c:numRef>
            </c:plus>
            <c:minus>
              <c:numRef>
                <c:f>'Barra #2'!$M$35:$M$46</c:f>
                <c:numCache>
                  <c:formatCode>General</c:formatCode>
                  <c:ptCount val="12"/>
                  <c:pt idx="0">
                    <c:v>6.6468037431535469E-6</c:v>
                  </c:pt>
                  <c:pt idx="1">
                    <c:v>9.7297893091268945E-6</c:v>
                  </c:pt>
                  <c:pt idx="2">
                    <c:v>1.1907678195181461E-5</c:v>
                  </c:pt>
                  <c:pt idx="3">
                    <c:v>1.354816592753425E-5</c:v>
                  </c:pt>
                  <c:pt idx="4">
                    <c:v>1.5358359287371814E-5</c:v>
                  </c:pt>
                  <c:pt idx="5">
                    <c:v>1.6772572849744909E-5</c:v>
                  </c:pt>
                  <c:pt idx="6">
                    <c:v>1.7903943699643381E-5</c:v>
                  </c:pt>
                  <c:pt idx="7">
                    <c:v>1.9403010075758868E-5</c:v>
                  </c:pt>
                  <c:pt idx="8">
                    <c:v>2.0506096654409882E-5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#2'!$D$35:$D$46</c:f>
              <c:numCache>
                <c:formatCode>0.0000000E+00</c:formatCode>
                <c:ptCount val="12"/>
                <c:pt idx="0" formatCode="0.00000000E+0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 formatCode="0.000000E+00">
                  <c:v>4.5697600000000008E-3</c:v>
                </c:pt>
                <c:pt idx="4" formatCode="0.000000E+00">
                  <c:v>5.7191406250000016E-3</c:v>
                </c:pt>
                <c:pt idx="5" formatCode="0.000000E+00">
                  <c:v>6.8797071360000026E-3</c:v>
                </c:pt>
                <c:pt idx="6" formatCode="0.00000E+00">
                  <c:v>8.0999999999999996E-3</c:v>
                </c:pt>
                <c:pt idx="7" formatCode="0.00000E+00">
                  <c:v>9.2352100000000006E-3</c:v>
                </c:pt>
                <c:pt idx="8" formatCode="0.00000E+00">
                  <c:v>1.0355301121000001E-2</c:v>
                </c:pt>
              </c:numCache>
            </c:numRef>
          </c:xVal>
          <c:yVal>
            <c:numRef>
              <c:f>'Barra #2'!$O$35:$O$46</c:f>
              <c:numCache>
                <c:formatCode>0.00000</c:formatCode>
                <c:ptCount val="12"/>
                <c:pt idx="0">
                  <c:v>-2.3357478989945364E-5</c:v>
                </c:pt>
                <c:pt idx="1">
                  <c:v>2.3108829598827334E-5</c:v>
                </c:pt>
                <c:pt idx="2">
                  <c:v>3.3316080886257142E-5</c:v>
                </c:pt>
                <c:pt idx="3">
                  <c:v>-4.3719967592170238E-5</c:v>
                </c:pt>
                <c:pt idx="4">
                  <c:v>3.4846055269710952E-5</c:v>
                </c:pt>
                <c:pt idx="5">
                  <c:v>2.1731119145812668E-5</c:v>
                </c:pt>
                <c:pt idx="6">
                  <c:v>-9.8889794343055316E-5</c:v>
                </c:pt>
                <c:pt idx="7">
                  <c:v>3.1761695916568237E-5</c:v>
                </c:pt>
                <c:pt idx="8">
                  <c:v>2.1203460107995994E-5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E9C-4B3A-B623-6872C85E1B84}"/>
            </c:ext>
          </c:extLst>
        </c:ser>
        <c:ser>
          <c:idx val="0"/>
          <c:order val="2"/>
          <c:tx>
            <c:v>Resíduos para i=151</c:v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#2'!$G$47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#2'!$G$47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#2'!$Q$35:$Q$46</c:f>
                <c:numCache>
                  <c:formatCode>General</c:formatCode>
                  <c:ptCount val="12"/>
                  <c:pt idx="0">
                    <c:v>4.462629463488434E-6</c:v>
                  </c:pt>
                  <c:pt idx="1">
                    <c:v>6.4865262060845966E-6</c:v>
                  </c:pt>
                  <c:pt idx="2">
                    <c:v>7.9698790981737111E-6</c:v>
                  </c:pt>
                  <c:pt idx="3">
                    <c:v>9.6417937985792362E-6</c:v>
                  </c:pt>
                  <c:pt idx="4">
                    <c:v>1.0282903946855039E-5</c:v>
                  </c:pt>
                  <c:pt idx="5">
                    <c:v>1.1225712988437101E-5</c:v>
                  </c:pt>
                  <c:pt idx="6">
                    <c:v>1.2030243370587129E-5</c:v>
                  </c:pt>
                  <c:pt idx="7">
                    <c:v>1.2973052412169193E-5</c:v>
                  </c:pt>
                  <c:pt idx="8">
                    <c:v>1.3702158070992658E-5</c:v>
                  </c:pt>
                </c:numCache>
              </c:numRef>
            </c:plus>
            <c:minus>
              <c:numRef>
                <c:f>'Barra #2'!$Q$35:$Q$46</c:f>
                <c:numCache>
                  <c:formatCode>General</c:formatCode>
                  <c:ptCount val="12"/>
                  <c:pt idx="0">
                    <c:v>4.462629463488434E-6</c:v>
                  </c:pt>
                  <c:pt idx="1">
                    <c:v>6.4865262060845966E-6</c:v>
                  </c:pt>
                  <c:pt idx="2">
                    <c:v>7.9698790981737111E-6</c:v>
                  </c:pt>
                  <c:pt idx="3">
                    <c:v>9.6417937985792362E-6</c:v>
                  </c:pt>
                  <c:pt idx="4">
                    <c:v>1.0282903946855039E-5</c:v>
                  </c:pt>
                  <c:pt idx="5">
                    <c:v>1.1225712988437101E-5</c:v>
                  </c:pt>
                  <c:pt idx="6">
                    <c:v>1.2030243370587129E-5</c:v>
                  </c:pt>
                  <c:pt idx="7">
                    <c:v>1.2973052412169193E-5</c:v>
                  </c:pt>
                  <c:pt idx="8">
                    <c:v>1.3702158070992658E-5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#2'!$AY$54:$AY$61</c:f>
              <c:numCache>
                <c:formatCode>0.00000</c:formatCode>
                <c:ptCount val="8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5.7191406250000016E-3</c:v>
                </c:pt>
                <c:pt idx="4">
                  <c:v>6.8797071360000026E-3</c:v>
                </c:pt>
                <c:pt idx="5">
                  <c:v>8.0999999999999996E-3</c:v>
                </c:pt>
                <c:pt idx="6">
                  <c:v>9.2352100000000006E-3</c:v>
                </c:pt>
                <c:pt idx="7">
                  <c:v>1.0355301121000001E-2</c:v>
                </c:pt>
              </c:numCache>
            </c:numRef>
          </c:xVal>
          <c:yVal>
            <c:numRef>
              <c:f>'Barra #2'!$BB$54:$BB$61</c:f>
              <c:numCache>
                <c:formatCode>General</c:formatCode>
                <c:ptCount val="8"/>
                <c:pt idx="0" formatCode="0.00000">
                  <c:v>-3.0468753437269355E-5</c:v>
                </c:pt>
                <c:pt idx="1">
                  <c:v>4.6755917951103038E-6</c:v>
                </c:pt>
                <c:pt idx="2">
                  <c:v>2.5517441163618298E-5</c:v>
                </c:pt>
                <c:pt idx="3">
                  <c:v>3.1427891690516668E-5</c:v>
                </c:pt>
                <c:pt idx="4">
                  <c:v>1.7206325447003193E-5</c:v>
                </c:pt>
                <c:pt idx="5">
                  <c:v>-7.1209360463434304E-5</c:v>
                </c:pt>
                <c:pt idx="6">
                  <c:v>2.000732401003999E-5</c:v>
                </c:pt>
                <c:pt idx="7">
                  <c:v>2.8435397944111956E-6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E9C-4B3A-B623-6872C85E1B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- </a:t>
                </a:r>
                <a:r>
                  <a:rPr lang="en-US" sz="1400" b="0" i="0" u="none" strike="noStrike" baseline="0">
                    <a:effectLst/>
                  </a:rPr>
                  <a:t>T</a:t>
                </a:r>
                <a:r>
                  <a:rPr lang="en-US" sz="1400" b="0" i="0" u="none" strike="noStrike" baseline="30000">
                    <a:effectLst/>
                  </a:rPr>
                  <a:t>2</a:t>
                </a:r>
                <a:r>
                  <a:rPr lang="en-US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6264860277159071"/>
          <c:y val="0.6698485463738455"/>
          <c:w val="0.2755539104539062"/>
          <c:h val="0.1466177592422775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  <c:extLst/>
  </c:chart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Resíduos da linearização para i=51 - Fórmula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7330662393162394"/>
          <c:y val="0.14591770833333334"/>
          <c:w val="0.7888036324786325"/>
          <c:h val="0.70424849135726708"/>
        </c:manualLayout>
      </c:layout>
      <c:scatterChart>
        <c:scatterStyle val="lineMarker"/>
        <c:varyColors val="0"/>
        <c:ser>
          <c:idx val="0"/>
          <c:order val="0"/>
          <c:tx>
            <c:v>Resíduos-loglog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#2'!$G$47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#2'!$G$47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#2'!$E$89:$E$90</c:f>
                <c:numCache>
                  <c:formatCode>General</c:formatCode>
                  <c:ptCount val="2"/>
                </c:numCache>
              </c:numRef>
            </c:plus>
            <c:minus>
              <c:numRef>
                <c:f>'Barra #2'!$E$89:$E$90</c:f>
                <c:numCache>
                  <c:formatCode>General</c:formatCode>
                  <c:ptCount val="2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#2'!$D$81:$D$88</c:f>
              <c:numCache>
                <c:formatCode>0.0000</c:formatCode>
                <c:ptCount val="8"/>
                <c:pt idx="0">
                  <c:v>-0.66354026615147055</c:v>
                </c:pt>
                <c:pt idx="1">
                  <c:v>-0.61798295742513154</c:v>
                </c:pt>
                <c:pt idx="2">
                  <c:v>-0.58502665202918203</c:v>
                </c:pt>
                <c:pt idx="3">
                  <c:v>-0.56066730616973737</c:v>
                </c:pt>
                <c:pt idx="4">
                  <c:v>-0.54060751224076908</c:v>
                </c:pt>
                <c:pt idx="5">
                  <c:v>-0.52287874528033762</c:v>
                </c:pt>
                <c:pt idx="6">
                  <c:v>-0.50863830616572736</c:v>
                </c:pt>
                <c:pt idx="7">
                  <c:v>-0.49620931694281889</c:v>
                </c:pt>
              </c:numCache>
            </c:numRef>
          </c:xVal>
          <c:yVal>
            <c:numRef>
              <c:f>'Barra #2'!$I$81:$I$88</c:f>
              <c:numCache>
                <c:formatCode>0.0000</c:formatCode>
                <c:ptCount val="8"/>
                <c:pt idx="0">
                  <c:v>9.6987177266472102E-4</c:v>
                </c:pt>
                <c:pt idx="1">
                  <c:v>2.5161579582024807E-3</c:v>
                </c:pt>
                <c:pt idx="2">
                  <c:v>-4.8219481994007385E-3</c:v>
                </c:pt>
                <c:pt idx="3">
                  <c:v>1.2192777102959518E-3</c:v>
                </c:pt>
                <c:pt idx="4">
                  <c:v>-4.8006436132208563E-4</c:v>
                </c:pt>
                <c:pt idx="5">
                  <c:v>-4.722300273382718E-3</c:v>
                </c:pt>
                <c:pt idx="6">
                  <c:v>2.2724422753233053E-3</c:v>
                </c:pt>
                <c:pt idx="7">
                  <c:v>3.0465631176195274E-3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44-4D95-BC29-CC86147481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  <c:max val="-0.4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Log(ℓ)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Log(T)-Log(T)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At val="-1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Resíduos da linearização</a:t>
            </a:r>
            <a:r>
              <a:rPr lang="en-US" sz="1400" baseline="0"/>
              <a:t> para i=101 - Fórmula 1</a:t>
            </a:r>
            <a:endParaRPr lang="en-US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8072943952390769"/>
          <c:y val="0.17171296296296296"/>
          <c:w val="0.78355631321271257"/>
          <c:h val="0.66503227243361873"/>
        </c:manualLayout>
      </c:layout>
      <c:scatterChart>
        <c:scatterStyle val="lineMarker"/>
        <c:varyColors val="0"/>
        <c:ser>
          <c:idx val="1"/>
          <c:order val="0"/>
          <c:tx>
            <c:v>Resíduos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#2'!$V$74:$V$84</c:f>
                <c:numCache>
                  <c:formatCode>General</c:formatCode>
                  <c:ptCount val="11"/>
                  <c:pt idx="0">
                    <c:v>3.2725555935147473E-4</c:v>
                  </c:pt>
                  <c:pt idx="1">
                    <c:v>3.5138063006848088E-4</c:v>
                  </c:pt>
                  <c:pt idx="2">
                    <c:v>3.7117495450582355E-4</c:v>
                  </c:pt>
                  <c:pt idx="3">
                    <c:v>3.8730141487131113E-4</c:v>
                  </c:pt>
                  <c:pt idx="4">
                    <c:v>4.0167262946748606E-4</c:v>
                  </c:pt>
                  <c:pt idx="5">
                    <c:v>4.1529177254126862E-4</c:v>
                  </c:pt>
                  <c:pt idx="6">
                    <c:v>4.2691877178608283E-4</c:v>
                  </c:pt>
                  <c:pt idx="7">
                    <c:v>4.3761218005636325E-4</c:v>
                  </c:pt>
                </c:numCache>
              </c:numRef>
            </c:plus>
            <c:minus>
              <c:numRef>
                <c:f>'Barra #2'!$V$74:$V$84</c:f>
                <c:numCache>
                  <c:formatCode>General</c:formatCode>
                  <c:ptCount val="11"/>
                  <c:pt idx="0">
                    <c:v>3.2725555935147473E-4</c:v>
                  </c:pt>
                  <c:pt idx="1">
                    <c:v>3.5138063006848088E-4</c:v>
                  </c:pt>
                  <c:pt idx="2">
                    <c:v>3.7117495450582355E-4</c:v>
                  </c:pt>
                  <c:pt idx="3">
                    <c:v>3.8730141487131113E-4</c:v>
                  </c:pt>
                  <c:pt idx="4">
                    <c:v>4.0167262946748606E-4</c:v>
                  </c:pt>
                  <c:pt idx="5">
                    <c:v>4.1529177254126862E-4</c:v>
                  </c:pt>
                  <c:pt idx="6">
                    <c:v>4.2691877178608283E-4</c:v>
                  </c:pt>
                  <c:pt idx="7">
                    <c:v>4.3761218005636325E-4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#2'!$X$74:$X$84</c:f>
                <c:numCache>
                  <c:formatCode>General</c:formatCode>
                  <c:ptCount val="11"/>
                  <c:pt idx="0">
                    <c:v>2.9676243625771117E-4</c:v>
                  </c:pt>
                  <c:pt idx="1">
                    <c:v>3.156857089586694E-4</c:v>
                  </c:pt>
                  <c:pt idx="2">
                    <c:v>3.290946193656891E-4</c:v>
                  </c:pt>
                  <c:pt idx="3">
                    <c:v>3.4326147913979401E-4</c:v>
                  </c:pt>
                  <c:pt idx="4">
                    <c:v>3.5396401090940198E-4</c:v>
                  </c:pt>
                  <c:pt idx="5">
                    <c:v>3.6233591371248125E-4</c:v>
                  </c:pt>
                  <c:pt idx="6">
                    <c:v>3.7320914505933759E-4</c:v>
                  </c:pt>
                  <c:pt idx="7">
                    <c:v>3.8107305886068017E-4</c:v>
                  </c:pt>
                </c:numCache>
              </c:numRef>
            </c:plus>
            <c:minus>
              <c:numRef>
                <c:f>'Barra #2'!$X$74:$X$84</c:f>
                <c:numCache>
                  <c:formatCode>General</c:formatCode>
                  <c:ptCount val="11"/>
                  <c:pt idx="0">
                    <c:v>2.9676243625771117E-4</c:v>
                  </c:pt>
                  <c:pt idx="1">
                    <c:v>3.156857089586694E-4</c:v>
                  </c:pt>
                  <c:pt idx="2">
                    <c:v>3.290946193656891E-4</c:v>
                  </c:pt>
                  <c:pt idx="3">
                    <c:v>3.4326147913979401E-4</c:v>
                  </c:pt>
                  <c:pt idx="4">
                    <c:v>3.5396401090940198E-4</c:v>
                  </c:pt>
                  <c:pt idx="5">
                    <c:v>3.6233591371248125E-4</c:v>
                  </c:pt>
                  <c:pt idx="6">
                    <c:v>3.7320914505933759E-4</c:v>
                  </c:pt>
                  <c:pt idx="7">
                    <c:v>3.8107305886068017E-4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#2'!$U$74:$U$84</c:f>
              <c:numCache>
                <c:formatCode>General</c:formatCode>
                <c:ptCount val="11"/>
                <c:pt idx="0">
                  <c:v>-0.66354026615147055</c:v>
                </c:pt>
                <c:pt idx="1">
                  <c:v>-0.61798295742513154</c:v>
                </c:pt>
                <c:pt idx="2">
                  <c:v>-0.58502665202918203</c:v>
                </c:pt>
                <c:pt idx="3">
                  <c:v>-0.56066730616973737</c:v>
                </c:pt>
                <c:pt idx="4">
                  <c:v>-0.54060751224076908</c:v>
                </c:pt>
                <c:pt idx="5">
                  <c:v>-0.52287874528033762</c:v>
                </c:pt>
                <c:pt idx="6">
                  <c:v>-0.50863830616572736</c:v>
                </c:pt>
                <c:pt idx="7">
                  <c:v>-0.49620931694281889</c:v>
                </c:pt>
              </c:numCache>
            </c:numRef>
          </c:xVal>
          <c:yVal>
            <c:numRef>
              <c:f>'Barra #2'!$Z$74:$Z$84</c:f>
              <c:numCache>
                <c:formatCode>General</c:formatCode>
                <c:ptCount val="11"/>
                <c:pt idx="0">
                  <c:v>1.8054411991634822E-3</c:v>
                </c:pt>
                <c:pt idx="1">
                  <c:v>1.5797093510161453E-3</c:v>
                </c:pt>
                <c:pt idx="2">
                  <c:v>-5.9897444859040583E-3</c:v>
                </c:pt>
                <c:pt idx="3">
                  <c:v>1.4483194805308131E-3</c:v>
                </c:pt>
                <c:pt idx="4">
                  <c:v>9.773104848027625E-4</c:v>
                </c:pt>
                <c:pt idx="5">
                  <c:v>-4.8994468720493511E-3</c:v>
                </c:pt>
                <c:pt idx="6">
                  <c:v>2.5294783310383373E-3</c:v>
                </c:pt>
                <c:pt idx="7">
                  <c:v>2.5489325114025352E-3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E9-47BF-AC07-31FA9711AB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34031"/>
        <c:axId val="295511791"/>
      </c:scatterChart>
      <c:valAx>
        <c:axId val="512934031"/>
        <c:scaling>
          <c:orientation val="minMax"/>
          <c:max val="-0.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</a:t>
                </a:r>
                <a:r>
                  <a:rPr lang="en-US" sz="1400" b="0" i="0" u="none" strike="noStrike" baseline="0">
                    <a:effectLst/>
                  </a:rPr>
                  <a:t>ℓ</a:t>
                </a:r>
                <a:r>
                  <a:rPr lang="en-US" sz="1400"/>
                  <a:t>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95511791"/>
        <c:crossesAt val="-10"/>
        <c:crossBetween val="midCat"/>
      </c:valAx>
      <c:valAx>
        <c:axId val="29551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Log(T)-Log(T) </a:t>
                </a:r>
                <a:r>
                  <a:rPr lang="en-US" sz="1400" b="0" i="0" baseline="-25000">
                    <a:effectLst/>
                  </a:rPr>
                  <a:t>ajuste</a:t>
                </a:r>
                <a:r>
                  <a:rPr lang="en-US" sz="1400" b="0" i="0" baseline="0">
                    <a:effectLst/>
                  </a:rPr>
                  <a:t> (s.u.)</a:t>
                </a:r>
                <a:endParaRPr lang="en-US" sz="1100">
                  <a:effectLst/>
                </a:endParaRPr>
              </a:p>
            </c:rich>
          </c:tx>
          <c:layout>
            <c:manualLayout>
              <c:xMode val="edge"/>
              <c:yMode val="edge"/>
              <c:x val="2.4999940889338181E-2"/>
              <c:y val="0.201260378394335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2934031"/>
        <c:crossesAt val="-1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Resíduos</a:t>
            </a:r>
            <a:r>
              <a:rPr lang="en-US" sz="1400" baseline="0"/>
              <a:t> da l</a:t>
            </a:r>
            <a:r>
              <a:rPr lang="en-US" sz="1400"/>
              <a:t>inearização</a:t>
            </a:r>
            <a:r>
              <a:rPr lang="en-US" sz="1400" baseline="0"/>
              <a:t> para i=151 - Fórmula 1</a:t>
            </a:r>
            <a:endParaRPr lang="en-US" sz="1400"/>
          </a:p>
        </c:rich>
      </c:tx>
      <c:layout>
        <c:manualLayout>
          <c:xMode val="edge"/>
          <c:yMode val="edge"/>
          <c:x val="0.12493912430350805"/>
          <c:y val="3.72641784514019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6269592651486231"/>
          <c:y val="0.17171296296296296"/>
          <c:w val="0.79547506959763281"/>
          <c:h val="0.67006531134111058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#2'!$AL$90:$AL$100</c:f>
                <c:numCache>
                  <c:formatCode>General</c:formatCode>
                  <c:ptCount val="11"/>
                  <c:pt idx="0">
                    <c:v>3.2725555935147473E-4</c:v>
                  </c:pt>
                  <c:pt idx="1">
                    <c:v>3.5138063006848088E-4</c:v>
                  </c:pt>
                  <c:pt idx="2">
                    <c:v>3.7117495450582355E-4</c:v>
                  </c:pt>
                  <c:pt idx="3">
                    <c:v>3.8730141487131113E-4</c:v>
                  </c:pt>
                  <c:pt idx="4">
                    <c:v>4.0167262946748606E-4</c:v>
                  </c:pt>
                  <c:pt idx="5">
                    <c:v>4.1529177254126862E-4</c:v>
                  </c:pt>
                  <c:pt idx="6">
                    <c:v>4.2691877178608283E-4</c:v>
                  </c:pt>
                  <c:pt idx="7">
                    <c:v>4.3761218005636325E-4</c:v>
                  </c:pt>
                </c:numCache>
              </c:numRef>
            </c:plus>
            <c:minus>
              <c:numRef>
                <c:f>'Barra #2'!$AL$90:$AL$100</c:f>
                <c:numCache>
                  <c:formatCode>General</c:formatCode>
                  <c:ptCount val="11"/>
                  <c:pt idx="0">
                    <c:v>3.2725555935147473E-4</c:v>
                  </c:pt>
                  <c:pt idx="1">
                    <c:v>3.5138063006848088E-4</c:v>
                  </c:pt>
                  <c:pt idx="2">
                    <c:v>3.7117495450582355E-4</c:v>
                  </c:pt>
                  <c:pt idx="3">
                    <c:v>3.8730141487131113E-4</c:v>
                  </c:pt>
                  <c:pt idx="4">
                    <c:v>4.0167262946748606E-4</c:v>
                  </c:pt>
                  <c:pt idx="5">
                    <c:v>4.1529177254126862E-4</c:v>
                  </c:pt>
                  <c:pt idx="6">
                    <c:v>4.2691877178608283E-4</c:v>
                  </c:pt>
                  <c:pt idx="7">
                    <c:v>4.3761218005636325E-4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#2'!$AN$90:$AN$100</c:f>
                <c:numCache>
                  <c:formatCode>General</c:formatCode>
                  <c:ptCount val="11"/>
                  <c:pt idx="0">
                    <c:v>2.9676243625771117E-4</c:v>
                  </c:pt>
                  <c:pt idx="1">
                    <c:v>3.1607994859701093E-4</c:v>
                  </c:pt>
                  <c:pt idx="2">
                    <c:v>3.363245275920016E-4</c:v>
                  </c:pt>
                  <c:pt idx="3">
                    <c:v>3.437674614716392E-4</c:v>
                  </c:pt>
                  <c:pt idx="4">
                    <c:v>3.5445672091619101E-4</c:v>
                  </c:pt>
                  <c:pt idx="5">
                    <c:v>3.6337181724208398E-4</c:v>
                  </c:pt>
                  <c:pt idx="6">
                    <c:v>3.7361507420316102E-4</c:v>
                  </c:pt>
                  <c:pt idx="7">
                    <c:v>3.8140679920397398E-4</c:v>
                  </c:pt>
                </c:numCache>
              </c:numRef>
            </c:plus>
            <c:minus>
              <c:numRef>
                <c:f>'Barra #2'!$AN$90:$AN$100</c:f>
                <c:numCache>
                  <c:formatCode>General</c:formatCode>
                  <c:ptCount val="11"/>
                  <c:pt idx="0">
                    <c:v>2.9676243625771117E-4</c:v>
                  </c:pt>
                  <c:pt idx="1">
                    <c:v>3.1607994859701093E-4</c:v>
                  </c:pt>
                  <c:pt idx="2">
                    <c:v>3.363245275920016E-4</c:v>
                  </c:pt>
                  <c:pt idx="3">
                    <c:v>3.437674614716392E-4</c:v>
                  </c:pt>
                  <c:pt idx="4">
                    <c:v>3.5445672091619101E-4</c:v>
                  </c:pt>
                  <c:pt idx="5">
                    <c:v>3.6337181724208398E-4</c:v>
                  </c:pt>
                  <c:pt idx="6">
                    <c:v>3.7361507420316102E-4</c:v>
                  </c:pt>
                  <c:pt idx="7">
                    <c:v>3.8140679920397398E-4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#2'!$AR$90:$AR$96</c:f>
              <c:numCache>
                <c:formatCode>0.00000</c:formatCode>
                <c:ptCount val="7"/>
                <c:pt idx="0">
                  <c:v>-0.66354026615147055</c:v>
                </c:pt>
                <c:pt idx="1">
                  <c:v>-0.61798295742513154</c:v>
                </c:pt>
                <c:pt idx="2">
                  <c:v>-0.56066730616973737</c:v>
                </c:pt>
                <c:pt idx="3">
                  <c:v>-0.54060751224076908</c:v>
                </c:pt>
                <c:pt idx="4">
                  <c:v>-0.52287874528033762</c:v>
                </c:pt>
                <c:pt idx="5">
                  <c:v>-0.50863830616572736</c:v>
                </c:pt>
                <c:pt idx="6">
                  <c:v>-0.49620931694281889</c:v>
                </c:pt>
              </c:numCache>
            </c:numRef>
          </c:xVal>
          <c:yVal>
            <c:numRef>
              <c:f>'Barra #2'!$AU$90:$AU$96</c:f>
              <c:numCache>
                <c:formatCode>General</c:formatCode>
                <c:ptCount val="7"/>
                <c:pt idx="0" formatCode="0.00000">
                  <c:v>-5.4697582261087341E-4</c:v>
                </c:pt>
                <c:pt idx="1">
                  <c:v>9.1310494564478262E-4</c:v>
                </c:pt>
                <c:pt idx="2">
                  <c:v>8.9017041130912133E-4</c:v>
                </c:pt>
                <c:pt idx="3">
                  <c:v>2.4920346408241478E-4</c:v>
                </c:pt>
                <c:pt idx="4">
                  <c:v>-3.9278014192465349E-3</c:v>
                </c:pt>
                <c:pt idx="5">
                  <c:v>1.3390718701624671E-3</c:v>
                </c:pt>
                <c:pt idx="6">
                  <c:v>1.0832265506555139E-3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B2-49F4-BA51-785DFDBB79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34031"/>
        <c:axId val="295511791"/>
      </c:scatterChart>
      <c:valAx>
        <c:axId val="512934031"/>
        <c:scaling>
          <c:orientation val="minMax"/>
          <c:max val="-0.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</a:t>
                </a:r>
                <a:r>
                  <a:rPr lang="en-US" sz="1400" b="0" i="0" u="none" strike="noStrike" baseline="0">
                    <a:effectLst/>
                  </a:rPr>
                  <a:t>ℓ</a:t>
                </a:r>
                <a:r>
                  <a:rPr lang="en-US" sz="1400"/>
                  <a:t>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95511791"/>
        <c:crossesAt val="-10"/>
        <c:crossBetween val="midCat"/>
      </c:valAx>
      <c:valAx>
        <c:axId val="29551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Log(T)-Log(T) </a:t>
                </a:r>
                <a:r>
                  <a:rPr lang="en-US" sz="1400" b="0" i="0" baseline="-25000">
                    <a:effectLst/>
                  </a:rPr>
                  <a:t>ajuste</a:t>
                </a:r>
                <a:r>
                  <a:rPr lang="en-US" sz="1400" b="0" i="0" baseline="0">
                    <a:effectLst/>
                  </a:rPr>
                  <a:t> (s.u.)</a:t>
                </a:r>
                <a:endParaRPr lang="en-US" sz="1100">
                  <a:effectLst/>
                </a:endParaRPr>
              </a:p>
            </c:rich>
          </c:tx>
          <c:layout>
            <c:manualLayout>
              <c:xMode val="edge"/>
              <c:yMode val="edge"/>
              <c:x val="1.497546101051082E-2"/>
              <c:y val="0.24218881509146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2934031"/>
        <c:crossesAt val="-1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Linearização</a:t>
            </a:r>
            <a:r>
              <a:rPr lang="en-US" sz="1600" baseline="0"/>
              <a:t> a média dos 3 i - Fórmula 1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358314938499149"/>
          <c:y val="0.17171296296296296"/>
          <c:w val="0.80572444176343105"/>
          <c:h val="0.68677083333333344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#2'!$DZ$48:$DZ$58</c:f>
                <c:numCache>
                  <c:formatCode>General</c:formatCode>
                  <c:ptCount val="11"/>
                  <c:pt idx="0">
                    <c:v>3.2725555935147473E-4</c:v>
                  </c:pt>
                  <c:pt idx="1">
                    <c:v>3.5138063006848088E-4</c:v>
                  </c:pt>
                  <c:pt idx="2">
                    <c:v>3.7117495450582355E-4</c:v>
                  </c:pt>
                  <c:pt idx="3">
                    <c:v>3.8730141487131113E-4</c:v>
                  </c:pt>
                  <c:pt idx="4">
                    <c:v>4.0167262946748606E-4</c:v>
                  </c:pt>
                  <c:pt idx="5">
                    <c:v>4.1529177254126862E-4</c:v>
                  </c:pt>
                  <c:pt idx="6">
                    <c:v>4.2691877178608283E-4</c:v>
                  </c:pt>
                  <c:pt idx="7">
                    <c:v>4.3761218005636325E-4</c:v>
                  </c:pt>
                </c:numCache>
              </c:numRef>
            </c:plus>
            <c:minus>
              <c:numRef>
                <c:f>'Barra #2'!$DZ$48:$DZ$58</c:f>
                <c:numCache>
                  <c:formatCode>General</c:formatCode>
                  <c:ptCount val="11"/>
                  <c:pt idx="0">
                    <c:v>3.2725555935147473E-4</c:v>
                  </c:pt>
                  <c:pt idx="1">
                    <c:v>3.5138063006848088E-4</c:v>
                  </c:pt>
                  <c:pt idx="2">
                    <c:v>3.7117495450582355E-4</c:v>
                  </c:pt>
                  <c:pt idx="3">
                    <c:v>3.8730141487131113E-4</c:v>
                  </c:pt>
                  <c:pt idx="4">
                    <c:v>4.0167262946748606E-4</c:v>
                  </c:pt>
                  <c:pt idx="5">
                    <c:v>4.1529177254126862E-4</c:v>
                  </c:pt>
                  <c:pt idx="6">
                    <c:v>4.2691877178608283E-4</c:v>
                  </c:pt>
                  <c:pt idx="7">
                    <c:v>4.3761218005636325E-4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#2'!$EB$48:$EB$58</c:f>
                <c:numCache>
                  <c:formatCode>General</c:formatCode>
                  <c:ptCount val="11"/>
                  <c:pt idx="0">
                    <c:v>2.9642081810355944E-4</c:v>
                  </c:pt>
                  <c:pt idx="1">
                    <c:v>3.1558048133020945E-4</c:v>
                  </c:pt>
                  <c:pt idx="2">
                    <c:v>3.3272932250280466E-4</c:v>
                  </c:pt>
                  <c:pt idx="3">
                    <c:v>3.4306854489034674E-4</c:v>
                  </c:pt>
                  <c:pt idx="4">
                    <c:v>3.5363522310544106E-4</c:v>
                  </c:pt>
                  <c:pt idx="5">
                    <c:v>3.6285414492403032E-4</c:v>
                  </c:pt>
                  <c:pt idx="6">
                    <c:v>3.7293835896981862E-4</c:v>
                  </c:pt>
                  <c:pt idx="7">
                    <c:v>3.8085046395313818E-4</c:v>
                  </c:pt>
                </c:numCache>
              </c:numRef>
            </c:plus>
            <c:minus>
              <c:numRef>
                <c:f>'Barra #2'!$EB$48:$EB$58</c:f>
                <c:numCache>
                  <c:formatCode>General</c:formatCode>
                  <c:ptCount val="11"/>
                  <c:pt idx="0">
                    <c:v>2.9642081810355944E-4</c:v>
                  </c:pt>
                  <c:pt idx="1">
                    <c:v>3.1558048133020945E-4</c:v>
                  </c:pt>
                  <c:pt idx="2">
                    <c:v>3.3272932250280466E-4</c:v>
                  </c:pt>
                  <c:pt idx="3">
                    <c:v>3.4306854489034674E-4</c:v>
                  </c:pt>
                  <c:pt idx="4">
                    <c:v>3.5363522310544106E-4</c:v>
                  </c:pt>
                  <c:pt idx="5">
                    <c:v>3.6285414492403032E-4</c:v>
                  </c:pt>
                  <c:pt idx="6">
                    <c:v>3.7293835896981862E-4</c:v>
                  </c:pt>
                  <c:pt idx="7">
                    <c:v>3.8085046395313818E-4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#2'!$DY$48:$DY$58</c:f>
              <c:numCache>
                <c:formatCode>General</c:formatCode>
                <c:ptCount val="11"/>
                <c:pt idx="0">
                  <c:v>-0.66354026615147055</c:v>
                </c:pt>
                <c:pt idx="1">
                  <c:v>-0.61798295742513154</c:v>
                </c:pt>
                <c:pt idx="2">
                  <c:v>-0.58502665202918203</c:v>
                </c:pt>
                <c:pt idx="3">
                  <c:v>-0.56066730616973737</c:v>
                </c:pt>
                <c:pt idx="4">
                  <c:v>-0.54060751224076908</c:v>
                </c:pt>
                <c:pt idx="5">
                  <c:v>-0.52287874528033762</c:v>
                </c:pt>
                <c:pt idx="6">
                  <c:v>-0.50863830616572736</c:v>
                </c:pt>
                <c:pt idx="7">
                  <c:v>-0.49620931694281889</c:v>
                </c:pt>
              </c:numCache>
            </c:numRef>
          </c:xVal>
          <c:yVal>
            <c:numRef>
              <c:f>'Barra #2'!$ED$48:$ED$58</c:f>
              <c:numCache>
                <c:formatCode>General</c:formatCode>
                <c:ptCount val="11"/>
                <c:pt idx="0">
                  <c:v>-2.0115446584765273E-3</c:v>
                </c:pt>
                <c:pt idx="1">
                  <c:v>-6.4933375561526674E-4</c:v>
                </c:pt>
                <c:pt idx="2">
                  <c:v>6.9163060227241946E-3</c:v>
                </c:pt>
                <c:pt idx="3">
                  <c:v>-5.8050448595281523E-4</c:v>
                </c:pt>
                <c:pt idx="4">
                  <c:v>-1.3221780869721034E-3</c:v>
                </c:pt>
                <c:pt idx="5">
                  <c:v>-4.2062270933536094E-3</c:v>
                </c:pt>
                <c:pt idx="6">
                  <c:v>7.7847743669945402E-4</c:v>
                </c:pt>
                <c:pt idx="7">
                  <c:v>1.0750046209473396E-3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B6-4794-836B-F1D4F89F4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34031"/>
        <c:axId val="295511791"/>
      </c:scatterChart>
      <c:valAx>
        <c:axId val="512934031"/>
        <c:scaling>
          <c:orientation val="minMax"/>
          <c:max val="-0.4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</a:t>
                </a:r>
                <a:r>
                  <a:rPr lang="en-US" sz="1400" b="0" i="0" u="none" strike="noStrike" baseline="0">
                    <a:effectLst/>
                  </a:rPr>
                  <a:t>ℓ</a:t>
                </a:r>
                <a:r>
                  <a:rPr lang="en-US" sz="1400"/>
                  <a:t>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95511791"/>
        <c:crossesAt val="-10"/>
        <c:crossBetween val="midCat"/>
      </c:valAx>
      <c:valAx>
        <c:axId val="29551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Log(T)-Log(T) </a:t>
                </a:r>
                <a:r>
                  <a:rPr lang="en-US" sz="1400" b="0" i="0" baseline="-25000">
                    <a:effectLst/>
                  </a:rPr>
                  <a:t>ajuste</a:t>
                </a:r>
                <a:r>
                  <a:rPr lang="en-US" sz="1400" b="0" i="0" baseline="0">
                    <a:effectLst/>
                  </a:rPr>
                  <a:t> (s.u.)</a:t>
                </a:r>
                <a:endParaRPr lang="en-US" sz="1100">
                  <a:effectLst/>
                </a:endParaRPr>
              </a:p>
            </c:rich>
          </c:tx>
          <c:layout>
            <c:manualLayout>
              <c:xMode val="edge"/>
              <c:yMode val="edge"/>
              <c:x val="1.246706057512194E-2"/>
              <c:y val="0.19517331083334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2934031"/>
        <c:crossesAt val="-1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i = 51 - Fórmula 1</a:t>
            </a:r>
            <a:endParaRPr lang="pt-PT" sz="1400">
              <a:effectLst/>
            </a:endParaRPr>
          </a:p>
        </c:rich>
      </c:tx>
      <c:layout>
        <c:manualLayout>
          <c:xMode val="edge"/>
          <c:yMode val="edge"/>
          <c:x val="0.41350402527282065"/>
          <c:y val="4.18658218922997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log(T)[log(ℓ)]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'Barra #2'!$N$51:$N$58</c:f>
              <c:numCache>
                <c:formatCode>General</c:formatCode>
                <c:ptCount val="8"/>
                <c:pt idx="0" formatCode="0.0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 formatCode="0.000000000">
                  <c:v>9.2352100000000006E-3</c:v>
                </c:pt>
                <c:pt idx="7">
                  <c:v>1.0355301121000001E-2</c:v>
                </c:pt>
              </c:numCache>
            </c:numRef>
          </c:xVal>
          <c:yVal>
            <c:numRef>
              <c:f>'Barra #2'!$O$51:$O$58</c:f>
              <c:numCache>
                <c:formatCode>General</c:formatCode>
                <c:ptCount val="8"/>
                <c:pt idx="0" formatCode="0.00000">
                  <c:v>5.6644000000000009E-4</c:v>
                </c:pt>
                <c:pt idx="1">
                  <c:v>1.1560000000000001E-3</c:v>
                </c:pt>
                <c:pt idx="2">
                  <c:v>1.7472400000000004E-3</c:v>
                </c:pt>
                <c:pt idx="3">
                  <c:v>2.2657599999999995E-3</c:v>
                </c:pt>
                <c:pt idx="4">
                  <c:v>2.8944399999999999E-3</c:v>
                </c:pt>
                <c:pt idx="5">
                  <c:v>3.4339599999999998E-3</c:v>
                </c:pt>
                <c:pt idx="6" formatCode="0.0000">
                  <c:v>4.6240000000000005E-3</c:v>
                </c:pt>
                <c:pt idx="7">
                  <c:v>5.1840000000000011E-3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36-4B71-86FF-3A3CD574124C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#2'!$N$51:$N$58</c:f>
              <c:numCache>
                <c:formatCode>General</c:formatCode>
                <c:ptCount val="8"/>
                <c:pt idx="0" formatCode="0.0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 formatCode="0.000000000">
                  <c:v>9.2352100000000006E-3</c:v>
                </c:pt>
                <c:pt idx="7">
                  <c:v>1.0355301121000001E-2</c:v>
                </c:pt>
              </c:numCache>
            </c:numRef>
          </c:xVal>
          <c:yVal>
            <c:numRef>
              <c:f>'Barra #2'!$P$51:$P$59</c:f>
              <c:numCache>
                <c:formatCode>General</c:formatCode>
                <c:ptCount val="9"/>
                <c:pt idx="0">
                  <c:v>5.6866853488678356E-4</c:v>
                </c:pt>
                <c:pt idx="1">
                  <c:v>1.1465277389196313E-3</c:v>
                </c:pt>
                <c:pt idx="2">
                  <c:v>1.7186533171907868E-3</c:v>
                </c:pt>
                <c:pt idx="3">
                  <c:v>2.3107378624377564E-3</c:v>
                </c:pt>
                <c:pt idx="4">
                  <c:v>2.8795732978053323E-3</c:v>
                </c:pt>
                <c:pt idx="5">
                  <c:v>3.4539446959291819E-3</c:v>
                </c:pt>
                <c:pt idx="6">
                  <c:v>4.619697335228292E-3</c:v>
                </c:pt>
                <c:pt idx="7">
                  <c:v>5.174037217602236E-3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B36-4B71-86FF-3A3CD574124C}"/>
            </c:ext>
          </c:extLst>
        </c:ser>
        <c:ser>
          <c:idx val="2"/>
          <c:order val="2"/>
          <c:tx>
            <c:v>Ponto Duvidoso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'Barra #2'!$D$41</c:f>
              <c:numCache>
                <c:formatCode>0.00000E+00</c:formatCode>
                <c:ptCount val="1"/>
                <c:pt idx="0">
                  <c:v>8.0999999999999996E-3</c:v>
                </c:pt>
              </c:numCache>
            </c:numRef>
          </c:xVal>
          <c:yVal>
            <c:numRef>
              <c:f>'Barra #2'!$F$41</c:f>
              <c:numCache>
                <c:formatCode>0.00000</c:formatCode>
                <c:ptCount val="1"/>
                <c:pt idx="0">
                  <c:v>3.9438400000000014E-3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B36-4B71-86FF-3A3CD57412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0080768"/>
        <c:axId val="708722592"/>
      </c:scatterChart>
      <c:valAx>
        <c:axId val="910080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ℓ</a:t>
                </a:r>
                <a:r>
                  <a:rPr lang="en-US" sz="1200" b="0" i="0" baseline="30000">
                    <a:effectLst/>
                  </a:rPr>
                  <a:t>4</a:t>
                </a:r>
                <a:r>
                  <a:rPr lang="en-US" sz="1200" b="0" i="0" baseline="0">
                    <a:effectLst/>
                  </a:rPr>
                  <a:t> (m</a:t>
                </a:r>
                <a:r>
                  <a:rPr lang="en-US" sz="1200" b="0" i="0" baseline="30000">
                    <a:effectLst/>
                  </a:rPr>
                  <a:t>4</a:t>
                </a:r>
                <a:r>
                  <a:rPr lang="en-US" sz="1200" b="0" i="0" baseline="0">
                    <a:effectLst/>
                  </a:rPr>
                  <a:t>)</a:t>
                </a:r>
                <a:endParaRPr lang="pt-PT" sz="1200">
                  <a:effectLst/>
                </a:endParaRPr>
              </a:p>
            </c:rich>
          </c:tx>
          <c:layout>
            <c:manualLayout>
              <c:xMode val="edge"/>
              <c:yMode val="edge"/>
              <c:x val="0.49129999085016018"/>
              <c:y val="0.892411622298379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2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08722592"/>
        <c:crosses val="autoZero"/>
        <c:crossBetween val="midCat"/>
      </c:valAx>
      <c:valAx>
        <c:axId val="70872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T</a:t>
                </a:r>
                <a:r>
                  <a:rPr lang="en-US" sz="1400" b="0" i="0" baseline="30000">
                    <a:effectLst/>
                  </a:rPr>
                  <a:t>2</a:t>
                </a:r>
                <a:r>
                  <a:rPr lang="en-US" sz="1400" b="0" i="0" baseline="0">
                    <a:effectLst/>
                  </a:rPr>
                  <a:t> (s</a:t>
                </a:r>
                <a:r>
                  <a:rPr lang="en-US" sz="1400" b="0" i="0" baseline="30000">
                    <a:effectLst/>
                  </a:rPr>
                  <a:t>2</a:t>
                </a:r>
                <a:r>
                  <a:rPr lang="en-US" sz="1400" b="0" i="0" baseline="0">
                    <a:effectLst/>
                  </a:rPr>
                  <a:t>)</a:t>
                </a:r>
                <a:endParaRPr lang="pt-PT" sz="1400">
                  <a:effectLst/>
                </a:endParaRPr>
              </a:p>
            </c:rich>
          </c:tx>
          <c:layout>
            <c:manualLayout>
              <c:xMode val="edge"/>
              <c:yMode val="edge"/>
              <c:x val="1.3899876236377574E-2"/>
              <c:y val="0.372640358946266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4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10080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750456761446578"/>
          <c:y val="0.51263492391068965"/>
          <c:w val="0.24479170542944489"/>
          <c:h val="0.228261622067612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Resíduos para i = 51 - Fórmula 1</a:t>
            </a:r>
            <a:endParaRPr lang="pt-PT" sz="1400">
              <a:effectLst/>
            </a:endParaRPr>
          </a:p>
        </c:rich>
      </c:tx>
      <c:layout>
        <c:manualLayout>
          <c:xMode val="edge"/>
          <c:yMode val="edge"/>
          <c:x val="0.26372012475549395"/>
          <c:y val="2.70530399344762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'Barra #2'!$N$51:$N$58</c:f>
              <c:numCache>
                <c:formatCode>General</c:formatCode>
                <c:ptCount val="8"/>
                <c:pt idx="0" formatCode="0.0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 formatCode="0.000000000">
                  <c:v>9.2352100000000006E-3</c:v>
                </c:pt>
                <c:pt idx="7">
                  <c:v>1.0355301121000001E-2</c:v>
                </c:pt>
              </c:numCache>
            </c:numRef>
          </c:xVal>
          <c:yVal>
            <c:numRef>
              <c:f>'Barra #2'!$Q$51:$Q$59</c:f>
              <c:numCache>
                <c:formatCode>General</c:formatCode>
                <c:ptCount val="9"/>
                <c:pt idx="0" formatCode="0.00000">
                  <c:v>-2.2285348867834721E-6</c:v>
                </c:pt>
                <c:pt idx="1">
                  <c:v>9.4722610803688653E-6</c:v>
                </c:pt>
                <c:pt idx="2">
                  <c:v>2.8586682809213617E-5</c:v>
                </c:pt>
                <c:pt idx="3">
                  <c:v>-4.4977862437756925E-5</c:v>
                </c:pt>
                <c:pt idx="4">
                  <c:v>1.4866702194667528E-5</c:v>
                </c:pt>
                <c:pt idx="5">
                  <c:v>-1.9984695929182138E-5</c:v>
                </c:pt>
                <c:pt idx="6">
                  <c:v>4.3026647717084657E-6</c:v>
                </c:pt>
                <c:pt idx="7">
                  <c:v>9.9627823977651436E-6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85-4CB5-835A-87C966A894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0080768"/>
        <c:axId val="708722592"/>
      </c:scatterChart>
      <c:valAx>
        <c:axId val="910080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ℓ</a:t>
                </a:r>
                <a:r>
                  <a:rPr lang="en-US" sz="1200" b="0" i="0" baseline="30000">
                    <a:effectLst/>
                  </a:rPr>
                  <a:t>4</a:t>
                </a:r>
                <a:r>
                  <a:rPr lang="en-US" sz="1200" b="0" i="0" baseline="0">
                    <a:effectLst/>
                  </a:rPr>
                  <a:t> (m</a:t>
                </a:r>
                <a:r>
                  <a:rPr lang="en-US" sz="1200" b="0" i="0" baseline="30000">
                    <a:effectLst/>
                  </a:rPr>
                  <a:t>4</a:t>
                </a:r>
                <a:r>
                  <a:rPr lang="en-US" sz="1200" b="0" i="0" baseline="0">
                    <a:effectLst/>
                  </a:rPr>
                  <a:t>)</a:t>
                </a:r>
                <a:endParaRPr lang="pt-PT" sz="1200">
                  <a:effectLst/>
                </a:endParaRPr>
              </a:p>
            </c:rich>
          </c:tx>
          <c:layout>
            <c:manualLayout>
              <c:xMode val="edge"/>
              <c:yMode val="edge"/>
              <c:x val="0.45194030547862801"/>
              <c:y val="0.884545649164675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2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08722592"/>
        <c:crossesAt val="-100"/>
        <c:crossBetween val="midCat"/>
      </c:valAx>
      <c:valAx>
        <c:axId val="70872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T</a:t>
                </a:r>
                <a:r>
                  <a:rPr lang="en-US" sz="1200" b="0" i="0" baseline="30000">
                    <a:effectLst/>
                  </a:rPr>
                  <a:t>2</a:t>
                </a:r>
                <a:r>
                  <a:rPr lang="en-US" sz="1200" b="0" i="0" baseline="0">
                    <a:effectLst/>
                  </a:rPr>
                  <a:t> - T</a:t>
                </a:r>
                <a:r>
                  <a:rPr lang="en-US" sz="1200" b="0" i="0" baseline="30000">
                    <a:effectLst/>
                  </a:rPr>
                  <a:t>2</a:t>
                </a:r>
                <a:r>
                  <a:rPr lang="en-US" sz="1200" b="0" i="0" baseline="0">
                    <a:effectLst/>
                  </a:rPr>
                  <a:t> </a:t>
                </a:r>
                <a:r>
                  <a:rPr lang="en-US" sz="1200" b="0" i="0" baseline="-25000">
                    <a:effectLst/>
                  </a:rPr>
                  <a:t>ajuste</a:t>
                </a:r>
                <a:r>
                  <a:rPr lang="en-US" sz="1200" b="0" i="0" baseline="0">
                    <a:effectLst/>
                  </a:rPr>
                  <a:t> (s</a:t>
                </a:r>
                <a:r>
                  <a:rPr lang="en-US" sz="1200" b="0" i="0" baseline="30000">
                    <a:effectLst/>
                  </a:rPr>
                  <a:t>2</a:t>
                </a:r>
                <a:r>
                  <a:rPr lang="en-US" sz="1200" b="0" i="0" baseline="0">
                    <a:effectLst/>
                  </a:rPr>
                  <a:t>)</a:t>
                </a:r>
                <a:endParaRPr lang="pt-PT" sz="1200">
                  <a:effectLst/>
                </a:endParaRPr>
              </a:p>
            </c:rich>
          </c:tx>
          <c:layout>
            <c:manualLayout>
              <c:xMode val="edge"/>
              <c:yMode val="edge"/>
              <c:x val="1.5323658044965771E-2"/>
              <c:y val="0.326517056018609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2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10080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238204247793745"/>
          <c:y val="0.17518490043934293"/>
          <c:w val="0.12416219663727091"/>
          <c:h val="7.6087207355870684E-2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dos 3 valores de i juntos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70288055555555562"/>
        </c:manualLayout>
      </c:layout>
      <c:scatterChart>
        <c:scatterStyle val="lineMarker"/>
        <c:varyColors val="0"/>
        <c:ser>
          <c:idx val="1"/>
          <c:order val="0"/>
          <c:tx>
            <c:v>Resíduos para i=51</c:v>
          </c:tx>
          <c:spPr>
            <a:ln w="25400">
              <a:noFill/>
            </a:ln>
          </c:spPr>
          <c:marker>
            <c:symbol val="circle"/>
            <c:size val="5"/>
          </c:marker>
          <c:errBars>
            <c:errDir val="x"/>
            <c:errBarType val="both"/>
            <c:errValType val="cust"/>
            <c:noEndCap val="0"/>
            <c:plus>
              <c:numRef>
                <c:f>'Barra #2'!$G$47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#2'!$G$47</c:f>
                <c:numCache>
                  <c:formatCode>General</c:formatCode>
                  <c:ptCount val="1"/>
                </c:numCache>
              </c:numRef>
            </c:minus>
          </c:errBars>
          <c:xVal>
            <c:numRef>
              <c:f>'Barra #2'!$N$51:$N$61</c:f>
              <c:numCache>
                <c:formatCode>General</c:formatCode>
                <c:ptCount val="11"/>
                <c:pt idx="0" formatCode="0.0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 formatCode="0.000000000">
                  <c:v>9.2352100000000006E-3</c:v>
                </c:pt>
                <c:pt idx="7">
                  <c:v>1.0355301121000001E-2</c:v>
                </c:pt>
              </c:numCache>
            </c:numRef>
          </c:xVal>
          <c:yVal>
            <c:numRef>
              <c:f>'Barra #2'!$Q$51:$Q$61</c:f>
              <c:numCache>
                <c:formatCode>General</c:formatCode>
                <c:ptCount val="11"/>
                <c:pt idx="0" formatCode="0.00000">
                  <c:v>-2.2285348867834721E-6</c:v>
                </c:pt>
                <c:pt idx="1">
                  <c:v>9.4722610803688653E-6</c:v>
                </c:pt>
                <c:pt idx="2">
                  <c:v>2.8586682809213617E-5</c:v>
                </c:pt>
                <c:pt idx="3">
                  <c:v>-4.4977862437756925E-5</c:v>
                </c:pt>
                <c:pt idx="4">
                  <c:v>1.4866702194667528E-5</c:v>
                </c:pt>
                <c:pt idx="5">
                  <c:v>-1.9984695929182138E-5</c:v>
                </c:pt>
                <c:pt idx="6">
                  <c:v>4.3026647717084657E-6</c:v>
                </c:pt>
                <c:pt idx="7">
                  <c:v>9.9627823977651436E-6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D8-440D-A668-560EC079763E}"/>
            </c:ext>
          </c:extLst>
        </c:ser>
        <c:ser>
          <c:idx val="2"/>
          <c:order val="1"/>
          <c:tx>
            <c:v>Resíduos para i=101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</c:marker>
          <c:errBars>
            <c:errDir val="x"/>
            <c:errBarType val="both"/>
            <c:errValType val="cust"/>
            <c:noEndCap val="0"/>
            <c:plus>
              <c:numRef>
                <c:f>'Barra #2'!$G$47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#2'!$G$47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#2'!$D$35:$D$46</c:f>
              <c:numCache>
                <c:formatCode>0.0000000E+00</c:formatCode>
                <c:ptCount val="12"/>
                <c:pt idx="0" formatCode="0.00000000E+0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 formatCode="0.000000E+00">
                  <c:v>4.5697600000000008E-3</c:v>
                </c:pt>
                <c:pt idx="4" formatCode="0.000000E+00">
                  <c:v>5.7191406250000016E-3</c:v>
                </c:pt>
                <c:pt idx="5" formatCode="0.000000E+00">
                  <c:v>6.8797071360000026E-3</c:v>
                </c:pt>
                <c:pt idx="6" formatCode="0.00000E+00">
                  <c:v>8.0999999999999996E-3</c:v>
                </c:pt>
                <c:pt idx="7" formatCode="0.00000E+00">
                  <c:v>9.2352100000000006E-3</c:v>
                </c:pt>
                <c:pt idx="8" formatCode="0.00000E+00">
                  <c:v>1.0355301121000001E-2</c:v>
                </c:pt>
              </c:numCache>
            </c:numRef>
          </c:xVal>
          <c:yVal>
            <c:numRef>
              <c:f>'Barra #2'!$O$35:$O$46</c:f>
              <c:numCache>
                <c:formatCode>0.00000</c:formatCode>
                <c:ptCount val="12"/>
                <c:pt idx="0">
                  <c:v>-2.3357478989945364E-5</c:v>
                </c:pt>
                <c:pt idx="1">
                  <c:v>2.3108829598827334E-5</c:v>
                </c:pt>
                <c:pt idx="2">
                  <c:v>3.3316080886257142E-5</c:v>
                </c:pt>
                <c:pt idx="3">
                  <c:v>-4.3719967592170238E-5</c:v>
                </c:pt>
                <c:pt idx="4">
                  <c:v>3.4846055269710952E-5</c:v>
                </c:pt>
                <c:pt idx="5">
                  <c:v>2.1731119145812668E-5</c:v>
                </c:pt>
                <c:pt idx="6">
                  <c:v>-9.8889794343055316E-5</c:v>
                </c:pt>
                <c:pt idx="7">
                  <c:v>3.1761695916568237E-5</c:v>
                </c:pt>
                <c:pt idx="8">
                  <c:v>2.1203460107995994E-5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D8-440D-A668-560EC079763E}"/>
            </c:ext>
          </c:extLst>
        </c:ser>
        <c:ser>
          <c:idx val="0"/>
          <c:order val="2"/>
          <c:tx>
            <c:v>Resíduos para i=151</c:v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#2'!$G$47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#2'!$G$47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#2'!$AY$54:$AY$61</c:f>
              <c:numCache>
                <c:formatCode>0.00000</c:formatCode>
                <c:ptCount val="8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5.7191406250000016E-3</c:v>
                </c:pt>
                <c:pt idx="4">
                  <c:v>6.8797071360000026E-3</c:v>
                </c:pt>
                <c:pt idx="5">
                  <c:v>8.0999999999999996E-3</c:v>
                </c:pt>
                <c:pt idx="6">
                  <c:v>9.2352100000000006E-3</c:v>
                </c:pt>
                <c:pt idx="7">
                  <c:v>1.0355301121000001E-2</c:v>
                </c:pt>
              </c:numCache>
            </c:numRef>
          </c:xVal>
          <c:yVal>
            <c:numRef>
              <c:f>'Barra #2'!$BB$54:$BB$61</c:f>
              <c:numCache>
                <c:formatCode>General</c:formatCode>
                <c:ptCount val="8"/>
                <c:pt idx="0" formatCode="0.00000">
                  <c:v>-3.0468753437269355E-5</c:v>
                </c:pt>
                <c:pt idx="1">
                  <c:v>4.6755917951103038E-6</c:v>
                </c:pt>
                <c:pt idx="2">
                  <c:v>2.5517441163618298E-5</c:v>
                </c:pt>
                <c:pt idx="3">
                  <c:v>3.1427891690516668E-5</c:v>
                </c:pt>
                <c:pt idx="4">
                  <c:v>1.7206325447003193E-5</c:v>
                </c:pt>
                <c:pt idx="5">
                  <c:v>-7.1209360463434304E-5</c:v>
                </c:pt>
                <c:pt idx="6">
                  <c:v>2.000732401003999E-5</c:v>
                </c:pt>
                <c:pt idx="7">
                  <c:v>2.8435397944111956E-6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5D8-440D-A668-560EC07976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- </a:t>
                </a:r>
                <a:r>
                  <a:rPr lang="en-US" sz="1400" b="0" i="0" u="none" strike="noStrike" baseline="0">
                    <a:effectLst/>
                  </a:rPr>
                  <a:t>T</a:t>
                </a:r>
                <a:r>
                  <a:rPr lang="en-US" sz="1400" b="0" i="0" u="none" strike="noStrike" baseline="30000">
                    <a:effectLst/>
                  </a:rPr>
                  <a:t>2</a:t>
                </a:r>
                <a:r>
                  <a:rPr lang="en-US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6264860277159071"/>
          <c:y val="0.6698485463738455"/>
          <c:w val="0.2755539104539062"/>
          <c:h val="0.1466177592422775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  <c:extLst/>
  </c:chart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 3</a:t>
            </a:r>
            <a:r>
              <a:rPr lang="en-US" sz="1600" baseline="0"/>
              <a:t>  conjuntos de impulsos</a:t>
            </a:r>
            <a:r>
              <a:rPr lang="en-US" sz="1600"/>
              <a:t> - Fórmula 2</a:t>
            </a:r>
          </a:p>
        </c:rich>
      </c:tx>
      <c:layout>
        <c:manualLayout>
          <c:xMode val="edge"/>
          <c:yMode val="edge"/>
          <c:x val="0.19472991776745965"/>
          <c:y val="1.7815751349927564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68524166666666675"/>
        </c:manualLayout>
      </c:layout>
      <c:scatterChart>
        <c:scatterStyle val="lineMarker"/>
        <c:varyColors val="0"/>
        <c:ser>
          <c:idx val="2"/>
          <c:order val="0"/>
          <c:tx>
            <c:v>i=51 - Fórmula 2</c:v>
          </c:tx>
          <c:spPr>
            <a:ln w="25400">
              <a:noFill/>
            </a:ln>
          </c:spPr>
          <c:marker>
            <c:symbol val="circ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#2'!$G$47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#2'!$G$47</c:f>
                <c:numCache>
                  <c:formatCode>General</c:formatCode>
                  <c:ptCount val="1"/>
                </c:numCache>
              </c:numRef>
            </c:minus>
          </c:errBars>
          <c:errBars>
            <c:errDir val="y"/>
            <c:errBarType val="both"/>
            <c:errValType val="cust"/>
            <c:noEndCap val="0"/>
            <c:plus>
              <c:numRef>
                <c:f>'Barra #2'!$I$47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#2'!$I$47</c:f>
                <c:numCache>
                  <c:formatCode>General</c:formatCode>
                  <c:ptCount val="1"/>
                </c:numCache>
              </c:numRef>
            </c:minus>
          </c:errBars>
          <c:xVal>
            <c:numRef>
              <c:f>'Barra #2'!$BY$105:$BY$112</c:f>
              <c:numCache>
                <c:formatCode>General</c:formatCode>
                <c:ptCount val="8"/>
                <c:pt idx="0">
                  <c:v>3.2399999999999998E-2</c:v>
                </c:pt>
                <c:pt idx="1">
                  <c:v>4.7088999999999999E-2</c:v>
                </c:pt>
                <c:pt idx="2">
                  <c:v>5.8081000000000008E-2</c:v>
                </c:pt>
                <c:pt idx="3">
                  <c:v>7.5625000000000012E-2</c:v>
                </c:pt>
                <c:pt idx="4">
                  <c:v>8.2944000000000018E-2</c:v>
                </c:pt>
                <c:pt idx="5">
                  <c:v>0.09</c:v>
                </c:pt>
                <c:pt idx="6">
                  <c:v>9.6100000000000005E-2</c:v>
                </c:pt>
                <c:pt idx="7">
                  <c:v>0.101761</c:v>
                </c:pt>
              </c:numCache>
            </c:numRef>
          </c:xVal>
          <c:yVal>
            <c:numRef>
              <c:f>'Barra #2'!$BZ$105:$BZ$112</c:f>
              <c:numCache>
                <c:formatCode>General</c:formatCode>
                <c:ptCount val="8"/>
                <c:pt idx="0">
                  <c:v>2.3800000000000002E-2</c:v>
                </c:pt>
                <c:pt idx="1">
                  <c:v>3.4000000000000002E-2</c:v>
                </c:pt>
                <c:pt idx="2">
                  <c:v>4.1800000000000004E-2</c:v>
                </c:pt>
                <c:pt idx="3">
                  <c:v>5.3800000000000001E-2</c:v>
                </c:pt>
                <c:pt idx="4">
                  <c:v>5.8599999999999999E-2</c:v>
                </c:pt>
                <c:pt idx="5">
                  <c:v>6.2800000000000009E-2</c:v>
                </c:pt>
                <c:pt idx="6">
                  <c:v>6.8000000000000005E-2</c:v>
                </c:pt>
                <c:pt idx="7">
                  <c:v>7.2000000000000008E-2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4EEC-4D92-9459-169F203308B0}"/>
            </c:ext>
          </c:extLst>
        </c:ser>
        <c:ser>
          <c:idx val="3"/>
          <c:order val="1"/>
          <c:tx>
            <c:v>Ajuste Linear 51</c:v>
          </c:tx>
          <c:spPr>
            <a:ln w="12700"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'Barra #2'!$BY$105:$BY$112</c:f>
              <c:numCache>
                <c:formatCode>General</c:formatCode>
                <c:ptCount val="8"/>
                <c:pt idx="0">
                  <c:v>3.2399999999999998E-2</c:v>
                </c:pt>
                <c:pt idx="1">
                  <c:v>4.7088999999999999E-2</c:v>
                </c:pt>
                <c:pt idx="2">
                  <c:v>5.8081000000000008E-2</c:v>
                </c:pt>
                <c:pt idx="3">
                  <c:v>7.5625000000000012E-2</c:v>
                </c:pt>
                <c:pt idx="4">
                  <c:v>8.2944000000000018E-2</c:v>
                </c:pt>
                <c:pt idx="5">
                  <c:v>0.09</c:v>
                </c:pt>
                <c:pt idx="6">
                  <c:v>9.6100000000000005E-2</c:v>
                </c:pt>
                <c:pt idx="7">
                  <c:v>0.101761</c:v>
                </c:pt>
              </c:numCache>
            </c:numRef>
          </c:xVal>
          <c:yVal>
            <c:numRef>
              <c:f>'Barra #2'!$CA$105:$CA$112</c:f>
              <c:numCache>
                <c:formatCode>General</c:formatCode>
                <c:ptCount val="8"/>
                <c:pt idx="0">
                  <c:v>2.3108676886309781E-2</c:v>
                </c:pt>
                <c:pt idx="1">
                  <c:v>3.3454465861210654E-2</c:v>
                </c:pt>
                <c:pt idx="2">
                  <c:v>4.1196375617634534E-2</c:v>
                </c:pt>
                <c:pt idx="3">
                  <c:v>5.3553004508346012E-2</c:v>
                </c:pt>
                <c:pt idx="4">
                  <c:v>5.8707938779385536E-2</c:v>
                </c:pt>
                <c:pt idx="5">
                  <c:v>6.3677636308618307E-2</c:v>
                </c:pt>
                <c:pt idx="6">
                  <c:v>6.7974001802994732E-2</c:v>
                </c:pt>
                <c:pt idx="7">
                  <c:v>7.1961169846218503E-2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4EEC-4D92-9459-169F203308B0}"/>
            </c:ext>
          </c:extLst>
        </c:ser>
        <c:ser>
          <c:idx val="5"/>
          <c:order val="2"/>
          <c:tx>
            <c:v>i=101 - Fórmula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#2'!$G$47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#2'!$G$47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#2'!$I$47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#2'!$I$47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#2'!$BW$44:$BW$55</c:f>
              <c:numCache>
                <c:formatCode>0.00</c:formatCode>
                <c:ptCount val="12"/>
                <c:pt idx="0">
                  <c:v>3.2399999999999998E-2</c:v>
                </c:pt>
                <c:pt idx="1">
                  <c:v>4.7088999999999999E-2</c:v>
                </c:pt>
                <c:pt idx="2">
                  <c:v>5.8081000000000008E-2</c:v>
                </c:pt>
                <c:pt idx="3">
                  <c:v>6.7600000000000007E-2</c:v>
                </c:pt>
                <c:pt idx="4">
                  <c:v>7.5625000000000012E-2</c:v>
                </c:pt>
                <c:pt idx="5">
                  <c:v>8.2944000000000018E-2</c:v>
                </c:pt>
                <c:pt idx="6">
                  <c:v>0.09</c:v>
                </c:pt>
                <c:pt idx="7">
                  <c:v>9.6100000000000005E-2</c:v>
                </c:pt>
                <c:pt idx="8">
                  <c:v>0.101761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'Barra #2'!$CE$44:$CE$52</c:f>
              <c:numCache>
                <c:formatCode>0.0000</c:formatCode>
                <c:ptCount val="9"/>
                <c:pt idx="0">
                  <c:v>2.35E-2</c:v>
                </c:pt>
                <c:pt idx="1">
                  <c:v>3.44E-2</c:v>
                </c:pt>
                <c:pt idx="2">
                  <c:v>4.2099999999999999E-2</c:v>
                </c:pt>
                <c:pt idx="3">
                  <c:v>4.7899999999999998E-2</c:v>
                </c:pt>
                <c:pt idx="4">
                  <c:v>5.4300000000000001E-2</c:v>
                </c:pt>
                <c:pt idx="5">
                  <c:v>5.9300000000000005E-2</c:v>
                </c:pt>
                <c:pt idx="6">
                  <c:v>6.3299999999999995E-2</c:v>
                </c:pt>
                <c:pt idx="7">
                  <c:v>6.8600000000000008E-2</c:v>
                </c:pt>
                <c:pt idx="8">
                  <c:v>7.2500000000000009E-2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4EEC-4D92-9459-169F203308B0}"/>
            </c:ext>
          </c:extLst>
        </c:ser>
        <c:ser>
          <c:idx val="6"/>
          <c:order val="3"/>
          <c:tx>
            <c:v>Ajuste Linear 101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#2'!$BW$44:$BW$55</c:f>
              <c:numCache>
                <c:formatCode>0.00</c:formatCode>
                <c:ptCount val="12"/>
                <c:pt idx="0">
                  <c:v>3.2399999999999998E-2</c:v>
                </c:pt>
                <c:pt idx="1">
                  <c:v>4.7088999999999999E-2</c:v>
                </c:pt>
                <c:pt idx="2">
                  <c:v>5.8081000000000008E-2</c:v>
                </c:pt>
                <c:pt idx="3">
                  <c:v>6.7600000000000007E-2</c:v>
                </c:pt>
                <c:pt idx="4">
                  <c:v>7.5625000000000012E-2</c:v>
                </c:pt>
                <c:pt idx="5">
                  <c:v>8.2944000000000018E-2</c:v>
                </c:pt>
                <c:pt idx="6">
                  <c:v>0.09</c:v>
                </c:pt>
                <c:pt idx="7">
                  <c:v>9.6100000000000005E-2</c:v>
                </c:pt>
                <c:pt idx="8">
                  <c:v>0.101761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'Barra #2'!$CG$44:$CG$52</c:f>
              <c:numCache>
                <c:formatCode>0.0000</c:formatCode>
                <c:ptCount val="9"/>
                <c:pt idx="0">
                  <c:v>2.3256066630294305E-2</c:v>
                </c:pt>
                <c:pt idx="1">
                  <c:v>3.3698626551189603E-2</c:v>
                </c:pt>
                <c:pt idx="2">
                  <c:v>4.1512951464422715E-2</c:v>
                </c:pt>
                <c:pt idx="3">
                  <c:v>4.8280105653748219E-2</c:v>
                </c:pt>
                <c:pt idx="4">
                  <c:v>5.3985160004975996E-2</c:v>
                </c:pt>
                <c:pt idx="5">
                  <c:v>5.9188311755335635E-2</c:v>
                </c:pt>
                <c:pt idx="6">
                  <c:v>6.420449412321888E-2</c:v>
                </c:pt>
                <c:pt idx="7">
                  <c:v>6.8541046340351519E-2</c:v>
                </c:pt>
                <c:pt idx="8">
                  <c:v>7.2565508979890517E-2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4EEC-4D92-9459-169F203308B0}"/>
            </c:ext>
          </c:extLst>
        </c:ser>
        <c:ser>
          <c:idx val="0"/>
          <c:order val="4"/>
          <c:tx>
            <c:v>i=151 - Fórmula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#2'!$G$47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#2'!$G$47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#2'!$I$47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#2'!$I$47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#2'!$BW$44:$BW$52</c:f>
              <c:numCache>
                <c:formatCode>0.00</c:formatCode>
                <c:ptCount val="9"/>
                <c:pt idx="0">
                  <c:v>3.2399999999999998E-2</c:v>
                </c:pt>
                <c:pt idx="1">
                  <c:v>4.7088999999999999E-2</c:v>
                </c:pt>
                <c:pt idx="2">
                  <c:v>5.8081000000000008E-2</c:v>
                </c:pt>
                <c:pt idx="3">
                  <c:v>6.7600000000000007E-2</c:v>
                </c:pt>
                <c:pt idx="4">
                  <c:v>7.5625000000000012E-2</c:v>
                </c:pt>
                <c:pt idx="5">
                  <c:v>8.2944000000000018E-2</c:v>
                </c:pt>
                <c:pt idx="6">
                  <c:v>0.09</c:v>
                </c:pt>
                <c:pt idx="7">
                  <c:v>9.6100000000000005E-2</c:v>
                </c:pt>
                <c:pt idx="8">
                  <c:v>0.101761</c:v>
                </c:pt>
              </c:numCache>
            </c:numRef>
          </c:xVal>
          <c:yVal>
            <c:numRef>
              <c:f>'Barra #2'!$CK$44:$CK$52</c:f>
              <c:numCache>
                <c:formatCode>0.00000</c:formatCode>
                <c:ptCount val="9"/>
                <c:pt idx="0">
                  <c:v>2.3547869496638053E-2</c:v>
                </c:pt>
                <c:pt idx="1">
                  <c:v>3.4068589966830605E-2</c:v>
                </c:pt>
                <c:pt idx="2">
                  <c:v>4.1941403596645881E-2</c:v>
                </c:pt>
                <c:pt idx="3">
                  <c:v>4.875920863141768E-2</c:v>
                </c:pt>
                <c:pt idx="4">
                  <c:v>5.4506964215412186E-2</c:v>
                </c:pt>
                <c:pt idx="5">
                  <c:v>5.9749060554260255E-2</c:v>
                </c:pt>
                <c:pt idx="6">
                  <c:v>6.4802788080822876E-2</c:v>
                </c:pt>
                <c:pt idx="7">
                  <c:v>6.9171798555884123E-2</c:v>
                </c:pt>
                <c:pt idx="8">
                  <c:v>7.3226383522986049E-2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4EEC-4D92-9459-169F203308B0}"/>
            </c:ext>
          </c:extLst>
        </c:ser>
        <c:ser>
          <c:idx val="1"/>
          <c:order val="5"/>
          <c:tx>
            <c:v>Ajuste Linear 151</c:v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'Barra #2'!$BW$44:$BW$55</c:f>
              <c:numCache>
                <c:formatCode>0.00</c:formatCode>
                <c:ptCount val="12"/>
                <c:pt idx="0">
                  <c:v>3.2399999999999998E-2</c:v>
                </c:pt>
                <c:pt idx="1">
                  <c:v>4.7088999999999999E-2</c:v>
                </c:pt>
                <c:pt idx="2">
                  <c:v>5.8081000000000008E-2</c:v>
                </c:pt>
                <c:pt idx="3">
                  <c:v>6.7600000000000007E-2</c:v>
                </c:pt>
                <c:pt idx="4">
                  <c:v>7.5625000000000012E-2</c:v>
                </c:pt>
                <c:pt idx="5">
                  <c:v>8.2944000000000018E-2</c:v>
                </c:pt>
                <c:pt idx="6">
                  <c:v>0.09</c:v>
                </c:pt>
                <c:pt idx="7">
                  <c:v>9.6100000000000005E-2</c:v>
                </c:pt>
                <c:pt idx="8">
                  <c:v>0.101761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'Barra #2'!$CK$44:$CK$52</c:f>
              <c:numCache>
                <c:formatCode>0.00000</c:formatCode>
                <c:ptCount val="9"/>
                <c:pt idx="0">
                  <c:v>2.3547869496638053E-2</c:v>
                </c:pt>
                <c:pt idx="1">
                  <c:v>3.4068589966830605E-2</c:v>
                </c:pt>
                <c:pt idx="2">
                  <c:v>4.1941403596645881E-2</c:v>
                </c:pt>
                <c:pt idx="3">
                  <c:v>4.875920863141768E-2</c:v>
                </c:pt>
                <c:pt idx="4">
                  <c:v>5.4506964215412186E-2</c:v>
                </c:pt>
                <c:pt idx="5">
                  <c:v>5.9749060554260255E-2</c:v>
                </c:pt>
                <c:pt idx="6">
                  <c:v>6.4802788080822876E-2</c:v>
                </c:pt>
                <c:pt idx="7">
                  <c:v>6.9171798555884123E-2</c:v>
                </c:pt>
                <c:pt idx="8">
                  <c:v>7.3226383522986049E-2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4EEC-4D92-9459-169F203308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  <c:min val="2.0000000000000004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  <c:min val="2.0000000000000004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0164818279841668"/>
          <c:y val="0.44911920399227878"/>
          <c:w val="0.2540912815288881"/>
          <c:h val="0.3777859200178591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r>
              <a:rPr lang="en-US" sz="1600" baseline="0"/>
              <a:t> para</a:t>
            </a:r>
            <a:r>
              <a:rPr lang="en-US" sz="1600"/>
              <a:t> os</a:t>
            </a:r>
            <a:r>
              <a:rPr lang="en-US" sz="1600" baseline="0"/>
              <a:t> 3 conjuntos de impulsos</a:t>
            </a:r>
            <a:r>
              <a:rPr lang="en-US" sz="1600"/>
              <a:t> - Fórmula 2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057678749596174"/>
          <c:y val="0.14591770833333334"/>
          <c:w val="0.80153346529422564"/>
          <c:h val="0.70288055555555562"/>
        </c:manualLayout>
      </c:layout>
      <c:scatterChart>
        <c:scatterStyle val="lineMarker"/>
        <c:varyColors val="0"/>
        <c:ser>
          <c:idx val="1"/>
          <c:order val="0"/>
          <c:tx>
            <c:v>res 51</c:v>
          </c:tx>
          <c:spPr>
            <a:ln w="25400">
              <a:noFill/>
            </a:ln>
          </c:spPr>
          <c:marker>
            <c:symbol val="circ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#2'!$G$47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#2'!$G$47</c:f>
                <c:numCache>
                  <c:formatCode>General</c:formatCode>
                  <c:ptCount val="1"/>
                </c:numCache>
              </c:numRef>
            </c:minus>
          </c:errBars>
          <c:errBars>
            <c:errDir val="y"/>
            <c:errBarType val="both"/>
            <c:errValType val="cust"/>
            <c:noEndCap val="0"/>
            <c:plus>
              <c:numRef>
                <c:f>'Barra #2'!$BZ$44:$BZ$55</c:f>
                <c:numCache>
                  <c:formatCode>General</c:formatCode>
                  <c:ptCount val="12"/>
                  <c:pt idx="0">
                    <c:v>2.8284271247461902E-4</c:v>
                  </c:pt>
                  <c:pt idx="1">
                    <c:v>2.8284271247461902E-4</c:v>
                  </c:pt>
                  <c:pt idx="2">
                    <c:v>2.8284271247461902E-4</c:v>
                  </c:pt>
                  <c:pt idx="3">
                    <c:v>2.8284271247461902E-4</c:v>
                  </c:pt>
                  <c:pt idx="4">
                    <c:v>2.8284271247461902E-4</c:v>
                  </c:pt>
                  <c:pt idx="5">
                    <c:v>2.8284271247461902E-4</c:v>
                  </c:pt>
                  <c:pt idx="6">
                    <c:v>2.8284271247461902E-4</c:v>
                  </c:pt>
                  <c:pt idx="7">
                    <c:v>2.8284271247461902E-4</c:v>
                  </c:pt>
                  <c:pt idx="8">
                    <c:v>2.8284271247461902E-4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</c:numCache>
              </c:numRef>
            </c:plus>
            <c:minus>
              <c:numRef>
                <c:f>'Barra #2'!$BZ$44:$BZ$55</c:f>
                <c:numCache>
                  <c:formatCode>General</c:formatCode>
                  <c:ptCount val="12"/>
                  <c:pt idx="0">
                    <c:v>2.8284271247461902E-4</c:v>
                  </c:pt>
                  <c:pt idx="1">
                    <c:v>2.8284271247461902E-4</c:v>
                  </c:pt>
                  <c:pt idx="2">
                    <c:v>2.8284271247461902E-4</c:v>
                  </c:pt>
                  <c:pt idx="3">
                    <c:v>2.8284271247461902E-4</c:v>
                  </c:pt>
                  <c:pt idx="4">
                    <c:v>2.8284271247461902E-4</c:v>
                  </c:pt>
                  <c:pt idx="5">
                    <c:v>2.8284271247461902E-4</c:v>
                  </c:pt>
                  <c:pt idx="6">
                    <c:v>2.8284271247461902E-4</c:v>
                  </c:pt>
                  <c:pt idx="7">
                    <c:v>2.8284271247461902E-4</c:v>
                  </c:pt>
                  <c:pt idx="8">
                    <c:v>2.8284271247461902E-4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</c:numCache>
              </c:numRef>
            </c:minus>
          </c:errBars>
          <c:xVal>
            <c:numRef>
              <c:f>'Barra #2'!$BY$105:$BY$115</c:f>
              <c:numCache>
                <c:formatCode>General</c:formatCode>
                <c:ptCount val="11"/>
                <c:pt idx="0">
                  <c:v>3.2399999999999998E-2</c:v>
                </c:pt>
                <c:pt idx="1">
                  <c:v>4.7088999999999999E-2</c:v>
                </c:pt>
                <c:pt idx="2">
                  <c:v>5.8081000000000008E-2</c:v>
                </c:pt>
                <c:pt idx="3">
                  <c:v>7.5625000000000012E-2</c:v>
                </c:pt>
                <c:pt idx="4">
                  <c:v>8.2944000000000018E-2</c:v>
                </c:pt>
                <c:pt idx="5">
                  <c:v>0.09</c:v>
                </c:pt>
                <c:pt idx="6">
                  <c:v>9.6100000000000005E-2</c:v>
                </c:pt>
                <c:pt idx="7">
                  <c:v>0.101761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'Barra #2'!$CB$105:$CB$115</c:f>
              <c:numCache>
                <c:formatCode>General</c:formatCode>
                <c:ptCount val="11"/>
                <c:pt idx="0">
                  <c:v>6.9132311369022106E-4</c:v>
                </c:pt>
                <c:pt idx="1">
                  <c:v>5.4553413878934837E-4</c:v>
                </c:pt>
                <c:pt idx="2">
                  <c:v>6.0362438236546967E-4</c:v>
                </c:pt>
                <c:pt idx="3">
                  <c:v>2.4699549165398821E-4</c:v>
                </c:pt>
                <c:pt idx="4">
                  <c:v>-1.0793877938553714E-4</c:v>
                </c:pt>
                <c:pt idx="5">
                  <c:v>-8.7763630861829867E-4</c:v>
                </c:pt>
                <c:pt idx="6">
                  <c:v>2.5998197005272505E-5</c:v>
                </c:pt>
                <c:pt idx="7">
                  <c:v>3.8830153781505006E-5</c:v>
                </c:pt>
                <c:pt idx="8">
                  <c:v>-2.8863721126123204E-4</c:v>
                </c:pt>
                <c:pt idx="9">
                  <c:v>-2.8863721126123204E-4</c:v>
                </c:pt>
                <c:pt idx="10">
                  <c:v>-2.8863721126123204E-4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F70-4E55-9639-C32138501EB8}"/>
            </c:ext>
          </c:extLst>
        </c:ser>
        <c:ser>
          <c:idx val="2"/>
          <c:order val="1"/>
          <c:tx>
            <c:v>res 101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#2'!$G$47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#2'!$G$47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#2'!$CF$44:$CF$55</c:f>
                <c:numCache>
                  <c:formatCode>General</c:formatCode>
                  <c:ptCount val="12"/>
                  <c:pt idx="0">
                    <c:v>1.4142135623730951E-4</c:v>
                  </c:pt>
                  <c:pt idx="1">
                    <c:v>1.4142135623730951E-4</c:v>
                  </c:pt>
                  <c:pt idx="2">
                    <c:v>1.4142135623730951E-4</c:v>
                  </c:pt>
                  <c:pt idx="3">
                    <c:v>1.4142135623730951E-4</c:v>
                  </c:pt>
                  <c:pt idx="4">
                    <c:v>1.4142135623730951E-4</c:v>
                  </c:pt>
                  <c:pt idx="5">
                    <c:v>1.4142135623730951E-4</c:v>
                  </c:pt>
                  <c:pt idx="6">
                    <c:v>1.4142135623730951E-4</c:v>
                  </c:pt>
                  <c:pt idx="7">
                    <c:v>1.4142135623730951E-4</c:v>
                  </c:pt>
                  <c:pt idx="8">
                    <c:v>1.4142135623730951E-4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</c:numCache>
              </c:numRef>
            </c:plus>
            <c:minus>
              <c:numRef>
                <c:f>'Barra #2'!$CF$44:$CF$55</c:f>
                <c:numCache>
                  <c:formatCode>General</c:formatCode>
                  <c:ptCount val="12"/>
                  <c:pt idx="0">
                    <c:v>1.4142135623730951E-4</c:v>
                  </c:pt>
                  <c:pt idx="1">
                    <c:v>1.4142135623730951E-4</c:v>
                  </c:pt>
                  <c:pt idx="2">
                    <c:v>1.4142135623730951E-4</c:v>
                  </c:pt>
                  <c:pt idx="3">
                    <c:v>1.4142135623730951E-4</c:v>
                  </c:pt>
                  <c:pt idx="4">
                    <c:v>1.4142135623730951E-4</c:v>
                  </c:pt>
                  <c:pt idx="5">
                    <c:v>1.4142135623730951E-4</c:v>
                  </c:pt>
                  <c:pt idx="6">
                    <c:v>1.4142135623730951E-4</c:v>
                  </c:pt>
                  <c:pt idx="7">
                    <c:v>1.4142135623730951E-4</c:v>
                  </c:pt>
                  <c:pt idx="8">
                    <c:v>1.4142135623730951E-4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#2'!$BW$44:$BW$55</c:f>
              <c:numCache>
                <c:formatCode>0.00</c:formatCode>
                <c:ptCount val="12"/>
                <c:pt idx="0">
                  <c:v>3.2399999999999998E-2</c:v>
                </c:pt>
                <c:pt idx="1">
                  <c:v>4.7088999999999999E-2</c:v>
                </c:pt>
                <c:pt idx="2">
                  <c:v>5.8081000000000008E-2</c:v>
                </c:pt>
                <c:pt idx="3">
                  <c:v>6.7600000000000007E-2</c:v>
                </c:pt>
                <c:pt idx="4">
                  <c:v>7.5625000000000012E-2</c:v>
                </c:pt>
                <c:pt idx="5">
                  <c:v>8.2944000000000018E-2</c:v>
                </c:pt>
                <c:pt idx="6">
                  <c:v>0.09</c:v>
                </c:pt>
                <c:pt idx="7">
                  <c:v>9.6100000000000005E-2</c:v>
                </c:pt>
                <c:pt idx="8">
                  <c:v>0.101761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'Barra #2'!$CH$44:$CH$55</c:f>
              <c:numCache>
                <c:formatCode>0.0000</c:formatCode>
                <c:ptCount val="12"/>
                <c:pt idx="0">
                  <c:v>2.4393336970569487E-4</c:v>
                </c:pt>
                <c:pt idx="1">
                  <c:v>7.0137344881039676E-4</c:v>
                </c:pt>
                <c:pt idx="2">
                  <c:v>5.8704853557728365E-4</c:v>
                </c:pt>
                <c:pt idx="3">
                  <c:v>-3.8010565374822086E-4</c:v>
                </c:pt>
                <c:pt idx="4">
                  <c:v>3.1483999502400495E-4</c:v>
                </c:pt>
                <c:pt idx="5">
                  <c:v>1.1168824466437077E-4</c:v>
                </c:pt>
                <c:pt idx="6">
                  <c:v>-9.0449412321888523E-4</c:v>
                </c:pt>
                <c:pt idx="7">
                  <c:v>5.8953659648489087E-5</c:v>
                </c:pt>
                <c:pt idx="8">
                  <c:v>-6.5508979890507857E-5</c:v>
                </c:pt>
                <c:pt idx="9">
                  <c:v>-2.2257616552423531E-4</c:v>
                </c:pt>
                <c:pt idx="10">
                  <c:v>-2.2257616552423531E-4</c:v>
                </c:pt>
                <c:pt idx="11">
                  <c:v>-2.2257616552423531E-4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F70-4E55-9639-C32138501EB8}"/>
            </c:ext>
          </c:extLst>
        </c:ser>
        <c:ser>
          <c:idx val="0"/>
          <c:order val="2"/>
          <c:tx>
            <c:v>res 151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#2'!$G$47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#2'!$G$47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#2'!$CJ$44:$CJ$55</c:f>
                <c:numCache>
                  <c:formatCode>General</c:formatCode>
                  <c:ptCount val="12"/>
                  <c:pt idx="0">
                    <c:v>9.4280904158206352E-5</c:v>
                  </c:pt>
                  <c:pt idx="1">
                    <c:v>9.4280904158206352E-5</c:v>
                  </c:pt>
                  <c:pt idx="2">
                    <c:v>9.4280904158206352E-5</c:v>
                  </c:pt>
                  <c:pt idx="3">
                    <c:v>9.4280904158206352E-5</c:v>
                  </c:pt>
                  <c:pt idx="4">
                    <c:v>9.4280904158206352E-5</c:v>
                  </c:pt>
                  <c:pt idx="5">
                    <c:v>9.4280904158206352E-5</c:v>
                  </c:pt>
                  <c:pt idx="6">
                    <c:v>9.4280904158206352E-5</c:v>
                  </c:pt>
                  <c:pt idx="7">
                    <c:v>9.4280904158206352E-5</c:v>
                  </c:pt>
                  <c:pt idx="8">
                    <c:v>9.4280904158206352E-5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</c:numCache>
              </c:numRef>
            </c:plus>
            <c:minus>
              <c:numRef>
                <c:f>'Barra #2'!$CJ$44:$CJ$55</c:f>
                <c:numCache>
                  <c:formatCode>General</c:formatCode>
                  <c:ptCount val="12"/>
                  <c:pt idx="0">
                    <c:v>9.4280904158206352E-5</c:v>
                  </c:pt>
                  <c:pt idx="1">
                    <c:v>9.4280904158206352E-5</c:v>
                  </c:pt>
                  <c:pt idx="2">
                    <c:v>9.4280904158206352E-5</c:v>
                  </c:pt>
                  <c:pt idx="3">
                    <c:v>9.4280904158206352E-5</c:v>
                  </c:pt>
                  <c:pt idx="4">
                    <c:v>9.4280904158206352E-5</c:v>
                  </c:pt>
                  <c:pt idx="5">
                    <c:v>9.4280904158206352E-5</c:v>
                  </c:pt>
                  <c:pt idx="6">
                    <c:v>9.4280904158206352E-5</c:v>
                  </c:pt>
                  <c:pt idx="7">
                    <c:v>9.4280904158206352E-5</c:v>
                  </c:pt>
                  <c:pt idx="8">
                    <c:v>9.4280904158206352E-5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#2'!$BW$44:$BW$55</c:f>
              <c:numCache>
                <c:formatCode>0.00</c:formatCode>
                <c:ptCount val="12"/>
                <c:pt idx="0">
                  <c:v>3.2399999999999998E-2</c:v>
                </c:pt>
                <c:pt idx="1">
                  <c:v>4.7088999999999999E-2</c:v>
                </c:pt>
                <c:pt idx="2">
                  <c:v>5.8081000000000008E-2</c:v>
                </c:pt>
                <c:pt idx="3">
                  <c:v>6.7600000000000007E-2</c:v>
                </c:pt>
                <c:pt idx="4">
                  <c:v>7.5625000000000012E-2</c:v>
                </c:pt>
                <c:pt idx="5">
                  <c:v>8.2944000000000018E-2</c:v>
                </c:pt>
                <c:pt idx="6">
                  <c:v>0.09</c:v>
                </c:pt>
                <c:pt idx="7">
                  <c:v>9.6100000000000005E-2</c:v>
                </c:pt>
                <c:pt idx="8">
                  <c:v>0.101761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'Barra #2'!$CL$44:$CL$55</c:f>
              <c:numCache>
                <c:formatCode>0.00000</c:formatCode>
                <c:ptCount val="12"/>
                <c:pt idx="0">
                  <c:v>1.1879717002861306E-4</c:v>
                </c:pt>
                <c:pt idx="1">
                  <c:v>3.3141003316939505E-4</c:v>
                </c:pt>
                <c:pt idx="2">
                  <c:v>3.2526307002078703E-4</c:v>
                </c:pt>
                <c:pt idx="3">
                  <c:v>2.3741247019156558E-3</c:v>
                </c:pt>
                <c:pt idx="4">
                  <c:v>2.6369117921143381E-5</c:v>
                </c:pt>
                <c:pt idx="5">
                  <c:v>-2.1572722092692842E-4</c:v>
                </c:pt>
                <c:pt idx="6">
                  <c:v>-1.0027880808228806E-3</c:v>
                </c:pt>
                <c:pt idx="7">
                  <c:v>-3.7179855588412303E-4</c:v>
                </c:pt>
                <c:pt idx="8">
                  <c:v>-5.5971685631937829E-4</c:v>
                </c:pt>
                <c:pt idx="9">
                  <c:v>-3.419777930340831E-4</c:v>
                </c:pt>
                <c:pt idx="10">
                  <c:v>-3.419777930340831E-4</c:v>
                </c:pt>
                <c:pt idx="11">
                  <c:v>-3.419777930340831E-4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F70-4E55-9639-C32138501E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- </a:t>
                </a:r>
                <a:r>
                  <a:rPr lang="en-US" sz="1400" b="0" i="0" u="none" strike="noStrike" baseline="0">
                    <a:effectLst/>
                  </a:rPr>
                  <a:t>T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 i = 151 - Fórmula 1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68524166666666675"/>
        </c:manualLayout>
      </c:layout>
      <c:scatterChart>
        <c:scatterStyle val="lineMarker"/>
        <c:varyColors val="0"/>
        <c:ser>
          <c:idx val="3"/>
          <c:order val="0"/>
          <c:tx>
            <c:v>i = 51</c:v>
          </c:tx>
          <c:spPr>
            <a:ln w="25400">
              <a:noFill/>
            </a:ln>
          </c:spPr>
          <c:marker>
            <c:symbol val="circ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'Barra #2'!$N$51:$N$58</c:f>
              <c:numCache>
                <c:formatCode>General</c:formatCode>
                <c:ptCount val="8"/>
                <c:pt idx="0" formatCode="0.0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 formatCode="0.000000000">
                  <c:v>9.2352100000000006E-3</c:v>
                </c:pt>
                <c:pt idx="7">
                  <c:v>1.0355301121000001E-2</c:v>
                </c:pt>
              </c:numCache>
            </c:numRef>
          </c:xVal>
          <c:yVal>
            <c:numRef>
              <c:f>'Barra #2'!$O$51:$O$58</c:f>
              <c:numCache>
                <c:formatCode>General</c:formatCode>
                <c:ptCount val="8"/>
                <c:pt idx="0" formatCode="0.00000">
                  <c:v>5.6644000000000009E-4</c:v>
                </c:pt>
                <c:pt idx="1">
                  <c:v>1.1560000000000001E-3</c:v>
                </c:pt>
                <c:pt idx="2">
                  <c:v>1.7472400000000004E-3</c:v>
                </c:pt>
                <c:pt idx="3">
                  <c:v>2.2657599999999995E-3</c:v>
                </c:pt>
                <c:pt idx="4">
                  <c:v>2.8944399999999999E-3</c:v>
                </c:pt>
                <c:pt idx="5">
                  <c:v>3.4339599999999998E-3</c:v>
                </c:pt>
                <c:pt idx="6" formatCode="0.0000">
                  <c:v>4.6240000000000005E-3</c:v>
                </c:pt>
                <c:pt idx="7">
                  <c:v>5.1840000000000011E-3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CF86-4538-A049-231A110CE2AA}"/>
            </c:ext>
          </c:extLst>
        </c:ser>
        <c:ser>
          <c:idx val="6"/>
          <c:order val="1"/>
          <c:tx>
            <c:v>i=101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#2'!$G$47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#2'!$G$47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#2'!$I$47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#2'!$I$47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#2'!$D$35:$D$46</c:f>
              <c:numCache>
                <c:formatCode>0.0000000E+00</c:formatCode>
                <c:ptCount val="12"/>
                <c:pt idx="0" formatCode="0.00000000E+0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 formatCode="0.000000E+00">
                  <c:v>4.5697600000000008E-3</c:v>
                </c:pt>
                <c:pt idx="4" formatCode="0.000000E+00">
                  <c:v>5.7191406250000016E-3</c:v>
                </c:pt>
                <c:pt idx="5" formatCode="0.000000E+00">
                  <c:v>6.8797071360000026E-3</c:v>
                </c:pt>
                <c:pt idx="6" formatCode="0.00000E+00">
                  <c:v>8.0999999999999996E-3</c:v>
                </c:pt>
                <c:pt idx="7" formatCode="0.00000E+00">
                  <c:v>9.2352100000000006E-3</c:v>
                </c:pt>
                <c:pt idx="8" formatCode="0.00000E+00">
                  <c:v>1.0355301121000001E-2</c:v>
                </c:pt>
              </c:numCache>
            </c:numRef>
          </c:xVal>
          <c:yVal>
            <c:numRef>
              <c:f>'Barra #2'!$L$35:$L$46</c:f>
              <c:numCache>
                <c:formatCode>0.00000</c:formatCode>
                <c:ptCount val="12"/>
                <c:pt idx="0">
                  <c:v>5.5225000000000001E-4</c:v>
                </c:pt>
                <c:pt idx="1">
                  <c:v>1.1833600000000001E-3</c:v>
                </c:pt>
                <c:pt idx="2">
                  <c:v>1.7724099999999999E-3</c:v>
                </c:pt>
                <c:pt idx="3">
                  <c:v>2.2944099999999998E-3</c:v>
                </c:pt>
                <c:pt idx="4">
                  <c:v>2.9484900000000002E-3</c:v>
                </c:pt>
                <c:pt idx="5">
                  <c:v>3.5164900000000006E-3</c:v>
                </c:pt>
                <c:pt idx="6">
                  <c:v>4.0068899999999991E-3</c:v>
                </c:pt>
                <c:pt idx="7">
                  <c:v>4.7059600000000012E-3</c:v>
                </c:pt>
                <c:pt idx="8">
                  <c:v>5.2562500000000014E-3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CF86-4538-A049-231A110CE2AA}"/>
            </c:ext>
          </c:extLst>
        </c:ser>
        <c:ser>
          <c:idx val="0"/>
          <c:order val="2"/>
          <c:tx>
            <c:v>i=151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#2'!$G$47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#2'!$G$47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#2'!$I$47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#2'!$I$47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#2'!$AY$54:$AY$61</c:f>
              <c:numCache>
                <c:formatCode>0.00000</c:formatCode>
                <c:ptCount val="8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5.7191406250000016E-3</c:v>
                </c:pt>
                <c:pt idx="4">
                  <c:v>6.8797071360000026E-3</c:v>
                </c:pt>
                <c:pt idx="5">
                  <c:v>8.0999999999999996E-3</c:v>
                </c:pt>
                <c:pt idx="6">
                  <c:v>9.2352100000000006E-3</c:v>
                </c:pt>
                <c:pt idx="7">
                  <c:v>1.0355301121000001E-2</c:v>
                </c:pt>
              </c:numCache>
            </c:numRef>
          </c:xVal>
          <c:yVal>
            <c:numRef>
              <c:f>'Barra #2'!$AZ$54:$AZ$61</c:f>
              <c:numCache>
                <c:formatCode>General</c:formatCode>
                <c:ptCount val="8"/>
                <c:pt idx="0" formatCode="0.00">
                  <c:v>5.6011111111111105E-4</c:v>
                </c:pt>
                <c:pt idx="1">
                  <c:v>1.1833600000000001E-3</c:v>
                </c:pt>
                <c:pt idx="2">
                  <c:v>1.7864711111111112E-3</c:v>
                </c:pt>
                <c:pt idx="3" formatCode="0.000000E+00">
                  <c:v>2.9738844444444439E-3</c:v>
                </c:pt>
                <c:pt idx="4">
                  <c:v>3.5442177777777772E-3</c:v>
                </c:pt>
                <c:pt idx="5">
                  <c:v>4.0704399999999998E-3</c:v>
                </c:pt>
                <c:pt idx="6" formatCode="0.000000000">
                  <c:v>4.7334400000000002E-3</c:v>
                </c:pt>
                <c:pt idx="7">
                  <c:v>5.2804444444444452E-3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F86-4538-A049-231A110CE2AA}"/>
            </c:ext>
          </c:extLst>
        </c:ser>
        <c:ser>
          <c:idx val="4"/>
          <c:order val="3"/>
          <c:tx>
            <c:v>Ajuste Linear 51</c:v>
          </c:tx>
          <c:spPr>
            <a:ln w="12700"/>
          </c:spPr>
          <c:marker>
            <c:symbol val="none"/>
          </c:marker>
          <c:xVal>
            <c:numRef>
              <c:f>'Barra #2'!$N$51:$N$58</c:f>
              <c:numCache>
                <c:formatCode>General</c:formatCode>
                <c:ptCount val="8"/>
                <c:pt idx="0" formatCode="0.0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 formatCode="0.000000000">
                  <c:v>9.2352100000000006E-3</c:v>
                </c:pt>
                <c:pt idx="7">
                  <c:v>1.0355301121000001E-2</c:v>
                </c:pt>
              </c:numCache>
            </c:numRef>
          </c:xVal>
          <c:yVal>
            <c:numRef>
              <c:f>'Barra #2'!$P$51:$P$59</c:f>
              <c:numCache>
                <c:formatCode>General</c:formatCode>
                <c:ptCount val="9"/>
                <c:pt idx="0">
                  <c:v>5.6866853488678356E-4</c:v>
                </c:pt>
                <c:pt idx="1">
                  <c:v>1.1465277389196313E-3</c:v>
                </c:pt>
                <c:pt idx="2">
                  <c:v>1.7186533171907868E-3</c:v>
                </c:pt>
                <c:pt idx="3">
                  <c:v>2.3107378624377564E-3</c:v>
                </c:pt>
                <c:pt idx="4">
                  <c:v>2.8795732978053323E-3</c:v>
                </c:pt>
                <c:pt idx="5">
                  <c:v>3.4539446959291819E-3</c:v>
                </c:pt>
                <c:pt idx="6">
                  <c:v>4.619697335228292E-3</c:v>
                </c:pt>
                <c:pt idx="7">
                  <c:v>5.174037217602236E-3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CF86-4538-A049-231A110CE2AA}"/>
            </c:ext>
          </c:extLst>
        </c:ser>
        <c:ser>
          <c:idx val="7"/>
          <c:order val="4"/>
          <c:tx>
            <c:v>Ajuste Linear 101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#2'!$D$35:$D$46</c:f>
              <c:numCache>
                <c:formatCode>0.0000000E+00</c:formatCode>
                <c:ptCount val="12"/>
                <c:pt idx="0" formatCode="0.00000000E+0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 formatCode="0.000000E+00">
                  <c:v>4.5697600000000008E-3</c:v>
                </c:pt>
                <c:pt idx="4" formatCode="0.000000E+00">
                  <c:v>5.7191406250000016E-3</c:v>
                </c:pt>
                <c:pt idx="5" formatCode="0.000000E+00">
                  <c:v>6.8797071360000026E-3</c:v>
                </c:pt>
                <c:pt idx="6" formatCode="0.00000E+00">
                  <c:v>8.0999999999999996E-3</c:v>
                </c:pt>
                <c:pt idx="7" formatCode="0.00000E+00">
                  <c:v>9.2352100000000006E-3</c:v>
                </c:pt>
                <c:pt idx="8" formatCode="0.00000E+00">
                  <c:v>1.0355301121000001E-2</c:v>
                </c:pt>
              </c:numCache>
            </c:numRef>
          </c:xVal>
          <c:yVal>
            <c:numRef>
              <c:f>'Barra #2'!$N$35:$N$46</c:f>
              <c:numCache>
                <c:formatCode>0.00000</c:formatCode>
                <c:ptCount val="12"/>
                <c:pt idx="0">
                  <c:v>5.7560747898994537E-4</c:v>
                </c:pt>
                <c:pt idx="1">
                  <c:v>1.1602511704011727E-3</c:v>
                </c:pt>
                <c:pt idx="2">
                  <c:v>1.7390939191137427E-3</c:v>
                </c:pt>
                <c:pt idx="3">
                  <c:v>2.33812996759217E-3</c:v>
                </c:pt>
                <c:pt idx="4">
                  <c:v>2.9136439447302893E-3</c:v>
                </c:pt>
                <c:pt idx="5">
                  <c:v>3.4947588808541879E-3</c:v>
                </c:pt>
                <c:pt idx="6">
                  <c:v>4.1057797943430544E-3</c:v>
                </c:pt>
                <c:pt idx="7">
                  <c:v>4.674198304083433E-3</c:v>
                </c:pt>
                <c:pt idx="8">
                  <c:v>5.2350465398920054E-3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CF86-4538-A049-231A110CE2AA}"/>
            </c:ext>
          </c:extLst>
        </c:ser>
        <c:ser>
          <c:idx val="1"/>
          <c:order val="5"/>
          <c:tx>
            <c:v>Ajuste Linear 151</c:v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'Barra #2'!$AY$54:$AY$61</c:f>
              <c:numCache>
                <c:formatCode>0.00000</c:formatCode>
                <c:ptCount val="8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5.7191406250000016E-3</c:v>
                </c:pt>
                <c:pt idx="4">
                  <c:v>6.8797071360000026E-3</c:v>
                </c:pt>
                <c:pt idx="5">
                  <c:v>8.0999999999999996E-3</c:v>
                </c:pt>
                <c:pt idx="6">
                  <c:v>9.2352100000000006E-3</c:v>
                </c:pt>
                <c:pt idx="7">
                  <c:v>1.0355301121000001E-2</c:v>
                </c:pt>
              </c:numCache>
            </c:numRef>
          </c:xVal>
          <c:yVal>
            <c:numRef>
              <c:f>'Barra #2'!$BA$54:$BA$61</c:f>
              <c:numCache>
                <c:formatCode>General</c:formatCode>
                <c:ptCount val="8"/>
                <c:pt idx="0">
                  <c:v>5.9057986454838041E-4</c:v>
                </c:pt>
                <c:pt idx="1">
                  <c:v>1.1786844082048898E-3</c:v>
                </c:pt>
                <c:pt idx="2">
                  <c:v>1.7609536699474929E-3</c:v>
                </c:pt>
                <c:pt idx="3">
                  <c:v>2.9424565527539272E-3</c:v>
                </c:pt>
                <c:pt idx="4">
                  <c:v>3.527011452330774E-3</c:v>
                </c:pt>
                <c:pt idx="5">
                  <c:v>4.1416493604634341E-3</c:v>
                </c:pt>
                <c:pt idx="6">
                  <c:v>4.7134326759899602E-3</c:v>
                </c:pt>
                <c:pt idx="7">
                  <c:v>5.277600904650034E-3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F86-4538-A049-231A110CE2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024378361528939"/>
          <c:y val="0.42649423689362692"/>
          <c:w val="0.25754637439532729"/>
          <c:h val="0.39950967497177059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 i = 51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68524166666666675"/>
        </c:manualLayout>
      </c:layout>
      <c:scatterChart>
        <c:scatterStyle val="lineMarker"/>
        <c:varyColors val="0"/>
        <c:ser>
          <c:idx val="0"/>
          <c:order val="0"/>
          <c:tx>
            <c:v>51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</c:numCache>
              </c:numRef>
            </c:plus>
            <c:min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</c:numCache>
              </c:numRef>
            </c:plus>
            <c:min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(2)'!$D$37:$D$49</c:f>
              <c:numCache>
                <c:formatCode>General</c:formatCode>
                <c:ptCount val="13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>
                  <c:v>8.0999999999999996E-3</c:v>
                </c:pt>
                <c:pt idx="7">
                  <c:v>9.2352100000000006E-3</c:v>
                </c:pt>
                <c:pt idx="8">
                  <c:v>1.0355301121000001E-2</c:v>
                </c:pt>
              </c:numCache>
            </c:numRef>
          </c:xVal>
          <c:yVal>
            <c:numRef>
              <c:f>'Barra (2)'!$F$37:$F$49</c:f>
              <c:numCache>
                <c:formatCode>General</c:formatCode>
                <c:ptCount val="13"/>
                <c:pt idx="0">
                  <c:v>5.6644000000000009E-4</c:v>
                </c:pt>
                <c:pt idx="1">
                  <c:v>1.1560000000000001E-3</c:v>
                </c:pt>
                <c:pt idx="2">
                  <c:v>1.7472400000000004E-3</c:v>
                </c:pt>
                <c:pt idx="3">
                  <c:v>2.2657599999999995E-3</c:v>
                </c:pt>
                <c:pt idx="4">
                  <c:v>2.8944399999999999E-3</c:v>
                </c:pt>
                <c:pt idx="5">
                  <c:v>3.4339599999999998E-3</c:v>
                </c:pt>
                <c:pt idx="6">
                  <c:v>3.9438400000000014E-3</c:v>
                </c:pt>
                <c:pt idx="7">
                  <c:v>4.6240000000000005E-3</c:v>
                </c:pt>
                <c:pt idx="8">
                  <c:v>5.1840000000000011E-3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F2-465A-B649-878FC9114A16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(2)'!$D$37:$D$49</c:f>
              <c:numCache>
                <c:formatCode>General</c:formatCode>
                <c:ptCount val="13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>
                  <c:v>8.0999999999999996E-3</c:v>
                </c:pt>
                <c:pt idx="7">
                  <c:v>9.2352100000000006E-3</c:v>
                </c:pt>
                <c:pt idx="8">
                  <c:v>1.0355301121000001E-2</c:v>
                </c:pt>
              </c:numCache>
            </c:numRef>
          </c:xVal>
          <c:yVal>
            <c:numRef>
              <c:f>'Barra (2)'!$H$37:$H$49</c:f>
              <c:numCache>
                <c:formatCode>General</c:formatCode>
                <c:ptCount val="13"/>
                <c:pt idx="0">
                  <c:v>5.7149370657798401E-4</c:v>
                </c:pt>
                <c:pt idx="1">
                  <c:v>1.1454806099035824E-3</c:v>
                </c:pt>
                <c:pt idx="2">
                  <c:v>1.7137723091503782E-3</c:v>
                </c:pt>
                <c:pt idx="3">
                  <c:v>2.3018892280494236E-3</c:v>
                </c:pt>
                <c:pt idx="4">
                  <c:v>2.8669128320170504E-3</c:v>
                </c:pt>
                <c:pt idx="5">
                  <c:v>3.4374353016204981E-3</c:v>
                </c:pt>
                <c:pt idx="6">
                  <c:v>4.0373186274015073E-3</c:v>
                </c:pt>
                <c:pt idx="7">
                  <c:v>4.5953760989724136E-3</c:v>
                </c:pt>
                <c:pt idx="8">
                  <c:v>5.1460012863071662E-3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F2-465A-B649-878FC9114A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 i = 101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68524166666666675"/>
        </c:manualLayout>
      </c:layout>
      <c:scatterChart>
        <c:scatterStyle val="lineMarker"/>
        <c:varyColors val="0"/>
        <c:ser>
          <c:idx val="0"/>
          <c:order val="0"/>
          <c:tx>
            <c:v>51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</c:numCache>
              </c:numRef>
            </c:plus>
            <c:min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</c:numCache>
              </c:numRef>
            </c:plus>
            <c:min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(2)'!$D$37:$D$49</c:f>
              <c:numCache>
                <c:formatCode>General</c:formatCode>
                <c:ptCount val="13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>
                  <c:v>8.0999999999999996E-3</c:v>
                </c:pt>
                <c:pt idx="7">
                  <c:v>9.2352100000000006E-3</c:v>
                </c:pt>
                <c:pt idx="8">
                  <c:v>1.0355301121000001E-2</c:v>
                </c:pt>
              </c:numCache>
            </c:numRef>
          </c:xVal>
          <c:yVal>
            <c:numRef>
              <c:f>'Barra (2)'!$F$37:$F$49</c:f>
              <c:numCache>
                <c:formatCode>General</c:formatCode>
                <c:ptCount val="13"/>
                <c:pt idx="0">
                  <c:v>5.6644000000000009E-4</c:v>
                </c:pt>
                <c:pt idx="1">
                  <c:v>1.1560000000000001E-3</c:v>
                </c:pt>
                <c:pt idx="2">
                  <c:v>1.7472400000000004E-3</c:v>
                </c:pt>
                <c:pt idx="3">
                  <c:v>2.2657599999999995E-3</c:v>
                </c:pt>
                <c:pt idx="4">
                  <c:v>2.8944399999999999E-3</c:v>
                </c:pt>
                <c:pt idx="5">
                  <c:v>3.4339599999999998E-3</c:v>
                </c:pt>
                <c:pt idx="6">
                  <c:v>3.9438400000000014E-3</c:v>
                </c:pt>
                <c:pt idx="7">
                  <c:v>4.6240000000000005E-3</c:v>
                </c:pt>
                <c:pt idx="8">
                  <c:v>5.1840000000000011E-3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F1-4B8B-A4F2-455821415C90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(2)'!$D$37:$D$49</c:f>
              <c:numCache>
                <c:formatCode>General</c:formatCode>
                <c:ptCount val="13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>
                  <c:v>8.0999999999999996E-3</c:v>
                </c:pt>
                <c:pt idx="7">
                  <c:v>9.2352100000000006E-3</c:v>
                </c:pt>
                <c:pt idx="8">
                  <c:v>1.0355301121000001E-2</c:v>
                </c:pt>
              </c:numCache>
            </c:numRef>
          </c:xVal>
          <c:yVal>
            <c:numRef>
              <c:f>'Barra (2)'!$L$37:$L$49</c:f>
              <c:numCache>
                <c:formatCode>General</c:formatCode>
                <c:ptCount val="13"/>
                <c:pt idx="0">
                  <c:v>5.7560747898994537E-4</c:v>
                </c:pt>
                <c:pt idx="1">
                  <c:v>1.1602511704011727E-3</c:v>
                </c:pt>
                <c:pt idx="2">
                  <c:v>1.7390939191137427E-3</c:v>
                </c:pt>
                <c:pt idx="3">
                  <c:v>2.33812996759217E-3</c:v>
                </c:pt>
                <c:pt idx="4">
                  <c:v>2.9136439447302893E-3</c:v>
                </c:pt>
                <c:pt idx="5">
                  <c:v>3.4947588808541879E-3</c:v>
                </c:pt>
                <c:pt idx="6">
                  <c:v>4.1057797943430544E-3</c:v>
                </c:pt>
                <c:pt idx="7">
                  <c:v>4.674198304083433E-3</c:v>
                </c:pt>
                <c:pt idx="8">
                  <c:v>5.2350465398920054E-3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F1-4B8B-A4F2-455821415C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 i = 151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68524166666666675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</c:numCache>
              </c:numRef>
            </c:plus>
            <c:min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</c:numCache>
              </c:numRef>
            </c:plus>
            <c:min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(2)'!$D$37:$D$45</c:f>
              <c:numCache>
                <c:formatCode>General</c:formatCode>
                <c:ptCount val="9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>
                  <c:v>8.0999999999999996E-3</c:v>
                </c:pt>
                <c:pt idx="7">
                  <c:v>9.2352100000000006E-3</c:v>
                </c:pt>
                <c:pt idx="8">
                  <c:v>1.0355301121000001E-2</c:v>
                </c:pt>
              </c:numCache>
            </c:numRef>
          </c:xVal>
          <c:yVal>
            <c:numRef>
              <c:f>'Barra (2)'!$F$37:$F$45</c:f>
              <c:numCache>
                <c:formatCode>General</c:formatCode>
                <c:ptCount val="9"/>
                <c:pt idx="0">
                  <c:v>5.6644000000000009E-4</c:v>
                </c:pt>
                <c:pt idx="1">
                  <c:v>1.1560000000000001E-3</c:v>
                </c:pt>
                <c:pt idx="2">
                  <c:v>1.7472400000000004E-3</c:v>
                </c:pt>
                <c:pt idx="3">
                  <c:v>2.2657599999999995E-3</c:v>
                </c:pt>
                <c:pt idx="4">
                  <c:v>2.8944399999999999E-3</c:v>
                </c:pt>
                <c:pt idx="5">
                  <c:v>3.4339599999999998E-3</c:v>
                </c:pt>
                <c:pt idx="6">
                  <c:v>3.9438400000000014E-3</c:v>
                </c:pt>
                <c:pt idx="7">
                  <c:v>4.6240000000000005E-3</c:v>
                </c:pt>
                <c:pt idx="8">
                  <c:v>5.1840000000000011E-3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62-4A09-8C7B-60B69CB378B9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(2)'!$D$37:$D$49</c:f>
              <c:numCache>
                <c:formatCode>General</c:formatCode>
                <c:ptCount val="13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>
                  <c:v>8.0999999999999996E-3</c:v>
                </c:pt>
                <c:pt idx="7">
                  <c:v>9.2352100000000006E-3</c:v>
                </c:pt>
                <c:pt idx="8">
                  <c:v>1.0355301121000001E-2</c:v>
                </c:pt>
              </c:numCache>
            </c:numRef>
          </c:xVal>
          <c:yVal>
            <c:numRef>
              <c:f>'Barra (2)'!$P$37:$P$49</c:f>
              <c:numCache>
                <c:formatCode>General</c:formatCode>
                <c:ptCount val="13"/>
                <c:pt idx="0">
                  <c:v>6.3501359611430476E-4</c:v>
                </c:pt>
                <c:pt idx="1">
                  <c:v>1.2189859485706599E-3</c:v>
                </c:pt>
                <c:pt idx="2">
                  <c:v>1.7971640194774741E-3</c:v>
                </c:pt>
                <c:pt idx="3">
                  <c:v>2.3955122024394778E-3</c:v>
                </c:pt>
                <c:pt idx="4">
                  <c:v>2.97036532415813E-3</c:v>
                </c:pt>
                <c:pt idx="5">
                  <c:v>3.5508129733522126E-3</c:v>
                </c:pt>
                <c:pt idx="6">
                  <c:v>4.1611322592557771E-3</c:v>
                </c:pt>
                <c:pt idx="7">
                  <c:v>4.7288980612121409E-3</c:v>
                </c:pt>
                <c:pt idx="8">
                  <c:v>5.2891022820864874E-3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A62-4A09-8C7B-60B69CB378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r>
              <a:rPr lang="en-US" sz="1600" baseline="0"/>
              <a:t> para</a:t>
            </a:r>
            <a:r>
              <a:rPr lang="en-US" sz="1600"/>
              <a:t> i = 51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431089743589743"/>
          <c:y val="0.14591770833333334"/>
          <c:w val="0.80779935897435895"/>
          <c:h val="0.70288055555555562"/>
        </c:manualLayout>
      </c:layout>
      <c:scatterChart>
        <c:scatterStyle val="lineMarker"/>
        <c:varyColors val="0"/>
        <c:ser>
          <c:idx val="0"/>
          <c:order val="0"/>
          <c:tx>
            <c:v>res 51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</c:numCache>
              </c:numRef>
            </c:plus>
            <c:min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</c:numCache>
              </c:numRef>
            </c:plus>
            <c:min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(2)'!$D$37:$D$49</c:f>
              <c:numCache>
                <c:formatCode>General</c:formatCode>
                <c:ptCount val="13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>
                  <c:v>8.0999999999999996E-3</c:v>
                </c:pt>
                <c:pt idx="7">
                  <c:v>9.2352100000000006E-3</c:v>
                </c:pt>
                <c:pt idx="8">
                  <c:v>1.0355301121000001E-2</c:v>
                </c:pt>
              </c:numCache>
            </c:numRef>
          </c:xVal>
          <c:yVal>
            <c:numRef>
              <c:f>'Barra (2)'!$I$37:$I$49</c:f>
              <c:numCache>
                <c:formatCode>General</c:formatCode>
                <c:ptCount val="13"/>
                <c:pt idx="0">
                  <c:v>-5.0537065779839279E-6</c:v>
                </c:pt>
                <c:pt idx="1">
                  <c:v>1.0519390096417692E-5</c:v>
                </c:pt>
                <c:pt idx="2">
                  <c:v>3.3467690849622216E-5</c:v>
                </c:pt>
                <c:pt idx="3">
                  <c:v>-3.6129228049424159E-5</c:v>
                </c:pt>
                <c:pt idx="4">
                  <c:v>2.7527167982949446E-5</c:v>
                </c:pt>
                <c:pt idx="5">
                  <c:v>-3.4753016204982883E-6</c:v>
                </c:pt>
                <c:pt idx="6">
                  <c:v>-9.3478627401505886E-5</c:v>
                </c:pt>
                <c:pt idx="7">
                  <c:v>2.8623901027586933E-5</c:v>
                </c:pt>
                <c:pt idx="8">
                  <c:v>3.799871369283489E-5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DD-4F5B-A66D-377769D1BF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- </a:t>
                </a:r>
                <a:r>
                  <a:rPr lang="en-US" sz="1400" b="0" i="0" u="none" strike="noStrike" baseline="0">
                    <a:effectLst/>
                  </a:rPr>
                  <a:t>T</a:t>
                </a:r>
                <a:r>
                  <a:rPr lang="en-US" sz="1400" b="0" i="0" u="none" strike="noStrike" baseline="30000">
                    <a:effectLst/>
                  </a:rPr>
                  <a:t>2</a:t>
                </a:r>
                <a:r>
                  <a:rPr lang="en-US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r>
              <a:rPr lang="en-US" sz="1600" baseline="0"/>
              <a:t> para</a:t>
            </a:r>
            <a:r>
              <a:rPr lang="en-US" sz="1600"/>
              <a:t> i = 101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7330662393162394"/>
          <c:y val="0.14591770833333334"/>
          <c:w val="0.7888036324786325"/>
          <c:h val="0.72561317188663377"/>
        </c:manualLayout>
      </c:layout>
      <c:scatterChart>
        <c:scatterStyle val="lineMarker"/>
        <c:varyColors val="0"/>
        <c:ser>
          <c:idx val="0"/>
          <c:order val="0"/>
          <c:tx>
            <c:v>res 101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</c:numCache>
              </c:numRef>
            </c:plus>
            <c:min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</c:numCache>
              </c:numRef>
            </c:plus>
            <c:min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(2)'!$D$37:$D$49</c:f>
              <c:numCache>
                <c:formatCode>General</c:formatCode>
                <c:ptCount val="13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>
                  <c:v>8.0999999999999996E-3</c:v>
                </c:pt>
                <c:pt idx="7">
                  <c:v>9.2352100000000006E-3</c:v>
                </c:pt>
                <c:pt idx="8">
                  <c:v>1.0355301121000001E-2</c:v>
                </c:pt>
              </c:numCache>
            </c:numRef>
          </c:xVal>
          <c:yVal>
            <c:numRef>
              <c:f>'Barra (2)'!$M$37:$M$49</c:f>
              <c:numCache>
                <c:formatCode>General</c:formatCode>
                <c:ptCount val="13"/>
                <c:pt idx="0">
                  <c:v>-2.3357478989945364E-5</c:v>
                </c:pt>
                <c:pt idx="1">
                  <c:v>2.3108829598827334E-5</c:v>
                </c:pt>
                <c:pt idx="2">
                  <c:v>3.3316080886257142E-5</c:v>
                </c:pt>
                <c:pt idx="3">
                  <c:v>-4.3719967592170238E-5</c:v>
                </c:pt>
                <c:pt idx="4">
                  <c:v>3.4846055269710952E-5</c:v>
                </c:pt>
                <c:pt idx="5">
                  <c:v>2.1731119145812668E-5</c:v>
                </c:pt>
                <c:pt idx="6">
                  <c:v>-9.8889794343055316E-5</c:v>
                </c:pt>
                <c:pt idx="7">
                  <c:v>3.1761695916568237E-5</c:v>
                </c:pt>
                <c:pt idx="8">
                  <c:v>2.1203460107995994E-5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66-4AB2-B65B-8004F85AC8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- </a:t>
                </a:r>
                <a:r>
                  <a:rPr lang="en-US" sz="1400" b="0" i="0" u="none" strike="noStrike" baseline="0">
                    <a:effectLst/>
                  </a:rPr>
                  <a:t>T</a:t>
                </a:r>
                <a:r>
                  <a:rPr lang="en-US" sz="1400" b="0" i="0" u="none" strike="noStrike" baseline="30000">
                    <a:effectLst/>
                  </a:rPr>
                  <a:t>2</a:t>
                </a:r>
                <a:r>
                  <a:rPr lang="en-US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r>
              <a:rPr lang="en-US" sz="1600" baseline="0"/>
              <a:t> para</a:t>
            </a:r>
            <a:r>
              <a:rPr lang="en-US" sz="1600"/>
              <a:t> i = 151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507560990343133"/>
          <c:y val="0.14591770833333334"/>
          <c:w val="0.80352663590667173"/>
          <c:h val="0.70288055555555562"/>
        </c:manualLayout>
      </c:layout>
      <c:scatterChart>
        <c:scatterStyle val="lineMarker"/>
        <c:varyColors val="0"/>
        <c:ser>
          <c:idx val="0"/>
          <c:order val="0"/>
          <c:tx>
            <c:v>res 151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</c:numCache>
              </c:numRef>
            </c:plus>
            <c:min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</c:numCache>
              </c:numRef>
            </c:plus>
            <c:min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(2)'!$D$37:$D$49</c:f>
              <c:numCache>
                <c:formatCode>General</c:formatCode>
                <c:ptCount val="13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>
                  <c:v>8.0999999999999996E-3</c:v>
                </c:pt>
                <c:pt idx="7">
                  <c:v>9.2352100000000006E-3</c:v>
                </c:pt>
                <c:pt idx="8">
                  <c:v>1.0355301121000001E-2</c:v>
                </c:pt>
              </c:numCache>
            </c:numRef>
          </c:xVal>
          <c:yVal>
            <c:numRef>
              <c:f>'Barra (2)'!$Q$37:$Q$49</c:f>
              <c:numCache>
                <c:formatCode>General</c:formatCode>
                <c:ptCount val="13"/>
                <c:pt idx="0">
                  <c:v>-7.4902485003193703E-5</c:v>
                </c:pt>
                <c:pt idx="1">
                  <c:v>-3.5625948570659803E-5</c:v>
                </c:pt>
                <c:pt idx="2">
                  <c:v>-1.0692908366362894E-5</c:v>
                </c:pt>
                <c:pt idx="3">
                  <c:v>2.1910557533830026E-4</c:v>
                </c:pt>
                <c:pt idx="4">
                  <c:v>3.5191202863139003E-6</c:v>
                </c:pt>
                <c:pt idx="5">
                  <c:v>-6.5951955744354175E-6</c:v>
                </c:pt>
                <c:pt idx="6">
                  <c:v>-9.0692259255777292E-5</c:v>
                </c:pt>
                <c:pt idx="7">
                  <c:v>4.5419387878593495E-6</c:v>
                </c:pt>
                <c:pt idx="8">
                  <c:v>-8.6578376420421224E-6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C4-47BC-86C8-DEB290DA3B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- </a:t>
                </a:r>
                <a:r>
                  <a:rPr lang="en-US" sz="1400" b="0" i="0" u="none" strike="noStrike" baseline="0">
                    <a:effectLst/>
                  </a:rPr>
                  <a:t>T</a:t>
                </a:r>
                <a:r>
                  <a:rPr lang="en-US" sz="1400" b="0" i="0" u="none" strike="noStrike" baseline="30000">
                    <a:effectLst/>
                  </a:rPr>
                  <a:t>2</a:t>
                </a:r>
                <a:r>
                  <a:rPr lang="en-US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Linearização</a:t>
            </a:r>
            <a:r>
              <a:rPr lang="en-US" sz="1600" baseline="0"/>
              <a:t> para i=51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7.5249999999999997E-2"/>
          <c:y val="0.17171296296296296"/>
          <c:w val="0.8878611111111111"/>
          <c:h val="0.7352777777777777"/>
        </c:manualLayout>
      </c:layout>
      <c:scatterChart>
        <c:scatterStyle val="lineMarker"/>
        <c:varyColors val="0"/>
        <c:ser>
          <c:idx val="0"/>
          <c:order val="0"/>
          <c:tx>
            <c:v>loglog-51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'Barra (2)'!$H$76:$H$88</c:f>
              <c:numCache>
                <c:formatCode>General</c:formatCode>
                <c:ptCount val="13"/>
                <c:pt idx="0">
                  <c:v>-0.74472749489669399</c:v>
                </c:pt>
                <c:pt idx="1">
                  <c:v>-0.66354026615147055</c:v>
                </c:pt>
                <c:pt idx="2">
                  <c:v>-0.61798295742513154</c:v>
                </c:pt>
                <c:pt idx="3">
                  <c:v>-0.58502665202918203</c:v>
                </c:pt>
                <c:pt idx="4">
                  <c:v>-0.56066730616973737</c:v>
                </c:pt>
                <c:pt idx="5">
                  <c:v>-0.54060751224076908</c:v>
                </c:pt>
                <c:pt idx="6">
                  <c:v>-0.52287874528033762</c:v>
                </c:pt>
                <c:pt idx="7">
                  <c:v>-0.50863830616572736</c:v>
                </c:pt>
                <c:pt idx="8">
                  <c:v>-0.49620931694281889</c:v>
                </c:pt>
              </c:numCache>
            </c:numRef>
          </c:xVal>
          <c:yVal>
            <c:numRef>
              <c:f>'Barra (2)'!$I$76:$I$88</c:f>
              <c:numCache>
                <c:formatCode>General</c:formatCode>
                <c:ptCount val="13"/>
                <c:pt idx="0">
                  <c:v>-1.6234230429434879</c:v>
                </c:pt>
                <c:pt idx="1">
                  <c:v>-1.4685210829577449</c:v>
                </c:pt>
                <c:pt idx="2">
                  <c:v>-1.3788237182249647</c:v>
                </c:pt>
                <c:pt idx="3">
                  <c:v>-1.3223930472795069</c:v>
                </c:pt>
                <c:pt idx="4">
                  <c:v>-1.2692177243336109</c:v>
                </c:pt>
                <c:pt idx="5">
                  <c:v>-1.2321023839819094</c:v>
                </c:pt>
                <c:pt idx="6">
                  <c:v>-1.2020403562628039</c:v>
                </c:pt>
                <c:pt idx="7">
                  <c:v>-1.1674910872937636</c:v>
                </c:pt>
                <c:pt idx="8">
                  <c:v>-1.1426675035687315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7-43D1-AE8D-1922A43D81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34031"/>
        <c:axId val="295511791"/>
      </c:scatterChart>
      <c:valAx>
        <c:axId val="51293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</a:t>
                </a:r>
                <a:r>
                  <a:rPr lang="en-US" sz="1400" b="0" i="0" u="none" strike="noStrike" baseline="0">
                    <a:effectLst/>
                  </a:rPr>
                  <a:t>ℓ</a:t>
                </a:r>
                <a:r>
                  <a:rPr lang="en-US" sz="1400"/>
                  <a:t>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95511791"/>
        <c:crosses val="autoZero"/>
        <c:crossBetween val="midCat"/>
      </c:valAx>
      <c:valAx>
        <c:axId val="29551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Log(T)</a:t>
                </a:r>
                <a:r>
                  <a:rPr lang="en-US" sz="1400" baseline="0"/>
                  <a:t> (s.u.)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2934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Linearização</a:t>
            </a:r>
            <a:r>
              <a:rPr lang="en-US" sz="1600" baseline="0"/>
              <a:t> para i=101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8.9142848391500676E-2"/>
          <c:y val="0.17171296296296296"/>
          <c:w val="0.87396843385724798"/>
          <c:h val="0.7352777777777777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'Barra (2)'!$P$76:$P$88</c:f>
              <c:numCache>
                <c:formatCode>General</c:formatCode>
                <c:ptCount val="13"/>
                <c:pt idx="0">
                  <c:v>-0.74472749489669399</c:v>
                </c:pt>
                <c:pt idx="1">
                  <c:v>-0.66354026615147055</c:v>
                </c:pt>
                <c:pt idx="2">
                  <c:v>-0.61798295742513154</c:v>
                </c:pt>
                <c:pt idx="3">
                  <c:v>-0.58502665202918203</c:v>
                </c:pt>
                <c:pt idx="4">
                  <c:v>-0.56066730616973737</c:v>
                </c:pt>
                <c:pt idx="5">
                  <c:v>-0.54060751224076908</c:v>
                </c:pt>
                <c:pt idx="6">
                  <c:v>-0.52287874528033762</c:v>
                </c:pt>
                <c:pt idx="7">
                  <c:v>-0.50863830616572736</c:v>
                </c:pt>
                <c:pt idx="8">
                  <c:v>-0.49620931694281889</c:v>
                </c:pt>
              </c:numCache>
            </c:numRef>
          </c:xVal>
          <c:yVal>
            <c:numRef>
              <c:f>'Barra (2)'!$Q$76:$Q$88</c:f>
              <c:numCache>
                <c:formatCode>General</c:formatCode>
                <c:ptCount val="13"/>
                <c:pt idx="0">
                  <c:v>-1.6289321377282637</c:v>
                </c:pt>
                <c:pt idx="1">
                  <c:v>-1.4634415574284698</c:v>
                </c:pt>
                <c:pt idx="2">
                  <c:v>-1.3757179041643317</c:v>
                </c:pt>
                <c:pt idx="3">
                  <c:v>-1.3196644865854368</c:v>
                </c:pt>
                <c:pt idx="4">
                  <c:v>-1.2652001704111531</c:v>
                </c:pt>
                <c:pt idx="5">
                  <c:v>-1.2269453066357374</c:v>
                </c:pt>
                <c:pt idx="6">
                  <c:v>-1.198596289982645</c:v>
                </c:pt>
                <c:pt idx="7">
                  <c:v>-1.1636758842932482</c:v>
                </c:pt>
                <c:pt idx="8">
                  <c:v>-1.1396619934290062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45-44AE-BA93-FE03145CCD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34031"/>
        <c:axId val="295511791"/>
      </c:scatterChart>
      <c:valAx>
        <c:axId val="51293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</a:t>
                </a:r>
                <a:r>
                  <a:rPr lang="en-US" sz="1400" b="0" i="0" u="none" strike="noStrike" baseline="0">
                    <a:effectLst/>
                  </a:rPr>
                  <a:t>ℓ</a:t>
                </a:r>
                <a:r>
                  <a:rPr lang="en-US" sz="1400"/>
                  <a:t>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95511791"/>
        <c:crosses val="autoZero"/>
        <c:crossBetween val="midCat"/>
      </c:valAx>
      <c:valAx>
        <c:axId val="29551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Log(T)</a:t>
                </a:r>
                <a:r>
                  <a:rPr lang="en-US" sz="1400" baseline="0"/>
                  <a:t> (s.u.)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2.4985997829663598E-2"/>
              <c:y val="0.376481268304244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2934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Linearização</a:t>
            </a:r>
            <a:r>
              <a:rPr lang="en-US" sz="1600" baseline="0"/>
              <a:t> para i=151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9.0881230077710651E-2"/>
          <c:y val="0.17171296296296296"/>
          <c:w val="0.87222985432048694"/>
          <c:h val="0.7352777777777777"/>
        </c:manualLayout>
      </c:layout>
      <c:scatterChart>
        <c:scatterStyle val="lineMarker"/>
        <c:varyColors val="0"/>
        <c:ser>
          <c:idx val="0"/>
          <c:order val="0"/>
          <c:tx>
            <c:v>loglog-51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'Barra (2)'!$Y$76:$Y$84</c:f>
              <c:numCache>
                <c:formatCode>General</c:formatCode>
                <c:ptCount val="9"/>
                <c:pt idx="0">
                  <c:v>-0.74472749489669399</c:v>
                </c:pt>
                <c:pt idx="1">
                  <c:v>-0.66354026615147055</c:v>
                </c:pt>
                <c:pt idx="2">
                  <c:v>-0.61798295742513154</c:v>
                </c:pt>
                <c:pt idx="3">
                  <c:v>-0.58502665202918203</c:v>
                </c:pt>
                <c:pt idx="4">
                  <c:v>-0.56066730616973737</c:v>
                </c:pt>
                <c:pt idx="5">
                  <c:v>-0.54060751224076908</c:v>
                </c:pt>
                <c:pt idx="6">
                  <c:v>-0.52287874528033762</c:v>
                </c:pt>
                <c:pt idx="7">
                  <c:v>-0.50863830616572736</c:v>
                </c:pt>
                <c:pt idx="8">
                  <c:v>-0.49620931694281889</c:v>
                </c:pt>
              </c:numCache>
            </c:numRef>
          </c:xVal>
          <c:yVal>
            <c:numRef>
              <c:f>'Barra (2)'!$Z$76:$Z$84</c:f>
              <c:numCache>
                <c:formatCode>General</c:formatCode>
                <c:ptCount val="9"/>
                <c:pt idx="0">
                  <c:v>-1.6258629060005871</c:v>
                </c:pt>
                <c:pt idx="1">
                  <c:v>-1.4634415574284698</c:v>
                </c:pt>
                <c:pt idx="2">
                  <c:v>-1.3740020011739484</c:v>
                </c:pt>
                <c:pt idx="3">
                  <c:v>-1.2912958951067002</c:v>
                </c:pt>
                <c:pt idx="4">
                  <c:v>-1.2633379553843582</c:v>
                </c:pt>
                <c:pt idx="5">
                  <c:v>-1.225239800167135</c:v>
                </c:pt>
                <c:pt idx="6">
                  <c:v>-1.1951793212788377</c:v>
                </c:pt>
                <c:pt idx="7">
                  <c:v>-1.1624115617644888</c:v>
                </c:pt>
                <c:pt idx="8">
                  <c:v>-1.1386647611150575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78-4DB1-AE21-935F2D2D05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34031"/>
        <c:axId val="295511791"/>
      </c:scatterChart>
      <c:valAx>
        <c:axId val="51293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</a:t>
                </a:r>
                <a:r>
                  <a:rPr lang="en-US" sz="1400" b="0" i="0" u="none" strike="noStrike" baseline="0">
                    <a:effectLst/>
                  </a:rPr>
                  <a:t>ℓ</a:t>
                </a:r>
                <a:r>
                  <a:rPr lang="en-US" sz="1400"/>
                  <a:t>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95511791"/>
        <c:crosses val="autoZero"/>
        <c:crossBetween val="midCat"/>
      </c:valAx>
      <c:valAx>
        <c:axId val="29551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Log(T)</a:t>
                </a:r>
                <a:r>
                  <a:rPr lang="en-US" sz="1400" baseline="0"/>
                  <a:t> (s.u.)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2.2911748168518643E-2"/>
              <c:y val="0.376149658349368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2934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Média</a:t>
            </a:r>
            <a:r>
              <a:rPr lang="en-US" sz="1600" baseline="0"/>
              <a:t> dos 3 i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68524166666666675"/>
        </c:manualLayout>
      </c:layout>
      <c:scatterChart>
        <c:scatterStyle val="lineMarker"/>
        <c:varyColors val="0"/>
        <c:ser>
          <c:idx val="0"/>
          <c:order val="0"/>
          <c:tx>
            <c:v>media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</c:numCache>
              </c:numRef>
            </c:plus>
            <c:min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</c:numCache>
              </c:numRef>
            </c:plus>
            <c:min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(2)'!$AD$37:$AD$49</c:f>
              <c:numCache>
                <c:formatCode>General</c:formatCode>
                <c:ptCount val="13"/>
                <c:pt idx="0">
                  <c:v>3.2399999999999998E-2</c:v>
                </c:pt>
                <c:pt idx="1">
                  <c:v>4.7088999999999999E-2</c:v>
                </c:pt>
                <c:pt idx="2">
                  <c:v>5.8081000000000008E-2</c:v>
                </c:pt>
                <c:pt idx="3">
                  <c:v>6.7599999999999993E-2</c:v>
                </c:pt>
                <c:pt idx="4">
                  <c:v>7.5624999999999998E-2</c:v>
                </c:pt>
                <c:pt idx="5">
                  <c:v>8.2944000000000004E-2</c:v>
                </c:pt>
                <c:pt idx="6">
                  <c:v>0.09</c:v>
                </c:pt>
                <c:pt idx="7">
                  <c:v>9.6100000000000005E-2</c:v>
                </c:pt>
                <c:pt idx="8">
                  <c:v>0.10176099999999999</c:v>
                </c:pt>
              </c:numCache>
            </c:numRef>
          </c:xVal>
          <c:yVal>
            <c:numRef>
              <c:f>'Barra (2)'!$AH$37:$AH$49</c:f>
              <c:numCache>
                <c:formatCode>General</c:formatCode>
                <c:ptCount val="13"/>
                <c:pt idx="0">
                  <c:v>5.5960037037037038E-4</c:v>
                </c:pt>
                <c:pt idx="1">
                  <c:v>1.1742400000000002E-3</c:v>
                </c:pt>
                <c:pt idx="2">
                  <c:v>1.7687070370370371E-3</c:v>
                </c:pt>
                <c:pt idx="3">
                  <c:v>2.3915959259259256E-3</c:v>
                </c:pt>
                <c:pt idx="4">
                  <c:v>2.9389381481481481E-3</c:v>
                </c:pt>
                <c:pt idx="5">
                  <c:v>3.4982225925925922E-3</c:v>
                </c:pt>
                <c:pt idx="6">
                  <c:v>4.0070566666666665E-3</c:v>
                </c:pt>
                <c:pt idx="7">
                  <c:v>4.6878000000000006E-3</c:v>
                </c:pt>
                <c:pt idx="8">
                  <c:v>5.240231481481482E-3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4D-4583-9B3E-8E32E19894FC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(2)'!$AD$37:$AD$49</c:f>
              <c:numCache>
                <c:formatCode>General</c:formatCode>
                <c:ptCount val="13"/>
                <c:pt idx="0">
                  <c:v>3.2399999999999998E-2</c:v>
                </c:pt>
                <c:pt idx="1">
                  <c:v>4.7088999999999999E-2</c:v>
                </c:pt>
                <c:pt idx="2">
                  <c:v>5.8081000000000008E-2</c:v>
                </c:pt>
                <c:pt idx="3">
                  <c:v>6.7599999999999993E-2</c:v>
                </c:pt>
                <c:pt idx="4">
                  <c:v>7.5624999999999998E-2</c:v>
                </c:pt>
                <c:pt idx="5">
                  <c:v>8.2944000000000004E-2</c:v>
                </c:pt>
                <c:pt idx="6">
                  <c:v>0.09</c:v>
                </c:pt>
                <c:pt idx="7">
                  <c:v>9.6100000000000005E-2</c:v>
                </c:pt>
                <c:pt idx="8">
                  <c:v>0.10176099999999999</c:v>
                </c:pt>
              </c:numCache>
            </c:numRef>
          </c:xVal>
          <c:yVal>
            <c:numRef>
              <c:f>'Barra (2)'!$AJ$37:$AJ$49</c:f>
              <c:numCache>
                <c:formatCode>General</c:formatCode>
                <c:ptCount val="13"/>
                <c:pt idx="0">
                  <c:v>2.0851247040131436E-4</c:v>
                </c:pt>
                <c:pt idx="1">
                  <c:v>1.2036832433254758E-3</c:v>
                </c:pt>
                <c:pt idx="2">
                  <c:v>1.9483845256443801E-3</c:v>
                </c:pt>
                <c:pt idx="3">
                  <c:v>2.5932909581765531E-3</c:v>
                </c:pt>
                <c:pt idx="4">
                  <c:v>3.1369798037559934E-3</c:v>
                </c:pt>
                <c:pt idx="5">
                  <c:v>3.6328375808022139E-3</c:v>
                </c:pt>
                <c:pt idx="6">
                  <c:v>4.1108772685789774E-3</c:v>
                </c:pt>
                <c:pt idx="7">
                  <c:v>4.5241485406082096E-3</c:v>
                </c:pt>
                <c:pt idx="8">
                  <c:v>4.9076778309291077E-3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04D-4583-9B3E-8E32E19894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r>
              <a:rPr lang="en-US" sz="1600" baseline="0"/>
              <a:t> para</a:t>
            </a:r>
            <a:r>
              <a:rPr lang="en-US" sz="1600"/>
              <a:t> a média dos 3 resíduos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6245192307692308"/>
          <c:y val="0.14591770833333334"/>
          <c:w val="0.79965833333333325"/>
          <c:h val="0.70288055555555562"/>
        </c:manualLayout>
      </c:layout>
      <c:scatterChart>
        <c:scatterStyle val="lineMarker"/>
        <c:varyColors val="0"/>
        <c:ser>
          <c:idx val="0"/>
          <c:order val="0"/>
          <c:tx>
            <c:v>res media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</c:numCache>
              </c:numRef>
            </c:plus>
            <c:min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</c:numCache>
              </c:numRef>
            </c:plus>
            <c:min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(2)'!$AD$37:$AD$49</c:f>
              <c:numCache>
                <c:formatCode>General</c:formatCode>
                <c:ptCount val="13"/>
                <c:pt idx="0">
                  <c:v>3.2399999999999998E-2</c:v>
                </c:pt>
                <c:pt idx="1">
                  <c:v>4.7088999999999999E-2</c:v>
                </c:pt>
                <c:pt idx="2">
                  <c:v>5.8081000000000008E-2</c:v>
                </c:pt>
                <c:pt idx="3">
                  <c:v>6.7599999999999993E-2</c:v>
                </c:pt>
                <c:pt idx="4">
                  <c:v>7.5624999999999998E-2</c:v>
                </c:pt>
                <c:pt idx="5">
                  <c:v>8.2944000000000004E-2</c:v>
                </c:pt>
                <c:pt idx="6">
                  <c:v>0.09</c:v>
                </c:pt>
                <c:pt idx="7">
                  <c:v>9.6100000000000005E-2</c:v>
                </c:pt>
                <c:pt idx="8">
                  <c:v>0.10176099999999999</c:v>
                </c:pt>
              </c:numCache>
            </c:numRef>
          </c:xVal>
          <c:yVal>
            <c:numRef>
              <c:f>'Barra (2)'!$AK$37:$AK$49</c:f>
              <c:numCache>
                <c:formatCode>General</c:formatCode>
                <c:ptCount val="13"/>
                <c:pt idx="0">
                  <c:v>3.5108789996905602E-4</c:v>
                </c:pt>
                <c:pt idx="1">
                  <c:v>-2.9443243325475528E-5</c:v>
                </c:pt>
                <c:pt idx="2">
                  <c:v>-1.79677488607343E-4</c:v>
                </c:pt>
                <c:pt idx="3">
                  <c:v>-2.0169503225062752E-4</c:v>
                </c:pt>
                <c:pt idx="4">
                  <c:v>-1.9804165560784528E-4</c:v>
                </c:pt>
                <c:pt idx="5">
                  <c:v>-1.3461498820962169E-4</c:v>
                </c:pt>
                <c:pt idx="6">
                  <c:v>-1.0382060191231092E-4</c:v>
                </c:pt>
                <c:pt idx="7">
                  <c:v>1.63651459391791E-4</c:v>
                </c:pt>
                <c:pt idx="8">
                  <c:v>3.3255365055237431E-4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D1-46D3-BC3F-F72DDBCD5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- </a:t>
                </a:r>
                <a:r>
                  <a:rPr lang="en-US" sz="1400" b="0" i="0" u="none" strike="noStrike" baseline="0">
                    <a:effectLst/>
                  </a:rPr>
                  <a:t>T</a:t>
                </a:r>
                <a:r>
                  <a:rPr lang="en-US" sz="1400" b="0" i="0" u="none" strike="noStrike" baseline="30000">
                    <a:effectLst/>
                  </a:rPr>
                  <a:t>2</a:t>
                </a:r>
                <a:r>
                  <a:rPr lang="en-US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Linearização</a:t>
            </a:r>
            <a:r>
              <a:rPr lang="en-US" sz="1600" baseline="0"/>
              <a:t> para i=151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8.0458292322834649E-2"/>
          <c:y val="0.17171296296296296"/>
          <c:w val="0.88265276410761173"/>
          <c:h val="0.7352777777777777"/>
        </c:manualLayout>
      </c:layout>
      <c:scatterChart>
        <c:scatterStyle val="lineMarker"/>
        <c:varyColors val="0"/>
        <c:ser>
          <c:idx val="0"/>
          <c:order val="0"/>
          <c:tx>
            <c:v>loglog-media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'Barra (2)'!$AL$37:$AL$49</c:f>
              <c:numCache>
                <c:formatCode>General</c:formatCode>
                <c:ptCount val="13"/>
                <c:pt idx="0">
                  <c:v>-0.74472749489669399</c:v>
                </c:pt>
                <c:pt idx="1">
                  <c:v>-0.66354026615147055</c:v>
                </c:pt>
                <c:pt idx="2">
                  <c:v>-0.61798295742513154</c:v>
                </c:pt>
                <c:pt idx="3">
                  <c:v>-0.58502665202918203</c:v>
                </c:pt>
                <c:pt idx="4">
                  <c:v>-0.56066730616973737</c:v>
                </c:pt>
                <c:pt idx="5">
                  <c:v>-0.54060751224076908</c:v>
                </c:pt>
                <c:pt idx="6">
                  <c:v>-0.52287874528033762</c:v>
                </c:pt>
                <c:pt idx="7">
                  <c:v>-0.50863830616572736</c:v>
                </c:pt>
                <c:pt idx="8">
                  <c:v>-0.49620931694281889</c:v>
                </c:pt>
              </c:numCache>
            </c:numRef>
          </c:xVal>
          <c:yVal>
            <c:numRef>
              <c:f>'Barra (2)'!$AM$37:$AM$49</c:f>
              <c:numCache>
                <c:formatCode>General</c:formatCode>
                <c:ptCount val="13"/>
                <c:pt idx="0">
                  <c:v>-1.6260668480010023</c:v>
                </c:pt>
                <c:pt idx="1">
                  <c:v>-1.4651281400604055</c:v>
                </c:pt>
                <c:pt idx="2">
                  <c:v>-1.3761766256032333</c:v>
                </c:pt>
                <c:pt idx="3">
                  <c:v>-1.3108885474624619</c:v>
                </c:pt>
                <c:pt idx="4">
                  <c:v>-1.2659116913270587</c:v>
                </c:pt>
                <c:pt idx="5">
                  <c:v>-1.2280860432665701</c:v>
                </c:pt>
                <c:pt idx="6">
                  <c:v>-1.198596289982645</c:v>
                </c:pt>
                <c:pt idx="7">
                  <c:v>-1.164520815458403</c:v>
                </c:pt>
                <c:pt idx="8">
                  <c:v>-1.1403280893907213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91-4E6F-905E-EDEEA2812F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34031"/>
        <c:axId val="295511791"/>
      </c:scatterChart>
      <c:valAx>
        <c:axId val="51293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</a:t>
                </a:r>
                <a:r>
                  <a:rPr lang="en-US" sz="1400" b="0" i="0" u="none" strike="noStrike" baseline="0">
                    <a:effectLst/>
                  </a:rPr>
                  <a:t>ℓ</a:t>
                </a:r>
                <a:r>
                  <a:rPr lang="en-US" sz="1400"/>
                  <a:t>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95511791"/>
        <c:crosses val="autoZero"/>
        <c:crossBetween val="midCat"/>
      </c:valAx>
      <c:valAx>
        <c:axId val="29551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Log(T)</a:t>
                </a:r>
                <a:r>
                  <a:rPr lang="en-US" sz="1400" baseline="0"/>
                  <a:t> (s.u.)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1.5119750656167979E-2"/>
              <c:y val="0.366377223680373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2934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 3</a:t>
            </a:r>
            <a:r>
              <a:rPr lang="en-US" sz="1600" baseline="0"/>
              <a:t> Conjuntos de impulsos sobrepostos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68524166666666675"/>
        </c:manualLayout>
      </c:layout>
      <c:scatterChart>
        <c:scatterStyle val="lineMarker"/>
        <c:varyColors val="0"/>
        <c:ser>
          <c:idx val="2"/>
          <c:order val="0"/>
          <c:tx>
            <c:v>51</c:v>
          </c:tx>
          <c:spPr>
            <a:ln>
              <a:noFill/>
            </a:ln>
          </c:spPr>
          <c:marker>
            <c:symbol val="circ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</c:numCache>
              </c:numRef>
            </c:plus>
            <c:min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</c:numCache>
              </c:numRef>
            </c:minus>
          </c:errBars>
          <c:errBars>
            <c:errDir val="y"/>
            <c:errBarType val="both"/>
            <c:errValType val="cust"/>
            <c:noEndCap val="0"/>
            <c:pl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</c:numCache>
              </c:numRef>
            </c:plus>
            <c:min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</c:numCache>
              </c:numRef>
            </c:minus>
          </c:errBars>
          <c:xVal>
            <c:numRef>
              <c:f>'Barra (2)'!$D$37:$D$49</c:f>
              <c:numCache>
                <c:formatCode>General</c:formatCode>
                <c:ptCount val="13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>
                  <c:v>8.0999999999999996E-3</c:v>
                </c:pt>
                <c:pt idx="7">
                  <c:v>9.2352100000000006E-3</c:v>
                </c:pt>
                <c:pt idx="8">
                  <c:v>1.0355301121000001E-2</c:v>
                </c:pt>
              </c:numCache>
            </c:numRef>
          </c:xVal>
          <c:yVal>
            <c:numRef>
              <c:f>'Barra (2)'!$F$37:$F$49</c:f>
              <c:numCache>
                <c:formatCode>General</c:formatCode>
                <c:ptCount val="13"/>
                <c:pt idx="0">
                  <c:v>5.6644000000000009E-4</c:v>
                </c:pt>
                <c:pt idx="1">
                  <c:v>1.1560000000000001E-3</c:v>
                </c:pt>
                <c:pt idx="2">
                  <c:v>1.7472400000000004E-3</c:v>
                </c:pt>
                <c:pt idx="3">
                  <c:v>2.2657599999999995E-3</c:v>
                </c:pt>
                <c:pt idx="4">
                  <c:v>2.8944399999999999E-3</c:v>
                </c:pt>
                <c:pt idx="5">
                  <c:v>3.4339599999999998E-3</c:v>
                </c:pt>
                <c:pt idx="6">
                  <c:v>3.9438400000000014E-3</c:v>
                </c:pt>
                <c:pt idx="7">
                  <c:v>4.6240000000000005E-3</c:v>
                </c:pt>
                <c:pt idx="8">
                  <c:v>5.1840000000000011E-3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983A-4354-A6FC-0DAE77FCC957}"/>
            </c:ext>
          </c:extLst>
        </c:ser>
        <c:ser>
          <c:idx val="0"/>
          <c:order val="1"/>
          <c:tx>
            <c:v>101</c:v>
          </c:tx>
          <c:spPr>
            <a:ln w="19050">
              <a:noFill/>
            </a:ln>
          </c:spPr>
          <c:marker>
            <c:symbol val="circ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xVal>
            <c:numRef>
              <c:f>'Barra (2)'!$D$37:$D$45</c:f>
              <c:numCache>
                <c:formatCode>General</c:formatCode>
                <c:ptCount val="9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>
                  <c:v>8.0999999999999996E-3</c:v>
                </c:pt>
                <c:pt idx="7">
                  <c:v>9.2352100000000006E-3</c:v>
                </c:pt>
                <c:pt idx="8">
                  <c:v>1.0355301121000001E-2</c:v>
                </c:pt>
              </c:numCache>
            </c:numRef>
          </c:xVal>
          <c:yVal>
            <c:numRef>
              <c:f>'Barra (2)'!$J$37:$J$45</c:f>
              <c:numCache>
                <c:formatCode>General</c:formatCode>
                <c:ptCount val="9"/>
                <c:pt idx="0">
                  <c:v>5.5225000000000001E-4</c:v>
                </c:pt>
                <c:pt idx="1">
                  <c:v>1.1833600000000001E-3</c:v>
                </c:pt>
                <c:pt idx="2">
                  <c:v>1.7724099999999999E-3</c:v>
                </c:pt>
                <c:pt idx="3">
                  <c:v>2.2944099999999998E-3</c:v>
                </c:pt>
                <c:pt idx="4">
                  <c:v>2.9484900000000002E-3</c:v>
                </c:pt>
                <c:pt idx="5">
                  <c:v>3.5164900000000006E-3</c:v>
                </c:pt>
                <c:pt idx="6">
                  <c:v>4.0068899999999991E-3</c:v>
                </c:pt>
                <c:pt idx="7">
                  <c:v>4.7059600000000012E-3</c:v>
                </c:pt>
                <c:pt idx="8">
                  <c:v>5.2562500000000014E-3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DA-4607-804E-00305B14E70F}"/>
            </c:ext>
          </c:extLst>
        </c:ser>
        <c:ser>
          <c:idx val="4"/>
          <c:order val="2"/>
          <c:tx>
            <c:v>151</c:v>
          </c:tx>
          <c:spPr>
            <a:ln w="19050">
              <a:noFill/>
            </a:ln>
          </c:spPr>
          <c:marker>
            <c:symbol val="circle"/>
            <c:size val="3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</c:spPr>
          </c:marker>
          <c:xVal>
            <c:numRef>
              <c:f>'Barra (2)'!$D$37:$D$45</c:f>
              <c:numCache>
                <c:formatCode>General</c:formatCode>
                <c:ptCount val="9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>
                  <c:v>8.0999999999999996E-3</c:v>
                </c:pt>
                <c:pt idx="7">
                  <c:v>9.2352100000000006E-3</c:v>
                </c:pt>
                <c:pt idx="8">
                  <c:v>1.0355301121000001E-2</c:v>
                </c:pt>
              </c:numCache>
            </c:numRef>
          </c:xVal>
          <c:yVal>
            <c:numRef>
              <c:f>'Barra (2)'!$N$37:$N$45</c:f>
              <c:numCache>
                <c:formatCode>General</c:formatCode>
                <c:ptCount val="9"/>
                <c:pt idx="0">
                  <c:v>5.6011111111111105E-4</c:v>
                </c:pt>
                <c:pt idx="1">
                  <c:v>1.1833600000000001E-3</c:v>
                </c:pt>
                <c:pt idx="2">
                  <c:v>1.7864711111111112E-3</c:v>
                </c:pt>
                <c:pt idx="3">
                  <c:v>2.614617777777778E-3</c:v>
                </c:pt>
                <c:pt idx="4">
                  <c:v>2.9738844444444439E-3</c:v>
                </c:pt>
                <c:pt idx="5">
                  <c:v>3.5442177777777772E-3</c:v>
                </c:pt>
                <c:pt idx="6">
                  <c:v>4.0704399999999998E-3</c:v>
                </c:pt>
                <c:pt idx="7">
                  <c:v>4.7334400000000002E-3</c:v>
                </c:pt>
                <c:pt idx="8">
                  <c:v>5.2804444444444452E-3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6DA-4607-804E-00305B14E70F}"/>
            </c:ext>
          </c:extLst>
        </c:ser>
        <c:ser>
          <c:idx val="1"/>
          <c:order val="3"/>
          <c:tx>
            <c:v>Aj Lin 51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'Barra (2)'!$D$37:$D$49</c:f>
              <c:numCache>
                <c:formatCode>General</c:formatCode>
                <c:ptCount val="13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>
                  <c:v>8.0999999999999996E-3</c:v>
                </c:pt>
                <c:pt idx="7">
                  <c:v>9.2352100000000006E-3</c:v>
                </c:pt>
                <c:pt idx="8">
                  <c:v>1.0355301121000001E-2</c:v>
                </c:pt>
              </c:numCache>
            </c:numRef>
          </c:xVal>
          <c:yVal>
            <c:numRef>
              <c:f>'Barra (2)'!$H$37:$H$49</c:f>
              <c:numCache>
                <c:formatCode>General</c:formatCode>
                <c:ptCount val="13"/>
                <c:pt idx="0">
                  <c:v>5.7149370657798401E-4</c:v>
                </c:pt>
                <c:pt idx="1">
                  <c:v>1.1454806099035824E-3</c:v>
                </c:pt>
                <c:pt idx="2">
                  <c:v>1.7137723091503782E-3</c:v>
                </c:pt>
                <c:pt idx="3">
                  <c:v>2.3018892280494236E-3</c:v>
                </c:pt>
                <c:pt idx="4">
                  <c:v>2.8669128320170504E-3</c:v>
                </c:pt>
                <c:pt idx="5">
                  <c:v>3.4374353016204981E-3</c:v>
                </c:pt>
                <c:pt idx="6">
                  <c:v>4.0373186274015073E-3</c:v>
                </c:pt>
                <c:pt idx="7">
                  <c:v>4.5953760989724136E-3</c:v>
                </c:pt>
                <c:pt idx="8">
                  <c:v>5.1460012863071662E-3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83A-4354-A6FC-0DAE77FCC957}"/>
            </c:ext>
          </c:extLst>
        </c:ser>
        <c:ser>
          <c:idx val="5"/>
          <c:order val="4"/>
          <c:tx>
            <c:v>Aj Lin 101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(2)'!$D$37:$D$49</c:f>
              <c:numCache>
                <c:formatCode>General</c:formatCode>
                <c:ptCount val="13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>
                  <c:v>8.0999999999999996E-3</c:v>
                </c:pt>
                <c:pt idx="7">
                  <c:v>9.2352100000000006E-3</c:v>
                </c:pt>
                <c:pt idx="8">
                  <c:v>1.0355301121000001E-2</c:v>
                </c:pt>
              </c:numCache>
            </c:numRef>
          </c:xVal>
          <c:yVal>
            <c:numRef>
              <c:f>'Barra (2)'!$L$37:$L$49</c:f>
              <c:numCache>
                <c:formatCode>General</c:formatCode>
                <c:ptCount val="13"/>
                <c:pt idx="0">
                  <c:v>5.7560747898994537E-4</c:v>
                </c:pt>
                <c:pt idx="1">
                  <c:v>1.1602511704011727E-3</c:v>
                </c:pt>
                <c:pt idx="2">
                  <c:v>1.7390939191137427E-3</c:v>
                </c:pt>
                <c:pt idx="3">
                  <c:v>2.33812996759217E-3</c:v>
                </c:pt>
                <c:pt idx="4">
                  <c:v>2.9136439447302893E-3</c:v>
                </c:pt>
                <c:pt idx="5">
                  <c:v>3.4947588808541879E-3</c:v>
                </c:pt>
                <c:pt idx="6">
                  <c:v>4.1057797943430544E-3</c:v>
                </c:pt>
                <c:pt idx="7">
                  <c:v>4.674198304083433E-3</c:v>
                </c:pt>
                <c:pt idx="8">
                  <c:v>5.2350465398920054E-3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983A-4354-A6FC-0DAE77FCC957}"/>
            </c:ext>
          </c:extLst>
        </c:ser>
        <c:ser>
          <c:idx val="3"/>
          <c:order val="5"/>
          <c:tx>
            <c:v>Aj Lin 151</c:v>
          </c:tx>
          <c:spPr>
            <a:ln w="12700">
              <a:solidFill>
                <a:schemeClr val="accent6"/>
              </a:solidFill>
            </a:ln>
          </c:spPr>
          <c:marker>
            <c:symbol val="none"/>
          </c:marker>
          <c:xVal>
            <c:numRef>
              <c:f>'Barra (2)'!$D$37:$D$49</c:f>
              <c:numCache>
                <c:formatCode>General</c:formatCode>
                <c:ptCount val="13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>
                  <c:v>8.0999999999999996E-3</c:v>
                </c:pt>
                <c:pt idx="7">
                  <c:v>9.2352100000000006E-3</c:v>
                </c:pt>
                <c:pt idx="8">
                  <c:v>1.0355301121000001E-2</c:v>
                </c:pt>
              </c:numCache>
            </c:numRef>
          </c:xVal>
          <c:yVal>
            <c:numRef>
              <c:f>'Barra (2)'!$P$37:$P$49</c:f>
              <c:numCache>
                <c:formatCode>General</c:formatCode>
                <c:ptCount val="13"/>
                <c:pt idx="0">
                  <c:v>6.3501359611430476E-4</c:v>
                </c:pt>
                <c:pt idx="1">
                  <c:v>1.2189859485706599E-3</c:v>
                </c:pt>
                <c:pt idx="2">
                  <c:v>1.7971640194774741E-3</c:v>
                </c:pt>
                <c:pt idx="3">
                  <c:v>2.3955122024394778E-3</c:v>
                </c:pt>
                <c:pt idx="4">
                  <c:v>2.97036532415813E-3</c:v>
                </c:pt>
                <c:pt idx="5">
                  <c:v>3.5508129733522126E-3</c:v>
                </c:pt>
                <c:pt idx="6">
                  <c:v>4.1611322592557771E-3</c:v>
                </c:pt>
                <c:pt idx="7">
                  <c:v>4.7288980612121409E-3</c:v>
                </c:pt>
                <c:pt idx="8">
                  <c:v>5.2891022820864874E-3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983A-4354-A6FC-0DAE77FCC9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043556879202709"/>
          <c:y val="0.35027210575194823"/>
          <c:w val="0.15496081527350491"/>
          <c:h val="0.48450664407845256"/>
        </c:manualLayout>
      </c:layout>
      <c:overlay val="0"/>
      <c:spPr>
        <a:solidFill>
          <a:sysClr val="window" lastClr="FFFFFF"/>
        </a:solidFill>
        <a:ln>
          <a:solidFill>
            <a:sysClr val="windowText" lastClr="000000"/>
          </a:solidFill>
        </a:ln>
      </c:spPr>
    </c:legend>
    <c:plotVisOnly val="1"/>
    <c:dispBlanksAs val="gap"/>
    <c:showDLblsOverMax val="0"/>
    <c:extLst/>
  </c:chart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r>
              <a:rPr lang="en-US" sz="1600" baseline="0"/>
              <a:t> para</a:t>
            </a:r>
            <a:r>
              <a:rPr lang="en-US" sz="1600"/>
              <a:t> i = 51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431089743589743"/>
          <c:y val="0.14591770833333334"/>
          <c:w val="0.80779935897435895"/>
          <c:h val="0.70288055555555562"/>
        </c:manualLayout>
      </c:layout>
      <c:scatterChart>
        <c:scatterStyle val="lineMarker"/>
        <c:varyColors val="0"/>
        <c:ser>
          <c:idx val="1"/>
          <c:order val="0"/>
          <c:tx>
            <c:v>res 151</c:v>
          </c:tx>
          <c:spPr>
            <a:ln w="25400">
              <a:noFill/>
            </a:ln>
          </c:spPr>
          <c:errBars>
            <c:errDir val="x"/>
            <c:errBarType val="both"/>
            <c:errValType val="cust"/>
            <c:noEndCap val="0"/>
            <c:pl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</c:numCache>
              </c:numRef>
            </c:plus>
            <c:min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</c:numCache>
              </c:numRef>
            </c:minus>
          </c:errBars>
          <c:errBars>
            <c:errDir val="y"/>
            <c:errBarType val="both"/>
            <c:errValType val="cust"/>
            <c:noEndCap val="0"/>
            <c:pl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</c:numCache>
              </c:numRef>
            </c:plus>
            <c:min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</c:numCache>
              </c:numRef>
            </c:minus>
          </c:errBars>
          <c:xVal>
            <c:numRef>
              <c:f>'Barra (2)'!$D$37:$D$49</c:f>
              <c:numCache>
                <c:formatCode>General</c:formatCode>
                <c:ptCount val="13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>
                  <c:v>8.0999999999999996E-3</c:v>
                </c:pt>
                <c:pt idx="7">
                  <c:v>9.2352100000000006E-3</c:v>
                </c:pt>
                <c:pt idx="8">
                  <c:v>1.0355301121000001E-2</c:v>
                </c:pt>
              </c:numCache>
            </c:numRef>
          </c:xVal>
          <c:yVal>
            <c:numRef>
              <c:f>'Barra (2)'!$Q$37:$Q$49</c:f>
              <c:numCache>
                <c:formatCode>General</c:formatCode>
                <c:ptCount val="13"/>
                <c:pt idx="0">
                  <c:v>-7.4902485003193703E-5</c:v>
                </c:pt>
                <c:pt idx="1">
                  <c:v>-3.5625948570659803E-5</c:v>
                </c:pt>
                <c:pt idx="2">
                  <c:v>-1.0692908366362894E-5</c:v>
                </c:pt>
                <c:pt idx="3">
                  <c:v>2.1910557533830026E-4</c:v>
                </c:pt>
                <c:pt idx="4">
                  <c:v>3.5191202863139003E-6</c:v>
                </c:pt>
                <c:pt idx="5">
                  <c:v>-6.5951955744354175E-6</c:v>
                </c:pt>
                <c:pt idx="6">
                  <c:v>-9.0692259255777292E-5</c:v>
                </c:pt>
                <c:pt idx="7">
                  <c:v>4.5419387878593495E-6</c:v>
                </c:pt>
                <c:pt idx="8">
                  <c:v>-8.6578376420421224E-6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B2D-4CAA-ABE7-9D22236B4F5D}"/>
            </c:ext>
          </c:extLst>
        </c:ser>
        <c:ser>
          <c:idx val="2"/>
          <c:order val="1"/>
          <c:tx>
            <c:v>res 101</c:v>
          </c:tx>
          <c:spPr>
            <a:ln w="25400" cap="rnd">
              <a:noFill/>
              <a:round/>
            </a:ln>
            <a:effectLst/>
          </c:spPr>
          <c:errBars>
            <c:errDir val="x"/>
            <c:errBarType val="both"/>
            <c:errValType val="cust"/>
            <c:noEndCap val="0"/>
            <c:pl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</c:numCache>
              </c:numRef>
            </c:plus>
            <c:min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</c:numCache>
              </c:numRef>
            </c:plus>
            <c:min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(2)'!$D$37:$D$49</c:f>
              <c:numCache>
                <c:formatCode>General</c:formatCode>
                <c:ptCount val="13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>
                  <c:v>8.0999999999999996E-3</c:v>
                </c:pt>
                <c:pt idx="7">
                  <c:v>9.2352100000000006E-3</c:v>
                </c:pt>
                <c:pt idx="8">
                  <c:v>1.0355301121000001E-2</c:v>
                </c:pt>
              </c:numCache>
            </c:numRef>
          </c:xVal>
          <c:yVal>
            <c:numRef>
              <c:f>'Barra (2)'!$M$37:$M$49</c:f>
              <c:numCache>
                <c:formatCode>General</c:formatCode>
                <c:ptCount val="13"/>
                <c:pt idx="0">
                  <c:v>-2.3357478989945364E-5</c:v>
                </c:pt>
                <c:pt idx="1">
                  <c:v>2.3108829598827334E-5</c:v>
                </c:pt>
                <c:pt idx="2">
                  <c:v>3.3316080886257142E-5</c:v>
                </c:pt>
                <c:pt idx="3">
                  <c:v>-4.3719967592170238E-5</c:v>
                </c:pt>
                <c:pt idx="4">
                  <c:v>3.4846055269710952E-5</c:v>
                </c:pt>
                <c:pt idx="5">
                  <c:v>2.1731119145812668E-5</c:v>
                </c:pt>
                <c:pt idx="6">
                  <c:v>-9.8889794343055316E-5</c:v>
                </c:pt>
                <c:pt idx="7">
                  <c:v>3.1761695916568237E-5</c:v>
                </c:pt>
                <c:pt idx="8">
                  <c:v>2.1203460107995994E-5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B2D-4CAA-ABE7-9D22236B4F5D}"/>
            </c:ext>
          </c:extLst>
        </c:ser>
        <c:ser>
          <c:idx val="0"/>
          <c:order val="2"/>
          <c:tx>
            <c:v>res 51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</c:numCache>
              </c:numRef>
            </c:plus>
            <c:min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</c:numCache>
              </c:numRef>
            </c:plus>
            <c:min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(2)'!$D$37:$D$49</c:f>
              <c:numCache>
                <c:formatCode>General</c:formatCode>
                <c:ptCount val="13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>
                  <c:v>8.0999999999999996E-3</c:v>
                </c:pt>
                <c:pt idx="7">
                  <c:v>9.2352100000000006E-3</c:v>
                </c:pt>
                <c:pt idx="8">
                  <c:v>1.0355301121000001E-2</c:v>
                </c:pt>
              </c:numCache>
            </c:numRef>
          </c:xVal>
          <c:yVal>
            <c:numRef>
              <c:f>'Barra (2)'!$I$37:$I$49</c:f>
              <c:numCache>
                <c:formatCode>General</c:formatCode>
                <c:ptCount val="13"/>
                <c:pt idx="0">
                  <c:v>-5.0537065779839279E-6</c:v>
                </c:pt>
                <c:pt idx="1">
                  <c:v>1.0519390096417692E-5</c:v>
                </c:pt>
                <c:pt idx="2">
                  <c:v>3.3467690849622216E-5</c:v>
                </c:pt>
                <c:pt idx="3">
                  <c:v>-3.6129228049424159E-5</c:v>
                </c:pt>
                <c:pt idx="4">
                  <c:v>2.7527167982949446E-5</c:v>
                </c:pt>
                <c:pt idx="5">
                  <c:v>-3.4753016204982883E-6</c:v>
                </c:pt>
                <c:pt idx="6">
                  <c:v>-9.3478627401505886E-5</c:v>
                </c:pt>
                <c:pt idx="7">
                  <c:v>2.8623901027586933E-5</c:v>
                </c:pt>
                <c:pt idx="8">
                  <c:v>3.799871369283489E-5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B2D-4CAA-ABE7-9D22236B4F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- </a:t>
                </a:r>
                <a:r>
                  <a:rPr lang="en-US" sz="1400" b="0" i="0" u="none" strike="noStrike" baseline="0">
                    <a:effectLst/>
                  </a:rPr>
                  <a:t>T</a:t>
                </a:r>
                <a:r>
                  <a:rPr lang="en-US" sz="1400" b="0" i="0" u="none" strike="noStrike" baseline="30000">
                    <a:effectLst/>
                  </a:rPr>
                  <a:t>2</a:t>
                </a:r>
                <a:r>
                  <a:rPr lang="en-US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13" Type="http://schemas.openxmlformats.org/officeDocument/2006/relationships/chart" Target="../charts/chart12.xml"/><Relationship Id="rId18" Type="http://schemas.openxmlformats.org/officeDocument/2006/relationships/chart" Target="../charts/chart17.xml"/><Relationship Id="rId26" Type="http://schemas.openxmlformats.org/officeDocument/2006/relationships/chart" Target="../charts/chart24.xml"/><Relationship Id="rId3" Type="http://schemas.openxmlformats.org/officeDocument/2006/relationships/chart" Target="../charts/chart3.xml"/><Relationship Id="rId21" Type="http://schemas.openxmlformats.org/officeDocument/2006/relationships/chart" Target="../charts/chart19.xml"/><Relationship Id="rId7" Type="http://schemas.openxmlformats.org/officeDocument/2006/relationships/chart" Target="../charts/chart6.xml"/><Relationship Id="rId12" Type="http://schemas.openxmlformats.org/officeDocument/2006/relationships/chart" Target="../charts/chart11.xml"/><Relationship Id="rId17" Type="http://schemas.openxmlformats.org/officeDocument/2006/relationships/chart" Target="../charts/chart16.xml"/><Relationship Id="rId25" Type="http://schemas.openxmlformats.org/officeDocument/2006/relationships/chart" Target="../charts/chart23.xml"/><Relationship Id="rId2" Type="http://schemas.openxmlformats.org/officeDocument/2006/relationships/chart" Target="../charts/chart2.xml"/><Relationship Id="rId16" Type="http://schemas.openxmlformats.org/officeDocument/2006/relationships/chart" Target="../charts/chart15.xml"/><Relationship Id="rId20" Type="http://schemas.openxmlformats.org/officeDocument/2006/relationships/image" Target="../media/image2.png"/><Relationship Id="rId29" Type="http://schemas.openxmlformats.org/officeDocument/2006/relationships/chart" Target="../charts/chart26.xml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11" Type="http://schemas.openxmlformats.org/officeDocument/2006/relationships/chart" Target="../charts/chart10.xml"/><Relationship Id="rId24" Type="http://schemas.openxmlformats.org/officeDocument/2006/relationships/chart" Target="../charts/chart22.xml"/><Relationship Id="rId5" Type="http://schemas.openxmlformats.org/officeDocument/2006/relationships/chart" Target="../charts/chart4.xml"/><Relationship Id="rId15" Type="http://schemas.openxmlformats.org/officeDocument/2006/relationships/chart" Target="../charts/chart14.xml"/><Relationship Id="rId23" Type="http://schemas.openxmlformats.org/officeDocument/2006/relationships/chart" Target="../charts/chart21.xml"/><Relationship Id="rId28" Type="http://schemas.openxmlformats.org/officeDocument/2006/relationships/chart" Target="../charts/chart25.xml"/><Relationship Id="rId10" Type="http://schemas.openxmlformats.org/officeDocument/2006/relationships/chart" Target="../charts/chart9.xml"/><Relationship Id="rId19" Type="http://schemas.openxmlformats.org/officeDocument/2006/relationships/chart" Target="../charts/chart18.xml"/><Relationship Id="rId31" Type="http://schemas.openxmlformats.org/officeDocument/2006/relationships/chart" Target="../charts/chart28.xml"/><Relationship Id="rId4" Type="http://schemas.openxmlformats.org/officeDocument/2006/relationships/image" Target="../media/image1.png"/><Relationship Id="rId9" Type="http://schemas.openxmlformats.org/officeDocument/2006/relationships/chart" Target="../charts/chart8.xml"/><Relationship Id="rId14" Type="http://schemas.openxmlformats.org/officeDocument/2006/relationships/chart" Target="../charts/chart13.xml"/><Relationship Id="rId22" Type="http://schemas.openxmlformats.org/officeDocument/2006/relationships/chart" Target="../charts/chart20.xml"/><Relationship Id="rId27" Type="http://schemas.openxmlformats.org/officeDocument/2006/relationships/image" Target="../media/image3.png"/><Relationship Id="rId30" Type="http://schemas.openxmlformats.org/officeDocument/2006/relationships/chart" Target="../charts/chart27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0.xml"/><Relationship Id="rId7" Type="http://schemas.openxmlformats.org/officeDocument/2006/relationships/chart" Target="../charts/chart34.xml"/><Relationship Id="rId2" Type="http://schemas.openxmlformats.org/officeDocument/2006/relationships/chart" Target="../charts/chart29.xml"/><Relationship Id="rId1" Type="http://schemas.openxmlformats.org/officeDocument/2006/relationships/image" Target="../media/image4.png"/><Relationship Id="rId6" Type="http://schemas.openxmlformats.org/officeDocument/2006/relationships/chart" Target="../charts/chart33.xml"/><Relationship Id="rId5" Type="http://schemas.openxmlformats.org/officeDocument/2006/relationships/chart" Target="../charts/chart32.xml"/><Relationship Id="rId4" Type="http://schemas.openxmlformats.org/officeDocument/2006/relationships/chart" Target="../charts/chart31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1.xml"/><Relationship Id="rId13" Type="http://schemas.openxmlformats.org/officeDocument/2006/relationships/chart" Target="../charts/chart46.xml"/><Relationship Id="rId18" Type="http://schemas.openxmlformats.org/officeDocument/2006/relationships/image" Target="../media/image2.png"/><Relationship Id="rId26" Type="http://schemas.openxmlformats.org/officeDocument/2006/relationships/chart" Target="../charts/chart58.xml"/><Relationship Id="rId3" Type="http://schemas.openxmlformats.org/officeDocument/2006/relationships/image" Target="../media/image1.png"/><Relationship Id="rId21" Type="http://schemas.openxmlformats.org/officeDocument/2006/relationships/chart" Target="../charts/chart53.xml"/><Relationship Id="rId7" Type="http://schemas.openxmlformats.org/officeDocument/2006/relationships/chart" Target="../charts/chart40.xml"/><Relationship Id="rId12" Type="http://schemas.openxmlformats.org/officeDocument/2006/relationships/chart" Target="../charts/chart45.xml"/><Relationship Id="rId17" Type="http://schemas.openxmlformats.org/officeDocument/2006/relationships/chart" Target="../charts/chart50.xml"/><Relationship Id="rId25" Type="http://schemas.openxmlformats.org/officeDocument/2006/relationships/chart" Target="../charts/chart57.xml"/><Relationship Id="rId2" Type="http://schemas.openxmlformats.org/officeDocument/2006/relationships/chart" Target="../charts/chart36.xml"/><Relationship Id="rId16" Type="http://schemas.openxmlformats.org/officeDocument/2006/relationships/chart" Target="../charts/chart49.xml"/><Relationship Id="rId20" Type="http://schemas.openxmlformats.org/officeDocument/2006/relationships/chart" Target="../charts/chart52.xml"/><Relationship Id="rId29" Type="http://schemas.openxmlformats.org/officeDocument/2006/relationships/chart" Target="../charts/chart61.xml"/><Relationship Id="rId1" Type="http://schemas.openxmlformats.org/officeDocument/2006/relationships/chart" Target="../charts/chart35.xml"/><Relationship Id="rId6" Type="http://schemas.openxmlformats.org/officeDocument/2006/relationships/chart" Target="../charts/chart39.xml"/><Relationship Id="rId11" Type="http://schemas.openxmlformats.org/officeDocument/2006/relationships/chart" Target="../charts/chart44.xml"/><Relationship Id="rId24" Type="http://schemas.openxmlformats.org/officeDocument/2006/relationships/chart" Target="../charts/chart56.xml"/><Relationship Id="rId5" Type="http://schemas.openxmlformats.org/officeDocument/2006/relationships/chart" Target="../charts/chart38.xml"/><Relationship Id="rId15" Type="http://schemas.openxmlformats.org/officeDocument/2006/relationships/chart" Target="../charts/chart48.xml"/><Relationship Id="rId23" Type="http://schemas.openxmlformats.org/officeDocument/2006/relationships/chart" Target="../charts/chart55.xml"/><Relationship Id="rId28" Type="http://schemas.openxmlformats.org/officeDocument/2006/relationships/chart" Target="../charts/chart60.xml"/><Relationship Id="rId10" Type="http://schemas.openxmlformats.org/officeDocument/2006/relationships/chart" Target="../charts/chart43.xml"/><Relationship Id="rId19" Type="http://schemas.openxmlformats.org/officeDocument/2006/relationships/chart" Target="../charts/chart51.xml"/><Relationship Id="rId4" Type="http://schemas.openxmlformats.org/officeDocument/2006/relationships/chart" Target="../charts/chart37.xml"/><Relationship Id="rId9" Type="http://schemas.openxmlformats.org/officeDocument/2006/relationships/chart" Target="../charts/chart42.xml"/><Relationship Id="rId14" Type="http://schemas.openxmlformats.org/officeDocument/2006/relationships/chart" Target="../charts/chart47.xml"/><Relationship Id="rId22" Type="http://schemas.openxmlformats.org/officeDocument/2006/relationships/chart" Target="../charts/chart54.xml"/><Relationship Id="rId27" Type="http://schemas.openxmlformats.org/officeDocument/2006/relationships/chart" Target="../charts/chart59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68.xml"/><Relationship Id="rId13" Type="http://schemas.openxmlformats.org/officeDocument/2006/relationships/chart" Target="../charts/chart73.xml"/><Relationship Id="rId3" Type="http://schemas.openxmlformats.org/officeDocument/2006/relationships/chart" Target="../charts/chart64.xml"/><Relationship Id="rId7" Type="http://schemas.openxmlformats.org/officeDocument/2006/relationships/chart" Target="../charts/chart67.xml"/><Relationship Id="rId12" Type="http://schemas.openxmlformats.org/officeDocument/2006/relationships/chart" Target="../charts/chart72.xml"/><Relationship Id="rId2" Type="http://schemas.openxmlformats.org/officeDocument/2006/relationships/chart" Target="../charts/chart63.xml"/><Relationship Id="rId1" Type="http://schemas.openxmlformats.org/officeDocument/2006/relationships/chart" Target="../charts/chart62.xml"/><Relationship Id="rId6" Type="http://schemas.openxmlformats.org/officeDocument/2006/relationships/chart" Target="../charts/chart66.xml"/><Relationship Id="rId11" Type="http://schemas.openxmlformats.org/officeDocument/2006/relationships/chart" Target="../charts/chart71.xml"/><Relationship Id="rId5" Type="http://schemas.openxmlformats.org/officeDocument/2006/relationships/chart" Target="../charts/chart65.xml"/><Relationship Id="rId15" Type="http://schemas.openxmlformats.org/officeDocument/2006/relationships/chart" Target="../charts/chart75.xml"/><Relationship Id="rId10" Type="http://schemas.openxmlformats.org/officeDocument/2006/relationships/chart" Target="../charts/chart70.xml"/><Relationship Id="rId4" Type="http://schemas.openxmlformats.org/officeDocument/2006/relationships/image" Target="../media/image1.png"/><Relationship Id="rId9" Type="http://schemas.openxmlformats.org/officeDocument/2006/relationships/chart" Target="../charts/chart69.xml"/><Relationship Id="rId14" Type="http://schemas.openxmlformats.org/officeDocument/2006/relationships/chart" Target="../charts/chart7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651382</xdr:colOff>
      <xdr:row>49</xdr:row>
      <xdr:rowOff>6403</xdr:rowOff>
    </xdr:from>
    <xdr:to>
      <xdr:col>6</xdr:col>
      <xdr:colOff>1099560</xdr:colOff>
      <xdr:row>64</xdr:row>
      <xdr:rowOff>1689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595A73-8833-1EC2-FB61-005D03B8C6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162964</xdr:colOff>
      <xdr:row>49</xdr:row>
      <xdr:rowOff>76999</xdr:rowOff>
    </xdr:from>
    <xdr:to>
      <xdr:col>22</xdr:col>
      <xdr:colOff>679178</xdr:colOff>
      <xdr:row>64</xdr:row>
      <xdr:rowOff>72285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1BC6DC2-95A8-4F13-AC67-C5C6122F8B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31</xdr:col>
      <xdr:colOff>1175696</xdr:colOff>
      <xdr:row>49</xdr:row>
      <xdr:rowOff>96165</xdr:rowOff>
    </xdr:from>
    <xdr:to>
      <xdr:col>37</xdr:col>
      <xdr:colOff>576125</xdr:colOff>
      <xdr:row>64</xdr:row>
      <xdr:rowOff>91451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4FC006A-8689-4F38-8576-E357B1DBDA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20</xdr:col>
      <xdr:colOff>364671</xdr:colOff>
      <xdr:row>36</xdr:row>
      <xdr:rowOff>68036</xdr:rowOff>
    </xdr:from>
    <xdr:to>
      <xdr:col>25</xdr:col>
      <xdr:colOff>553903</xdr:colOff>
      <xdr:row>42</xdr:row>
      <xdr:rowOff>133350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6FE578F-8B1C-205C-A6C3-D0219DA74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852571" y="7040336"/>
          <a:ext cx="4277362" cy="1208314"/>
        </a:xfrm>
        <a:prstGeom prst="rect">
          <a:avLst/>
        </a:prstGeom>
      </xdr:spPr>
    </xdr:pic>
    <xdr:clientData/>
  </xdr:twoCellAnchor>
  <xdr:twoCellAnchor>
    <xdr:from>
      <xdr:col>6</xdr:col>
      <xdr:colOff>1171173</xdr:colOff>
      <xdr:row>49</xdr:row>
      <xdr:rowOff>5604</xdr:rowOff>
    </xdr:from>
    <xdr:to>
      <xdr:col>12</xdr:col>
      <xdr:colOff>721281</xdr:colOff>
      <xdr:row>64</xdr:row>
      <xdr:rowOff>890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09A0FE4-AEA9-41EF-898E-57E257C898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157682</xdr:colOff>
      <xdr:row>49</xdr:row>
      <xdr:rowOff>62433</xdr:rowOff>
    </xdr:from>
    <xdr:to>
      <xdr:col>28</xdr:col>
      <xdr:colOff>592254</xdr:colOff>
      <xdr:row>64</xdr:row>
      <xdr:rowOff>57719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060C730-A55F-495B-BA2E-C946D179F5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37</xdr:col>
      <xdr:colOff>532991</xdr:colOff>
      <xdr:row>49</xdr:row>
      <xdr:rowOff>106659</xdr:rowOff>
    </xdr:from>
    <xdr:to>
      <xdr:col>43</xdr:col>
      <xdr:colOff>232776</xdr:colOff>
      <xdr:row>64</xdr:row>
      <xdr:rowOff>101945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F06C8EF-B128-478A-BA5E-33291CF6A5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17809</xdr:colOff>
      <xdr:row>93</xdr:row>
      <xdr:rowOff>2672</xdr:rowOff>
    </xdr:from>
    <xdr:to>
      <xdr:col>6</xdr:col>
      <xdr:colOff>1128005</xdr:colOff>
      <xdr:row>107</xdr:row>
      <xdr:rowOff>58303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02EF1D7-D642-E0AD-280F-CEE85CB267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13</xdr:col>
      <xdr:colOff>126120</xdr:colOff>
      <xdr:row>93</xdr:row>
      <xdr:rowOff>2484</xdr:rowOff>
    </xdr:from>
    <xdr:to>
      <xdr:col>18</xdr:col>
      <xdr:colOff>341794</xdr:colOff>
      <xdr:row>107</xdr:row>
      <xdr:rowOff>58115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A58B042A-8190-4607-8B83-7376EBC2F7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24</xdr:col>
      <xdr:colOff>505385</xdr:colOff>
      <xdr:row>93</xdr:row>
      <xdr:rowOff>12325</xdr:rowOff>
    </xdr:from>
    <xdr:to>
      <xdr:col>29</xdr:col>
      <xdr:colOff>853581</xdr:colOff>
      <xdr:row>107</xdr:row>
      <xdr:rowOff>67956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EF377873-0495-4F43-9D0F-32E3C7B748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92</xdr:col>
      <xdr:colOff>589910</xdr:colOff>
      <xdr:row>62</xdr:row>
      <xdr:rowOff>161366</xdr:rowOff>
    </xdr:from>
    <xdr:to>
      <xdr:col>99</xdr:col>
      <xdr:colOff>316910</xdr:colOff>
      <xdr:row>77</xdr:row>
      <xdr:rowOff>117191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97A70034-D1C7-428D-9311-4285C0B21F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100</xdr:col>
      <xdr:colOff>609599</xdr:colOff>
      <xdr:row>62</xdr:row>
      <xdr:rowOff>174172</xdr:rowOff>
    </xdr:from>
    <xdr:to>
      <xdr:col>107</xdr:col>
      <xdr:colOff>250874</xdr:colOff>
      <xdr:row>77</xdr:row>
      <xdr:rowOff>129997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4219F77F-5A27-4FA2-B33E-395EA2CD89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107</xdr:col>
      <xdr:colOff>346895</xdr:colOff>
      <xdr:row>62</xdr:row>
      <xdr:rowOff>183483</xdr:rowOff>
    </xdr:from>
    <xdr:to>
      <xdr:col>114</xdr:col>
      <xdr:colOff>647879</xdr:colOff>
      <xdr:row>77</xdr:row>
      <xdr:rowOff>139308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1BD91C38-3B75-4CFA-A7C2-2CFFAC2C60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52</xdr:col>
      <xdr:colOff>228600</xdr:colOff>
      <xdr:row>59</xdr:row>
      <xdr:rowOff>179293</xdr:rowOff>
    </xdr:from>
    <xdr:to>
      <xdr:col>60</xdr:col>
      <xdr:colOff>31800</xdr:colOff>
      <xdr:row>75</xdr:row>
      <xdr:rowOff>29223</xdr:rowOff>
    </xdr:to>
    <xdr:graphicFrame macro="">
      <xdr:nvGraphicFramePr>
        <xdr:cNvPr id="55" name="Chart 54">
          <a:extLst>
            <a:ext uri="{FF2B5EF4-FFF2-40B4-BE49-F238E27FC236}">
              <a16:creationId xmlns:a16="http://schemas.microsoft.com/office/drawing/2014/main" id="{EA51D858-6AA4-4391-A34A-5F683E08FA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61</xdr:col>
      <xdr:colOff>5121</xdr:colOff>
      <xdr:row>60</xdr:row>
      <xdr:rowOff>52506</xdr:rowOff>
    </xdr:from>
    <xdr:to>
      <xdr:col>67</xdr:col>
      <xdr:colOff>91349</xdr:colOff>
      <xdr:row>75</xdr:row>
      <xdr:rowOff>156648</xdr:rowOff>
    </xdr:to>
    <xdr:graphicFrame macro="">
      <xdr:nvGraphicFramePr>
        <xdr:cNvPr id="56" name="Chart 55">
          <a:extLst>
            <a:ext uri="{FF2B5EF4-FFF2-40B4-BE49-F238E27FC236}">
              <a16:creationId xmlns:a16="http://schemas.microsoft.com/office/drawing/2014/main" id="{8B3BA89B-66C3-402B-B5FB-709A80E7C1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69</xdr:col>
      <xdr:colOff>121020</xdr:colOff>
      <xdr:row>59</xdr:row>
      <xdr:rowOff>179293</xdr:rowOff>
    </xdr:from>
    <xdr:to>
      <xdr:col>76</xdr:col>
      <xdr:colOff>131048</xdr:colOff>
      <xdr:row>75</xdr:row>
      <xdr:rowOff>98378</xdr:rowOff>
    </xdr:to>
    <xdr:graphicFrame macro="">
      <xdr:nvGraphicFramePr>
        <xdr:cNvPr id="57" name="Chart 56">
          <a:extLst>
            <a:ext uri="{FF2B5EF4-FFF2-40B4-BE49-F238E27FC236}">
              <a16:creationId xmlns:a16="http://schemas.microsoft.com/office/drawing/2014/main" id="{4A31C78F-6E60-4850-9463-5E2FB023DE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52</xdr:col>
      <xdr:colOff>259976</xdr:colOff>
      <xdr:row>76</xdr:row>
      <xdr:rowOff>71718</xdr:rowOff>
    </xdr:from>
    <xdr:to>
      <xdr:col>60</xdr:col>
      <xdr:colOff>63176</xdr:colOff>
      <xdr:row>91</xdr:row>
      <xdr:rowOff>154730</xdr:rowOff>
    </xdr:to>
    <xdr:graphicFrame macro="">
      <xdr:nvGraphicFramePr>
        <xdr:cNvPr id="59" name="Chart 58">
          <a:extLst>
            <a:ext uri="{FF2B5EF4-FFF2-40B4-BE49-F238E27FC236}">
              <a16:creationId xmlns:a16="http://schemas.microsoft.com/office/drawing/2014/main" id="{97A98E66-2B8F-4075-A460-C46BBC30D7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60</xdr:col>
      <xdr:colOff>873416</xdr:colOff>
      <xdr:row>76</xdr:row>
      <xdr:rowOff>144076</xdr:rowOff>
    </xdr:from>
    <xdr:to>
      <xdr:col>67</xdr:col>
      <xdr:colOff>67016</xdr:colOff>
      <xdr:row>92</xdr:row>
      <xdr:rowOff>19619</xdr:rowOff>
    </xdr:to>
    <xdr:graphicFrame macro="">
      <xdr:nvGraphicFramePr>
        <xdr:cNvPr id="60" name="Chart 59">
          <a:extLst>
            <a:ext uri="{FF2B5EF4-FFF2-40B4-BE49-F238E27FC236}">
              <a16:creationId xmlns:a16="http://schemas.microsoft.com/office/drawing/2014/main" id="{8609576E-E1C3-4C29-A26F-7D585E76DB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69</xdr:col>
      <xdr:colOff>89646</xdr:colOff>
      <xdr:row>76</xdr:row>
      <xdr:rowOff>80682</xdr:rowOff>
    </xdr:from>
    <xdr:to>
      <xdr:col>76</xdr:col>
      <xdr:colOff>99674</xdr:colOff>
      <xdr:row>91</xdr:row>
      <xdr:rowOff>141282</xdr:rowOff>
    </xdr:to>
    <xdr:graphicFrame macro="">
      <xdr:nvGraphicFramePr>
        <xdr:cNvPr id="61" name="Chart 60">
          <a:extLst>
            <a:ext uri="{FF2B5EF4-FFF2-40B4-BE49-F238E27FC236}">
              <a16:creationId xmlns:a16="http://schemas.microsoft.com/office/drawing/2014/main" id="{1406AA8F-EFF2-45C0-B268-7C90006862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 editAs="oneCell">
    <xdr:from>
      <xdr:col>74</xdr:col>
      <xdr:colOff>228601</xdr:colOff>
      <xdr:row>41</xdr:row>
      <xdr:rowOff>16327</xdr:rowOff>
    </xdr:from>
    <xdr:to>
      <xdr:col>80</xdr:col>
      <xdr:colOff>440327</xdr:colOff>
      <xdr:row>60</xdr:row>
      <xdr:rowOff>56091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75AEAF1E-72AD-F6FE-AA69-4E94E79EE7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9131201" y="29810527"/>
          <a:ext cx="3861707" cy="3034424"/>
        </a:xfrm>
        <a:prstGeom prst="rect">
          <a:avLst/>
        </a:prstGeom>
      </xdr:spPr>
    </xdr:pic>
    <xdr:clientData/>
  </xdr:twoCellAnchor>
  <xdr:twoCellAnchor>
    <xdr:from>
      <xdr:col>13</xdr:col>
      <xdr:colOff>770964</xdr:colOff>
      <xdr:row>116</xdr:row>
      <xdr:rowOff>124610</xdr:rowOff>
    </xdr:from>
    <xdr:to>
      <xdr:col>19</xdr:col>
      <xdr:colOff>199790</xdr:colOff>
      <xdr:row>131</xdr:row>
      <xdr:rowOff>105697</xdr:rowOff>
    </xdr:to>
    <xdr:graphicFrame macro="">
      <xdr:nvGraphicFramePr>
        <xdr:cNvPr id="66" name="Chart 65">
          <a:extLst>
            <a:ext uri="{FF2B5EF4-FFF2-40B4-BE49-F238E27FC236}">
              <a16:creationId xmlns:a16="http://schemas.microsoft.com/office/drawing/2014/main" id="{C995BF2D-9C37-4531-95D4-3F16960E96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19</xdr:col>
      <xdr:colOff>860612</xdr:colOff>
      <xdr:row>116</xdr:row>
      <xdr:rowOff>161364</xdr:rowOff>
    </xdr:from>
    <xdr:to>
      <xdr:col>26</xdr:col>
      <xdr:colOff>108897</xdr:colOff>
      <xdr:row>132</xdr:row>
      <xdr:rowOff>111697</xdr:rowOff>
    </xdr:to>
    <xdr:graphicFrame macro="">
      <xdr:nvGraphicFramePr>
        <xdr:cNvPr id="67" name="Chart 66">
          <a:extLst>
            <a:ext uri="{FF2B5EF4-FFF2-40B4-BE49-F238E27FC236}">
              <a16:creationId xmlns:a16="http://schemas.microsoft.com/office/drawing/2014/main" id="{D75F6DE6-1DDD-4043-980A-1D18E48BB8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7</xdr:col>
      <xdr:colOff>54035</xdr:colOff>
      <xdr:row>93</xdr:row>
      <xdr:rowOff>9351</xdr:rowOff>
    </xdr:from>
    <xdr:to>
      <xdr:col>12</xdr:col>
      <xdr:colOff>791513</xdr:colOff>
      <xdr:row>107</xdr:row>
      <xdr:rowOff>64982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3813DD12-9856-4801-98E9-FCCDEFD259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18</xdr:col>
      <xdr:colOff>627530</xdr:colOff>
      <xdr:row>93</xdr:row>
      <xdr:rowOff>53787</xdr:rowOff>
    </xdr:from>
    <xdr:to>
      <xdr:col>24</xdr:col>
      <xdr:colOff>478769</xdr:colOff>
      <xdr:row>107</xdr:row>
      <xdr:rowOff>109418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69920D4-4227-4F81-8185-0A100C8769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29</xdr:col>
      <xdr:colOff>860610</xdr:colOff>
      <xdr:row>93</xdr:row>
      <xdr:rowOff>26892</xdr:rowOff>
    </xdr:from>
    <xdr:to>
      <xdr:col>35</xdr:col>
      <xdr:colOff>239740</xdr:colOff>
      <xdr:row>107</xdr:row>
      <xdr:rowOff>82523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1523138D-AC23-4228-BF34-DAF3DF5BF8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114</xdr:col>
      <xdr:colOff>704580</xdr:colOff>
      <xdr:row>63</xdr:row>
      <xdr:rowOff>9550</xdr:rowOff>
    </xdr:from>
    <xdr:to>
      <xdr:col>122</xdr:col>
      <xdr:colOff>289948</xdr:colOff>
      <xdr:row>77</xdr:row>
      <xdr:rowOff>155875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B1E9D284-801E-4519-B041-C0D67AFB1D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 editAs="oneCell">
    <xdr:from>
      <xdr:col>34</xdr:col>
      <xdr:colOff>457200</xdr:colOff>
      <xdr:row>0</xdr:row>
      <xdr:rowOff>0</xdr:rowOff>
    </xdr:from>
    <xdr:to>
      <xdr:col>101</xdr:col>
      <xdr:colOff>694597</xdr:colOff>
      <xdr:row>31</xdr:row>
      <xdr:rowOff>53601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93628056-718B-1085-9BDA-1B6A826CF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0226000" y="0"/>
          <a:ext cx="48530349" cy="6377649"/>
        </a:xfrm>
        <a:prstGeom prst="rect">
          <a:avLst/>
        </a:prstGeom>
      </xdr:spPr>
    </xdr:pic>
    <xdr:clientData/>
  </xdr:twoCellAnchor>
  <xdr:twoCellAnchor>
    <xdr:from>
      <xdr:col>76</xdr:col>
      <xdr:colOff>478972</xdr:colOff>
      <xdr:row>60</xdr:row>
      <xdr:rowOff>163285</xdr:rowOff>
    </xdr:from>
    <xdr:to>
      <xdr:col>84</xdr:col>
      <xdr:colOff>434572</xdr:colOff>
      <xdr:row>75</xdr:row>
      <xdr:rowOff>147685</xdr:rowOff>
    </xdr:to>
    <xdr:graphicFrame macro="">
      <xdr:nvGraphicFramePr>
        <xdr:cNvPr id="3" name="Chart 54">
          <a:extLst>
            <a:ext uri="{FF2B5EF4-FFF2-40B4-BE49-F238E27FC236}">
              <a16:creationId xmlns:a16="http://schemas.microsoft.com/office/drawing/2014/main" id="{90723132-0954-40CC-B5D5-429CCD184F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76</xdr:col>
      <xdr:colOff>526471</xdr:colOff>
      <xdr:row>76</xdr:row>
      <xdr:rowOff>166254</xdr:rowOff>
    </xdr:from>
    <xdr:to>
      <xdr:col>84</xdr:col>
      <xdr:colOff>482071</xdr:colOff>
      <xdr:row>91</xdr:row>
      <xdr:rowOff>64929</xdr:rowOff>
    </xdr:to>
    <xdr:graphicFrame macro="">
      <xdr:nvGraphicFramePr>
        <xdr:cNvPr id="19" name="Chart 60">
          <a:extLst>
            <a:ext uri="{FF2B5EF4-FFF2-40B4-BE49-F238E27FC236}">
              <a16:creationId xmlns:a16="http://schemas.microsoft.com/office/drawing/2014/main" id="{B855B1DA-2560-4A52-95BD-6F108CE065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29</xdr:col>
      <xdr:colOff>128650</xdr:colOff>
      <xdr:row>66</xdr:row>
      <xdr:rowOff>99950</xdr:rowOff>
    </xdr:from>
    <xdr:to>
      <xdr:col>34</xdr:col>
      <xdr:colOff>286346</xdr:colOff>
      <xdr:row>81</xdr:row>
      <xdr:rowOff>64472</xdr:rowOff>
    </xdr:to>
    <xdr:graphicFrame macro="">
      <xdr:nvGraphicFramePr>
        <xdr:cNvPr id="22" name="Chart 1">
          <a:extLst>
            <a:ext uri="{FF2B5EF4-FFF2-40B4-BE49-F238E27FC236}">
              <a16:creationId xmlns:a16="http://schemas.microsoft.com/office/drawing/2014/main" id="{C2713BA4-5D22-41BA-A9F0-8132017CFE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35</xdr:col>
      <xdr:colOff>140232</xdr:colOff>
      <xdr:row>73</xdr:row>
      <xdr:rowOff>156244</xdr:rowOff>
    </xdr:from>
    <xdr:to>
      <xdr:col>40</xdr:col>
      <xdr:colOff>670645</xdr:colOff>
      <xdr:row>88</xdr:row>
      <xdr:rowOff>62787</xdr:rowOff>
    </xdr:to>
    <xdr:graphicFrame macro="">
      <xdr:nvGraphicFramePr>
        <xdr:cNvPr id="23" name="Chart 6">
          <a:extLst>
            <a:ext uri="{FF2B5EF4-FFF2-40B4-BE49-F238E27FC236}">
              <a16:creationId xmlns:a16="http://schemas.microsoft.com/office/drawing/2014/main" id="{BF97E2DF-FB62-443D-A1DA-52C0FD5B5E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472523</xdr:colOff>
      <xdr:row>19</xdr:row>
      <xdr:rowOff>9525</xdr:rowOff>
    </xdr:from>
    <xdr:to>
      <xdr:col>15</xdr:col>
      <xdr:colOff>196</xdr:colOff>
      <xdr:row>23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3CF588-FB28-538F-D099-5FE2CB8342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59123" y="3657600"/>
          <a:ext cx="2118473" cy="96202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21</xdr:col>
      <xdr:colOff>421005</xdr:colOff>
      <xdr:row>30</xdr:row>
      <xdr:rowOff>76200</xdr:rowOff>
    </xdr:from>
    <xdr:to>
      <xdr:col>28</xdr:col>
      <xdr:colOff>548055</xdr:colOff>
      <xdr:row>45</xdr:row>
      <xdr:rowOff>70125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7A20D83-6499-6D2D-C79B-B05E5C34D2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47625</xdr:colOff>
      <xdr:row>34</xdr:row>
      <xdr:rowOff>186689</xdr:rowOff>
    </xdr:from>
    <xdr:to>
      <xdr:col>18</xdr:col>
      <xdr:colOff>288975</xdr:colOff>
      <xdr:row>50</xdr:row>
      <xdr:rowOff>18689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C89A4C8-C5F5-DA93-E2DF-F6E0536F45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33</xdr:col>
      <xdr:colOff>366973</xdr:colOff>
      <xdr:row>21</xdr:row>
      <xdr:rowOff>106680</xdr:rowOff>
    </xdr:from>
    <xdr:to>
      <xdr:col>41</xdr:col>
      <xdr:colOff>481273</xdr:colOff>
      <xdr:row>36</xdr:row>
      <xdr:rowOff>26670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D35C035-8DA5-48A7-BB5B-00F6C7E6F1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0</xdr:colOff>
      <xdr:row>50</xdr:row>
      <xdr:rowOff>145472</xdr:rowOff>
    </xdr:from>
    <xdr:to>
      <xdr:col>18</xdr:col>
      <xdr:colOff>241350</xdr:colOff>
      <xdr:row>65</xdr:row>
      <xdr:rowOff>167972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5CF4C82-D93D-4E4B-AD36-39316EED94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33</xdr:col>
      <xdr:colOff>434340</xdr:colOff>
      <xdr:row>36</xdr:row>
      <xdr:rowOff>137160</xdr:rowOff>
    </xdr:from>
    <xdr:to>
      <xdr:col>41</xdr:col>
      <xdr:colOff>548640</xdr:colOff>
      <xdr:row>51</xdr:row>
      <xdr:rowOff>137160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883A1B7-618E-41E2-8205-8E07B02D13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21</xdr:col>
      <xdr:colOff>406854</xdr:colOff>
      <xdr:row>45</xdr:row>
      <xdr:rowOff>126547</xdr:rowOff>
    </xdr:from>
    <xdr:to>
      <xdr:col>28</xdr:col>
      <xdr:colOff>533904</xdr:colOff>
      <xdr:row>60</xdr:row>
      <xdr:rowOff>149047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469428E-455B-4497-859B-ABA7786B45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702753</xdr:colOff>
      <xdr:row>44</xdr:row>
      <xdr:rowOff>110839</xdr:rowOff>
    </xdr:from>
    <xdr:to>
      <xdr:col>25</xdr:col>
      <xdr:colOff>365977</xdr:colOff>
      <xdr:row>59</xdr:row>
      <xdr:rowOff>94410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609056C-8BAC-4477-9906-FD92E4DE52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35</xdr:col>
      <xdr:colOff>482970</xdr:colOff>
      <xdr:row>47</xdr:row>
      <xdr:rowOff>179293</xdr:rowOff>
    </xdr:from>
    <xdr:to>
      <xdr:col>41</xdr:col>
      <xdr:colOff>420</xdr:colOff>
      <xdr:row>62</xdr:row>
      <xdr:rowOff>182743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5CE4B77-6AF5-4038-A255-2BF819D8A3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26</xdr:col>
      <xdr:colOff>402771</xdr:colOff>
      <xdr:row>35</xdr:row>
      <xdr:rowOff>10886</xdr:rowOff>
    </xdr:from>
    <xdr:to>
      <xdr:col>31</xdr:col>
      <xdr:colOff>263996</xdr:colOff>
      <xdr:row>41</xdr:row>
      <xdr:rowOff>76201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555B963-CB5D-4DED-AC22-F64F06A8E3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999131" y="6922226"/>
          <a:ext cx="4277362" cy="1170214"/>
        </a:xfrm>
        <a:prstGeom prst="rect">
          <a:avLst/>
        </a:prstGeom>
      </xdr:spPr>
    </xdr:pic>
    <xdr:clientData/>
  </xdr:twoCellAnchor>
  <xdr:twoCellAnchor>
    <xdr:from>
      <xdr:col>26</xdr:col>
      <xdr:colOff>661146</xdr:colOff>
      <xdr:row>47</xdr:row>
      <xdr:rowOff>89647</xdr:rowOff>
    </xdr:from>
    <xdr:to>
      <xdr:col>31</xdr:col>
      <xdr:colOff>921546</xdr:colOff>
      <xdr:row>62</xdr:row>
      <xdr:rowOff>93097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848FEE9-7FE1-4F18-A2B9-78831AD203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42</xdr:col>
      <xdr:colOff>89646</xdr:colOff>
      <xdr:row>47</xdr:row>
      <xdr:rowOff>175932</xdr:rowOff>
    </xdr:from>
    <xdr:to>
      <xdr:col>48</xdr:col>
      <xdr:colOff>407196</xdr:colOff>
      <xdr:row>62</xdr:row>
      <xdr:rowOff>179382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2BCBC92-54B8-4CA3-B645-27F4B11C67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605874</xdr:colOff>
      <xdr:row>91</xdr:row>
      <xdr:rowOff>83593</xdr:rowOff>
    </xdr:from>
    <xdr:to>
      <xdr:col>6</xdr:col>
      <xdr:colOff>1060238</xdr:colOff>
      <xdr:row>107</xdr:row>
      <xdr:rowOff>27244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DD3F325-FA30-43AD-B94D-87F0F1561E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33842</xdr:colOff>
      <xdr:row>86</xdr:row>
      <xdr:rowOff>15240</xdr:rowOff>
    </xdr:from>
    <xdr:to>
      <xdr:col>25</xdr:col>
      <xdr:colOff>693869</xdr:colOff>
      <xdr:row>101</xdr:row>
      <xdr:rowOff>171674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2ED4D6E-215F-4E13-AD51-5096EAC173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35</xdr:col>
      <xdr:colOff>702609</xdr:colOff>
      <xdr:row>101</xdr:row>
      <xdr:rowOff>21291</xdr:rowOff>
    </xdr:from>
    <xdr:to>
      <xdr:col>41</xdr:col>
      <xdr:colOff>220059</xdr:colOff>
      <xdr:row>116</xdr:row>
      <xdr:rowOff>58358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4466AD33-6291-42C6-A6C4-9CB0C2CE38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111</xdr:col>
      <xdr:colOff>608960</xdr:colOff>
      <xdr:row>59</xdr:row>
      <xdr:rowOff>161366</xdr:rowOff>
    </xdr:from>
    <xdr:to>
      <xdr:col>118</xdr:col>
      <xdr:colOff>526460</xdr:colOff>
      <xdr:row>74</xdr:row>
      <xdr:rowOff>180344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AEB2673-6AA2-4FDD-8184-EE859A87F6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119</xdr:col>
      <xdr:colOff>609599</xdr:colOff>
      <xdr:row>59</xdr:row>
      <xdr:rowOff>174172</xdr:rowOff>
    </xdr:from>
    <xdr:to>
      <xdr:col>127</xdr:col>
      <xdr:colOff>412799</xdr:colOff>
      <xdr:row>75</xdr:row>
      <xdr:rowOff>18979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8DB3A15C-E83D-46ED-B820-08061EC8E5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128</xdr:col>
      <xdr:colOff>313764</xdr:colOff>
      <xdr:row>59</xdr:row>
      <xdr:rowOff>125505</xdr:rowOff>
    </xdr:from>
    <xdr:to>
      <xdr:col>136</xdr:col>
      <xdr:colOff>116964</xdr:colOff>
      <xdr:row>74</xdr:row>
      <xdr:rowOff>136799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92F136C3-4BC7-4C5F-AF4C-7D97348B0D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71</xdr:col>
      <xdr:colOff>228600</xdr:colOff>
      <xdr:row>56</xdr:row>
      <xdr:rowOff>179293</xdr:rowOff>
    </xdr:from>
    <xdr:to>
      <xdr:col>79</xdr:col>
      <xdr:colOff>31800</xdr:colOff>
      <xdr:row>72</xdr:row>
      <xdr:rowOff>29223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B5DF53A7-F863-4781-8CAF-8A2FC4514F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80</xdr:col>
      <xdr:colOff>11206</xdr:colOff>
      <xdr:row>57</xdr:row>
      <xdr:rowOff>48920</xdr:rowOff>
    </xdr:from>
    <xdr:to>
      <xdr:col>87</xdr:col>
      <xdr:colOff>446129</xdr:colOff>
      <xdr:row>72</xdr:row>
      <xdr:rowOff>147347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E7C6B329-D65C-4D01-B7A0-E06F4F417B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88</xdr:col>
      <xdr:colOff>121020</xdr:colOff>
      <xdr:row>56</xdr:row>
      <xdr:rowOff>179293</xdr:rowOff>
    </xdr:from>
    <xdr:to>
      <xdr:col>95</xdr:col>
      <xdr:colOff>131048</xdr:colOff>
      <xdr:row>72</xdr:row>
      <xdr:rowOff>98378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63B92CC9-28FD-49BD-A59E-B3286AD3CD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71</xdr:col>
      <xdr:colOff>259976</xdr:colOff>
      <xdr:row>73</xdr:row>
      <xdr:rowOff>71718</xdr:rowOff>
    </xdr:from>
    <xdr:to>
      <xdr:col>79</xdr:col>
      <xdr:colOff>63176</xdr:colOff>
      <xdr:row>88</xdr:row>
      <xdr:rowOff>154730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FC9A0A93-2806-4688-B67A-6CF0DB3067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79</xdr:col>
      <xdr:colOff>454316</xdr:colOff>
      <xdr:row>73</xdr:row>
      <xdr:rowOff>188900</xdr:rowOff>
    </xdr:from>
    <xdr:to>
      <xdr:col>87</xdr:col>
      <xdr:colOff>0</xdr:colOff>
      <xdr:row>89</xdr:row>
      <xdr:rowOff>64443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534C9F7E-CD4D-40CF-BD21-55B0AB5667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88</xdr:col>
      <xdr:colOff>89646</xdr:colOff>
      <xdr:row>73</xdr:row>
      <xdr:rowOff>80682</xdr:rowOff>
    </xdr:from>
    <xdr:to>
      <xdr:col>95</xdr:col>
      <xdr:colOff>99674</xdr:colOff>
      <xdr:row>88</xdr:row>
      <xdr:rowOff>141282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9CB17AF7-E1FF-4852-B426-3BAB56DF7D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 editAs="oneCell">
    <xdr:from>
      <xdr:col>93</xdr:col>
      <xdr:colOff>228601</xdr:colOff>
      <xdr:row>38</xdr:row>
      <xdr:rowOff>16327</xdr:rowOff>
    </xdr:from>
    <xdr:to>
      <xdr:col>98</xdr:col>
      <xdr:colOff>440329</xdr:colOff>
      <xdr:row>57</xdr:row>
      <xdr:rowOff>56091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C277D955-6666-485D-B3C5-E607CDD4DF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9984641" y="7666807"/>
          <a:ext cx="3861707" cy="3552584"/>
        </a:xfrm>
        <a:prstGeom prst="rect">
          <a:avLst/>
        </a:prstGeom>
      </xdr:spPr>
    </xdr:pic>
    <xdr:clientData/>
  </xdr:twoCellAnchor>
  <xdr:twoCellAnchor>
    <xdr:from>
      <xdr:col>13</xdr:col>
      <xdr:colOff>770964</xdr:colOff>
      <xdr:row>114</xdr:row>
      <xdr:rowOff>170330</xdr:rowOff>
    </xdr:from>
    <xdr:to>
      <xdr:col>19</xdr:col>
      <xdr:colOff>476448</xdr:colOff>
      <xdr:row>130</xdr:row>
      <xdr:rowOff>120663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012494EB-8C5B-497E-B5BD-659952C550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7</xdr:col>
      <xdr:colOff>354777</xdr:colOff>
      <xdr:row>91</xdr:row>
      <xdr:rowOff>40576</xdr:rowOff>
    </xdr:from>
    <xdr:to>
      <xdr:col>13</xdr:col>
      <xdr:colOff>19431</xdr:colOff>
      <xdr:row>106</xdr:row>
      <xdr:rowOff>163521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EEB65499-94A1-4F05-92E3-5E218CDD24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26</xdr:col>
      <xdr:colOff>0</xdr:colOff>
      <xdr:row>86</xdr:row>
      <xdr:rowOff>0</xdr:rowOff>
    </xdr:from>
    <xdr:to>
      <xdr:col>31</xdr:col>
      <xdr:colOff>260400</xdr:colOff>
      <xdr:row>101</xdr:row>
      <xdr:rowOff>22500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9E53B0A8-C91E-4613-968B-1BBDDAAB00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41</xdr:col>
      <xdr:colOff>779929</xdr:colOff>
      <xdr:row>101</xdr:row>
      <xdr:rowOff>0</xdr:rowOff>
    </xdr:from>
    <xdr:to>
      <xdr:col>47</xdr:col>
      <xdr:colOff>754579</xdr:colOff>
      <xdr:row>116</xdr:row>
      <xdr:rowOff>37067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E6D81D5D-4664-4CCD-ACAC-348E99E29E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136</xdr:col>
      <xdr:colOff>600635</xdr:colOff>
      <xdr:row>59</xdr:row>
      <xdr:rowOff>125506</xdr:rowOff>
    </xdr:from>
    <xdr:to>
      <xdr:col>144</xdr:col>
      <xdr:colOff>511411</xdr:colOff>
      <xdr:row>74</xdr:row>
      <xdr:rowOff>136800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8E77062E-74CE-4FEF-A360-BB5FD8BB58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</xdr:col>
      <xdr:colOff>547254</xdr:colOff>
      <xdr:row>44</xdr:row>
      <xdr:rowOff>145473</xdr:rowOff>
    </xdr:from>
    <xdr:to>
      <xdr:col>6</xdr:col>
      <xdr:colOff>768927</xdr:colOff>
      <xdr:row>59</xdr:row>
      <xdr:rowOff>159327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F74F23A6-DE67-9372-034E-94D32C3EC8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6</xdr:col>
      <xdr:colOff>1083101</xdr:colOff>
      <xdr:row>44</xdr:row>
      <xdr:rowOff>119482</xdr:rowOff>
    </xdr:from>
    <xdr:to>
      <xdr:col>12</xdr:col>
      <xdr:colOff>418083</xdr:colOff>
      <xdr:row>59</xdr:row>
      <xdr:rowOff>133336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869A3008-C9A5-4F68-B680-E0F6D5E160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20</xdr:col>
      <xdr:colOff>0</xdr:colOff>
      <xdr:row>115</xdr:row>
      <xdr:rowOff>0</xdr:rowOff>
    </xdr:from>
    <xdr:to>
      <xdr:col>26</xdr:col>
      <xdr:colOff>56667</xdr:colOff>
      <xdr:row>130</xdr:row>
      <xdr:rowOff>135863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9629828-6CE4-4173-9232-2C30F2F2D5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96</xdr:col>
      <xdr:colOff>652561</xdr:colOff>
      <xdr:row>58</xdr:row>
      <xdr:rowOff>4759</xdr:rowOff>
    </xdr:from>
    <xdr:to>
      <xdr:col>102</xdr:col>
      <xdr:colOff>1127669</xdr:colOff>
      <xdr:row>72</xdr:row>
      <xdr:rowOff>193984</xdr:rowOff>
    </xdr:to>
    <xdr:graphicFrame macro="">
      <xdr:nvGraphicFramePr>
        <xdr:cNvPr id="2" name="Chart 14">
          <a:extLst>
            <a:ext uri="{FF2B5EF4-FFF2-40B4-BE49-F238E27FC236}">
              <a16:creationId xmlns:a16="http://schemas.microsoft.com/office/drawing/2014/main" id="{7B3A611B-50BB-4249-83A2-5893A0D656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95</xdr:col>
      <xdr:colOff>614855</xdr:colOff>
      <xdr:row>74</xdr:row>
      <xdr:rowOff>0</xdr:rowOff>
    </xdr:from>
    <xdr:to>
      <xdr:col>103</xdr:col>
      <xdr:colOff>173421</xdr:colOff>
      <xdr:row>89</xdr:row>
      <xdr:rowOff>109906</xdr:rowOff>
    </xdr:to>
    <xdr:graphicFrame macro="">
      <xdr:nvGraphicFramePr>
        <xdr:cNvPr id="23" name="Chart 17">
          <a:extLst>
            <a:ext uri="{FF2B5EF4-FFF2-40B4-BE49-F238E27FC236}">
              <a16:creationId xmlns:a16="http://schemas.microsoft.com/office/drawing/2014/main" id="{F65F1F1F-D3AD-4DCD-8E6B-3CF15A848E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29</xdr:col>
      <xdr:colOff>108857</xdr:colOff>
      <xdr:row>65</xdr:row>
      <xdr:rowOff>130629</xdr:rowOff>
    </xdr:from>
    <xdr:to>
      <xdr:col>34</xdr:col>
      <xdr:colOff>25730</xdr:colOff>
      <xdr:row>79</xdr:row>
      <xdr:rowOff>166254</xdr:rowOff>
    </xdr:to>
    <xdr:graphicFrame macro="">
      <xdr:nvGraphicFramePr>
        <xdr:cNvPr id="28" name="Chart 28">
          <a:extLst>
            <a:ext uri="{FF2B5EF4-FFF2-40B4-BE49-F238E27FC236}">
              <a16:creationId xmlns:a16="http://schemas.microsoft.com/office/drawing/2014/main" id="{335063B1-D8CE-4CE3-A7F2-B53FAB3AAE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228601</xdr:colOff>
      <xdr:row>49</xdr:row>
      <xdr:rowOff>179293</xdr:rowOff>
    </xdr:from>
    <xdr:to>
      <xdr:col>6</xdr:col>
      <xdr:colOff>722083</xdr:colOff>
      <xdr:row>66</xdr:row>
      <xdr:rowOff>11293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4651A7-CFE3-4A57-A0B2-70B18D7B89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560293</xdr:colOff>
      <xdr:row>50</xdr:row>
      <xdr:rowOff>8963</xdr:rowOff>
    </xdr:from>
    <xdr:to>
      <xdr:col>14</xdr:col>
      <xdr:colOff>775870</xdr:colOff>
      <xdr:row>66</xdr:row>
      <xdr:rowOff>20257</xdr:rowOff>
    </xdr:to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A81223FA-2C17-4FEA-B286-5712FA9F33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121021</xdr:colOff>
      <xdr:row>49</xdr:row>
      <xdr:rowOff>179293</xdr:rowOff>
    </xdr:from>
    <xdr:to>
      <xdr:col>23</xdr:col>
      <xdr:colOff>542786</xdr:colOff>
      <xdr:row>66</xdr:row>
      <xdr:rowOff>11293</xdr:rowOff>
    </xdr:to>
    <xdr:graphicFrame macro="">
      <xdr:nvGraphicFramePr>
        <xdr:cNvPr id="4" name="Chart 4">
          <a:extLst>
            <a:ext uri="{FF2B5EF4-FFF2-40B4-BE49-F238E27FC236}">
              <a16:creationId xmlns:a16="http://schemas.microsoft.com/office/drawing/2014/main" id="{27C19823-444E-424C-864A-9DC241B292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17</xdr:col>
      <xdr:colOff>402771</xdr:colOff>
      <xdr:row>37</xdr:row>
      <xdr:rowOff>10886</xdr:rowOff>
    </xdr:from>
    <xdr:to>
      <xdr:col>23</xdr:col>
      <xdr:colOff>109095</xdr:colOff>
      <xdr:row>43</xdr:row>
      <xdr:rowOff>152400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B4C972D4-F584-4554-80CF-C57EF92B25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33071" y="6914606"/>
          <a:ext cx="4270704" cy="1238794"/>
        </a:xfrm>
        <a:prstGeom prst="rect">
          <a:avLst/>
        </a:prstGeom>
      </xdr:spPr>
    </xdr:pic>
    <xdr:clientData/>
  </xdr:twoCellAnchor>
  <xdr:twoCellAnchor>
    <xdr:from>
      <xdr:col>0</xdr:col>
      <xdr:colOff>259977</xdr:colOff>
      <xdr:row>66</xdr:row>
      <xdr:rowOff>71718</xdr:rowOff>
    </xdr:from>
    <xdr:to>
      <xdr:col>6</xdr:col>
      <xdr:colOff>753459</xdr:colOff>
      <xdr:row>82</xdr:row>
      <xdr:rowOff>83012</xdr:rowOff>
    </xdr:to>
    <xdr:graphicFrame macro="">
      <xdr:nvGraphicFramePr>
        <xdr:cNvPr id="6" name="Chart 6">
          <a:extLst>
            <a:ext uri="{FF2B5EF4-FFF2-40B4-BE49-F238E27FC236}">
              <a16:creationId xmlns:a16="http://schemas.microsoft.com/office/drawing/2014/main" id="{86791C98-92DB-452B-8A2E-EE505CFEA7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550656</xdr:colOff>
      <xdr:row>66</xdr:row>
      <xdr:rowOff>93457</xdr:rowOff>
    </xdr:from>
    <xdr:to>
      <xdr:col>14</xdr:col>
      <xdr:colOff>762423</xdr:colOff>
      <xdr:row>82</xdr:row>
      <xdr:rowOff>97131</xdr:rowOff>
    </xdr:to>
    <xdr:graphicFrame macro="">
      <xdr:nvGraphicFramePr>
        <xdr:cNvPr id="7" name="Chart 7">
          <a:extLst>
            <a:ext uri="{FF2B5EF4-FFF2-40B4-BE49-F238E27FC236}">
              <a16:creationId xmlns:a16="http://schemas.microsoft.com/office/drawing/2014/main" id="{172BE354-29F1-404A-89CF-85DDFB64AF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89647</xdr:colOff>
      <xdr:row>66</xdr:row>
      <xdr:rowOff>80682</xdr:rowOff>
    </xdr:from>
    <xdr:to>
      <xdr:col>23</xdr:col>
      <xdr:colOff>511412</xdr:colOff>
      <xdr:row>82</xdr:row>
      <xdr:rowOff>91976</xdr:rowOff>
    </xdr:to>
    <xdr:graphicFrame macro="">
      <xdr:nvGraphicFramePr>
        <xdr:cNvPr id="8" name="Chart 8">
          <a:extLst>
            <a:ext uri="{FF2B5EF4-FFF2-40B4-BE49-F238E27FC236}">
              <a16:creationId xmlns:a16="http://schemas.microsoft.com/office/drawing/2014/main" id="{2D55CF12-E6E8-4583-AD8E-6A19C65067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273423</xdr:colOff>
      <xdr:row>82</xdr:row>
      <xdr:rowOff>170330</xdr:rowOff>
    </xdr:from>
    <xdr:to>
      <xdr:col>6</xdr:col>
      <xdr:colOff>658905</xdr:colOff>
      <xdr:row>98</xdr:row>
      <xdr:rowOff>44824</xdr:rowOff>
    </xdr:to>
    <xdr:graphicFrame macro="">
      <xdr:nvGraphicFramePr>
        <xdr:cNvPr id="9" name="Chart 10">
          <a:extLst>
            <a:ext uri="{FF2B5EF4-FFF2-40B4-BE49-F238E27FC236}">
              <a16:creationId xmlns:a16="http://schemas.microsoft.com/office/drawing/2014/main" id="{F0B34B9F-60D1-4DD8-B3BD-D5B1061679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555812</xdr:colOff>
      <xdr:row>83</xdr:row>
      <xdr:rowOff>152400</xdr:rowOff>
    </xdr:from>
    <xdr:to>
      <xdr:col>14</xdr:col>
      <xdr:colOff>663389</xdr:colOff>
      <xdr:row>99</xdr:row>
      <xdr:rowOff>26894</xdr:rowOff>
    </xdr:to>
    <xdr:graphicFrame macro="">
      <xdr:nvGraphicFramePr>
        <xdr:cNvPr id="10" name="Chart 11">
          <a:extLst>
            <a:ext uri="{FF2B5EF4-FFF2-40B4-BE49-F238E27FC236}">
              <a16:creationId xmlns:a16="http://schemas.microsoft.com/office/drawing/2014/main" id="{DEB0020F-9C3C-4A03-AD74-6E0559B2A6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17</xdr:col>
      <xdr:colOff>0</xdr:colOff>
      <xdr:row>84</xdr:row>
      <xdr:rowOff>0</xdr:rowOff>
    </xdr:from>
    <xdr:to>
      <xdr:col>23</xdr:col>
      <xdr:colOff>313765</xdr:colOff>
      <xdr:row>99</xdr:row>
      <xdr:rowOff>53788</xdr:rowOff>
    </xdr:to>
    <xdr:graphicFrame macro="">
      <xdr:nvGraphicFramePr>
        <xdr:cNvPr id="11" name="Chart 12">
          <a:extLst>
            <a:ext uri="{FF2B5EF4-FFF2-40B4-BE49-F238E27FC236}">
              <a16:creationId xmlns:a16="http://schemas.microsoft.com/office/drawing/2014/main" id="{01AEE87B-6C47-4C6B-B84A-2665879C9B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39</xdr:col>
      <xdr:colOff>358589</xdr:colOff>
      <xdr:row>27</xdr:row>
      <xdr:rowOff>8966</xdr:rowOff>
    </xdr:from>
    <xdr:to>
      <xdr:col>47</xdr:col>
      <xdr:colOff>161789</xdr:colOff>
      <xdr:row>42</xdr:row>
      <xdr:rowOff>136801</xdr:rowOff>
    </xdr:to>
    <xdr:graphicFrame macro="">
      <xdr:nvGraphicFramePr>
        <xdr:cNvPr id="12" name="Chart 13">
          <a:extLst>
            <a:ext uri="{FF2B5EF4-FFF2-40B4-BE49-F238E27FC236}">
              <a16:creationId xmlns:a16="http://schemas.microsoft.com/office/drawing/2014/main" id="{5F53C60F-2CE2-4707-84CE-592CFF4230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48</xdr:col>
      <xdr:colOff>0</xdr:colOff>
      <xdr:row>27</xdr:row>
      <xdr:rowOff>0</xdr:rowOff>
    </xdr:from>
    <xdr:to>
      <xdr:col>55</xdr:col>
      <xdr:colOff>412800</xdr:colOff>
      <xdr:row>42</xdr:row>
      <xdr:rowOff>127835</xdr:rowOff>
    </xdr:to>
    <xdr:graphicFrame macro="">
      <xdr:nvGraphicFramePr>
        <xdr:cNvPr id="13" name="Chart 14">
          <a:extLst>
            <a:ext uri="{FF2B5EF4-FFF2-40B4-BE49-F238E27FC236}">
              <a16:creationId xmlns:a16="http://schemas.microsoft.com/office/drawing/2014/main" id="{5968CBAA-B0EB-4888-850D-C4C2BC922A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56</xdr:col>
      <xdr:colOff>0</xdr:colOff>
      <xdr:row>27</xdr:row>
      <xdr:rowOff>0</xdr:rowOff>
    </xdr:from>
    <xdr:to>
      <xdr:col>64</xdr:col>
      <xdr:colOff>0</xdr:colOff>
      <xdr:row>41</xdr:row>
      <xdr:rowOff>170329</xdr:rowOff>
    </xdr:to>
    <xdr:graphicFrame macro="">
      <xdr:nvGraphicFramePr>
        <xdr:cNvPr id="14" name="Chart 15">
          <a:extLst>
            <a:ext uri="{FF2B5EF4-FFF2-40B4-BE49-F238E27FC236}">
              <a16:creationId xmlns:a16="http://schemas.microsoft.com/office/drawing/2014/main" id="{DA69FEFC-0D73-43E7-8D13-2D05AD0A1E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26</xdr:col>
      <xdr:colOff>454259</xdr:colOff>
      <xdr:row>48</xdr:row>
      <xdr:rowOff>195775</xdr:rowOff>
    </xdr:from>
    <xdr:to>
      <xdr:col>33</xdr:col>
      <xdr:colOff>431337</xdr:colOff>
      <xdr:row>65</xdr:row>
      <xdr:rowOff>5343</xdr:rowOff>
    </xdr:to>
    <xdr:graphicFrame macro="">
      <xdr:nvGraphicFramePr>
        <xdr:cNvPr id="15" name="Chart 4">
          <a:extLst>
            <a:ext uri="{FF2B5EF4-FFF2-40B4-BE49-F238E27FC236}">
              <a16:creationId xmlns:a16="http://schemas.microsoft.com/office/drawing/2014/main" id="{DD6142AD-BA80-46C3-B9FD-BE8C67E53A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26</xdr:col>
      <xdr:colOff>569274</xdr:colOff>
      <xdr:row>67</xdr:row>
      <xdr:rowOff>73958</xdr:rowOff>
    </xdr:from>
    <xdr:to>
      <xdr:col>32</xdr:col>
      <xdr:colOff>637942</xdr:colOff>
      <xdr:row>83</xdr:row>
      <xdr:rowOff>87156</xdr:rowOff>
    </xdr:to>
    <xdr:graphicFrame macro="">
      <xdr:nvGraphicFramePr>
        <xdr:cNvPr id="16" name="Chart 8">
          <a:extLst>
            <a:ext uri="{FF2B5EF4-FFF2-40B4-BE49-F238E27FC236}">
              <a16:creationId xmlns:a16="http://schemas.microsoft.com/office/drawing/2014/main" id="{2550122A-D798-4694-95D4-D4B3FCB97F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06227-EA6D-42A4-B948-14AB097D3D4D}">
  <sheetPr codeName="Sheet3"/>
  <dimension ref="A1:DK144"/>
  <sheetViews>
    <sheetView topLeftCell="AT74" zoomScale="70" zoomScaleNormal="70" workbookViewId="0">
      <selection activeCell="AB75" sqref="AB75"/>
    </sheetView>
  </sheetViews>
  <sheetFormatPr defaultColWidth="8.85546875" defaultRowHeight="15" x14ac:dyDescent="0.25"/>
  <cols>
    <col min="1" max="1" width="8.85546875" style="1"/>
    <col min="2" max="2" width="9.7109375" style="1" bestFit="1" customWidth="1"/>
    <col min="3" max="3" width="11.28515625" style="1" customWidth="1"/>
    <col min="4" max="4" width="17.85546875" style="1" bestFit="1" customWidth="1"/>
    <col min="5" max="5" width="11.85546875" style="1" customWidth="1"/>
    <col min="6" max="6" width="12.5703125" style="1" bestFit="1" customWidth="1"/>
    <col min="7" max="7" width="17.7109375" style="1" customWidth="1"/>
    <col min="8" max="8" width="12.5703125" style="1" bestFit="1" customWidth="1"/>
    <col min="9" max="9" width="13" style="1" customWidth="1"/>
    <col min="10" max="10" width="11" style="1" customWidth="1"/>
    <col min="11" max="11" width="10.28515625" style="1" customWidth="1"/>
    <col min="12" max="12" width="12.140625" style="1" customWidth="1"/>
    <col min="13" max="13" width="14.28515625" style="1" customWidth="1"/>
    <col min="14" max="14" width="13.42578125" style="1" customWidth="1"/>
    <col min="15" max="15" width="14.5703125" style="1" customWidth="1"/>
    <col min="16" max="16" width="13.42578125" style="1" customWidth="1"/>
    <col min="17" max="17" width="13.5703125" style="1" customWidth="1"/>
    <col min="18" max="18" width="12" style="1" customWidth="1"/>
    <col min="19" max="19" width="11.85546875" style="1" customWidth="1"/>
    <col min="20" max="20" width="13.42578125" style="1" customWidth="1"/>
    <col min="21" max="21" width="15.85546875" style="1" customWidth="1"/>
    <col min="22" max="22" width="9.140625" style="1" customWidth="1"/>
    <col min="23" max="23" width="10.28515625" style="1" customWidth="1"/>
    <col min="24" max="24" width="11.85546875" style="1" customWidth="1"/>
    <col min="25" max="25" width="12.5703125" style="1" customWidth="1"/>
    <col min="26" max="26" width="14.140625" style="1" customWidth="1"/>
    <col min="27" max="27" width="10.42578125" style="1" customWidth="1"/>
    <col min="28" max="28" width="15.85546875" style="1" bestFit="1" customWidth="1"/>
    <col min="29" max="31" width="13.140625" style="1" bestFit="1" customWidth="1"/>
    <col min="32" max="32" width="18" style="1" bestFit="1" customWidth="1"/>
    <col min="33" max="33" width="11.7109375" style="1" customWidth="1"/>
    <col min="34" max="34" width="11.85546875" style="1" customWidth="1"/>
    <col min="35" max="35" width="11.7109375" style="1" customWidth="1"/>
    <col min="36" max="36" width="12.85546875" style="1" customWidth="1"/>
    <col min="37" max="37" width="13.28515625" style="1" customWidth="1"/>
    <col min="38" max="38" width="9.85546875" style="1" customWidth="1"/>
    <col min="39" max="39" width="13.140625" style="1" bestFit="1" customWidth="1"/>
    <col min="40" max="41" width="13" style="1" customWidth="1"/>
    <col min="42" max="42" width="11.42578125" style="1" customWidth="1"/>
    <col min="43" max="43" width="15.42578125" style="1" bestFit="1" customWidth="1"/>
    <col min="44" max="44" width="10.7109375" style="1" customWidth="1"/>
    <col min="45" max="45" width="11.28515625" style="1" customWidth="1"/>
    <col min="46" max="46" width="8.85546875" style="1"/>
    <col min="47" max="47" width="11.7109375" style="1" customWidth="1"/>
    <col min="48" max="48" width="11.28515625" style="1" customWidth="1"/>
    <col min="49" max="49" width="12.42578125" style="1" bestFit="1" customWidth="1"/>
    <col min="50" max="52" width="8.85546875" style="1"/>
    <col min="53" max="53" width="9" style="1" bestFit="1" customWidth="1"/>
    <col min="54" max="54" width="12.7109375" style="1" bestFit="1" customWidth="1"/>
    <col min="55" max="55" width="12" style="1" bestFit="1" customWidth="1"/>
    <col min="56" max="56" width="9" style="1" bestFit="1" customWidth="1"/>
    <col min="57" max="57" width="12.5703125" style="1" customWidth="1"/>
    <col min="58" max="58" width="13" style="1" customWidth="1"/>
    <col min="59" max="59" width="11.42578125" style="1" customWidth="1"/>
    <col min="60" max="60" width="9.7109375" style="1" bestFit="1" customWidth="1"/>
    <col min="61" max="61" width="12.7109375" style="1" bestFit="1" customWidth="1"/>
    <col min="62" max="62" width="9.7109375" style="1" bestFit="1" customWidth="1"/>
    <col min="63" max="63" width="9" style="1" bestFit="1" customWidth="1"/>
    <col min="64" max="64" width="11.28515625" style="1" bestFit="1" customWidth="1"/>
    <col min="65" max="65" width="14.28515625" style="1" customWidth="1"/>
    <col min="66" max="66" width="9.7109375" style="1" bestFit="1" customWidth="1"/>
    <col min="67" max="67" width="9" style="1" bestFit="1" customWidth="1"/>
    <col min="68" max="68" width="11.28515625" style="1" bestFit="1" customWidth="1"/>
    <col min="69" max="69" width="9" style="1" bestFit="1" customWidth="1"/>
    <col min="70" max="70" width="11.28515625" style="1" bestFit="1" customWidth="1"/>
    <col min="71" max="71" width="14.28515625" style="1" bestFit="1" customWidth="1"/>
    <col min="72" max="72" width="9" style="1" bestFit="1" customWidth="1"/>
    <col min="73" max="93" width="8.85546875" style="1"/>
    <col min="94" max="94" width="9" style="1" bestFit="1" customWidth="1"/>
    <col min="95" max="95" width="16.85546875" style="1" bestFit="1" customWidth="1"/>
    <col min="96" max="96" width="9" style="1" bestFit="1" customWidth="1"/>
    <col min="97" max="97" width="12.5703125" style="1" customWidth="1"/>
    <col min="98" max="98" width="13" style="1" customWidth="1"/>
    <col min="99" max="99" width="11" style="1" customWidth="1"/>
    <col min="100" max="100" width="12.5703125" style="1" customWidth="1"/>
    <col min="101" max="101" width="10.42578125" style="1" bestFit="1" customWidth="1"/>
    <col min="102" max="102" width="11" style="1" customWidth="1"/>
    <col min="103" max="103" width="18.7109375" style="1" bestFit="1" customWidth="1"/>
    <col min="104" max="109" width="8.85546875" style="1"/>
    <col min="110" max="111" width="9" style="1" bestFit="1" customWidth="1"/>
    <col min="112" max="112" width="12" style="1" bestFit="1" customWidth="1"/>
    <col min="113" max="114" width="9" style="1" bestFit="1" customWidth="1"/>
    <col min="115" max="115" width="12.7109375" style="1" bestFit="1" customWidth="1"/>
    <col min="116" max="116" width="10.42578125" style="1" customWidth="1"/>
    <col min="117" max="117" width="9" style="1" bestFit="1" customWidth="1"/>
    <col min="118" max="16384" width="8.85546875" style="1"/>
  </cols>
  <sheetData>
    <row r="1" spans="4:72" x14ac:dyDescent="0.25"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</row>
    <row r="2" spans="4:72" x14ac:dyDescent="0.25">
      <c r="F2" s="4" t="s">
        <v>3</v>
      </c>
      <c r="G2" s="2">
        <v>0.05</v>
      </c>
      <c r="I2" s="4" t="s">
        <v>11</v>
      </c>
      <c r="J2" s="2">
        <v>0.01</v>
      </c>
      <c r="L2" s="4" t="s">
        <v>16</v>
      </c>
      <c r="M2" s="2">
        <v>1.0000000000000001E-5</v>
      </c>
      <c r="O2" s="4" t="s">
        <v>15</v>
      </c>
      <c r="P2" s="2">
        <v>1E-4</v>
      </c>
    </row>
    <row r="3" spans="4:72" ht="17.25" x14ac:dyDescent="0.25">
      <c r="F3" s="4" t="s">
        <v>4</v>
      </c>
      <c r="G3" s="2">
        <f>G2*0.01</f>
        <v>5.0000000000000001E-4</v>
      </c>
      <c r="I3" s="4" t="s">
        <v>120</v>
      </c>
      <c r="J3" s="2">
        <f>J2/10</f>
        <v>1E-3</v>
      </c>
      <c r="L3" s="4" t="s">
        <v>19</v>
      </c>
      <c r="M3" s="2">
        <v>5.0000000000000001E-4</v>
      </c>
      <c r="O3" s="4" t="s">
        <v>26</v>
      </c>
      <c r="P3" s="2">
        <f>SQRT((PI()*(AE12/2)^2*AD13)^2+(AD12/2*PI()*AE12*AE13)^2)</f>
        <v>2.7404613087652397E-8</v>
      </c>
    </row>
    <row r="5" spans="4:72" ht="16.149999999999999" customHeight="1" x14ac:dyDescent="0.25">
      <c r="F5" s="60" t="s">
        <v>0</v>
      </c>
      <c r="G5" s="60" t="s">
        <v>1</v>
      </c>
      <c r="H5" s="60" t="s">
        <v>2</v>
      </c>
      <c r="I5" s="57" t="s">
        <v>12</v>
      </c>
      <c r="J5" s="57"/>
      <c r="K5" s="57"/>
      <c r="L5" s="57"/>
      <c r="M5" s="57"/>
      <c r="N5" s="57"/>
      <c r="O5" s="57" t="s">
        <v>13</v>
      </c>
      <c r="P5" s="57"/>
      <c r="Q5" s="57"/>
      <c r="R5" s="57"/>
      <c r="S5" s="57"/>
      <c r="T5" s="57"/>
      <c r="U5" s="57" t="s">
        <v>14</v>
      </c>
      <c r="V5" s="57"/>
      <c r="W5" s="57"/>
      <c r="X5" s="57"/>
      <c r="Y5" s="57"/>
      <c r="Z5" s="57"/>
      <c r="AB5" s="93"/>
      <c r="AC5" s="57" t="s">
        <v>17</v>
      </c>
      <c r="AD5" s="57"/>
      <c r="AE5" s="57"/>
    </row>
    <row r="6" spans="4:72" ht="14.45" customHeight="1" x14ac:dyDescent="0.25">
      <c r="F6" s="60"/>
      <c r="G6" s="60"/>
      <c r="H6" s="60"/>
      <c r="I6" s="4" t="s">
        <v>5</v>
      </c>
      <c r="J6" s="4" t="s">
        <v>6</v>
      </c>
      <c r="K6" s="4" t="s">
        <v>9</v>
      </c>
      <c r="L6" s="4" t="s">
        <v>8</v>
      </c>
      <c r="M6" s="4" t="s">
        <v>7</v>
      </c>
      <c r="N6" s="4" t="s">
        <v>10</v>
      </c>
      <c r="O6" s="4" t="s">
        <v>5</v>
      </c>
      <c r="P6" s="4" t="s">
        <v>6</v>
      </c>
      <c r="Q6" s="4" t="s">
        <v>9</v>
      </c>
      <c r="R6" s="4" t="s">
        <v>8</v>
      </c>
      <c r="S6" s="4" t="s">
        <v>7</v>
      </c>
      <c r="T6" s="4" t="s">
        <v>10</v>
      </c>
      <c r="U6" s="4" t="s">
        <v>5</v>
      </c>
      <c r="V6" s="4" t="s">
        <v>6</v>
      </c>
      <c r="W6" s="4" t="s">
        <v>9</v>
      </c>
      <c r="X6" s="4" t="s">
        <v>8</v>
      </c>
      <c r="Y6" s="4" t="s">
        <v>7</v>
      </c>
      <c r="Z6" s="4" t="s">
        <v>10</v>
      </c>
      <c r="AB6" s="93"/>
      <c r="AC6" s="4" t="s">
        <v>103</v>
      </c>
      <c r="AD6" s="4" t="s">
        <v>102</v>
      </c>
      <c r="AE6" s="4" t="s">
        <v>79</v>
      </c>
    </row>
    <row r="7" spans="4:72" x14ac:dyDescent="0.25">
      <c r="D7" s="63">
        <v>0</v>
      </c>
      <c r="E7" s="64">
        <f>(D7/12*(53^4-18^4)+18^4)^(0.25)</f>
        <v>17.999999999999996</v>
      </c>
      <c r="F7" s="62">
        <v>18</v>
      </c>
      <c r="G7" s="72">
        <f>(F7*10^-2)^4</f>
        <v>1.0497599999999998E-3</v>
      </c>
      <c r="H7" s="68">
        <f>ABS(4*G7^3*G$3)</f>
        <v>2.3136627628523507E-12</v>
      </c>
      <c r="I7" s="8">
        <v>0.59</v>
      </c>
      <c r="J7" s="13">
        <f>I7/25</f>
        <v>2.3599999999999999E-2</v>
      </c>
      <c r="K7" s="62">
        <f>AVERAGE(J7:J8)</f>
        <v>2.3800000000000002E-2</v>
      </c>
      <c r="L7" s="62">
        <f>SQRT(2)/50 * J$2</f>
        <v>2.8284271247461902E-4</v>
      </c>
      <c r="M7" s="66">
        <f>K7^2</f>
        <v>5.6644000000000009E-4</v>
      </c>
      <c r="N7" s="66">
        <f>ABS(2*K7*L7)</f>
        <v>1.3463313113791866E-5</v>
      </c>
      <c r="O7" s="8">
        <v>1.17</v>
      </c>
      <c r="P7" s="13">
        <f>O7/50</f>
        <v>2.3399999999999997E-2</v>
      </c>
      <c r="Q7" s="71">
        <f>AVERAGE(P7:P8)</f>
        <v>2.35E-2</v>
      </c>
      <c r="R7" s="62">
        <f>SQRT(2)/100 * J$2</f>
        <v>1.4142135623730951E-4</v>
      </c>
      <c r="S7" s="66">
        <f>Q7^2</f>
        <v>5.5225000000000001E-4</v>
      </c>
      <c r="T7" s="66">
        <f>ABS(2*Q7*R7)</f>
        <v>6.6468037431535469E-6</v>
      </c>
      <c r="U7" s="8">
        <v>1.77</v>
      </c>
      <c r="V7" s="13">
        <f>U7/75</f>
        <v>2.3599999999999999E-2</v>
      </c>
      <c r="W7" s="62">
        <f>AVERAGE(V7:V8)</f>
        <v>2.3666666666666666E-2</v>
      </c>
      <c r="X7" s="62">
        <f>SQRT(2)/150 * J$2</f>
        <v>9.4280904158206352E-5</v>
      </c>
      <c r="Y7" s="73">
        <f>W7^2</f>
        <v>5.6011111111111105E-4</v>
      </c>
      <c r="Z7" s="73">
        <f>ABS(2*W7*X7)</f>
        <v>4.462629463488434E-6</v>
      </c>
      <c r="AB7" s="93"/>
      <c r="AC7" s="2">
        <v>21.6</v>
      </c>
      <c r="AD7" s="11">
        <v>895</v>
      </c>
      <c r="AE7" s="8">
        <v>1.85</v>
      </c>
    </row>
    <row r="8" spans="4:72" x14ac:dyDescent="0.25">
      <c r="D8" s="63"/>
      <c r="E8" s="65"/>
      <c r="F8" s="62"/>
      <c r="G8" s="72"/>
      <c r="H8" s="68"/>
      <c r="I8" s="8">
        <v>0.6</v>
      </c>
      <c r="J8" s="13">
        <f t="shared" ref="J8:J30" si="0">I8/25</f>
        <v>2.4E-2</v>
      </c>
      <c r="K8" s="62"/>
      <c r="L8" s="62"/>
      <c r="M8" s="66"/>
      <c r="N8" s="66"/>
      <c r="O8" s="8">
        <v>1.18</v>
      </c>
      <c r="P8" s="13">
        <f t="shared" ref="P8:P30" si="1">O8/50</f>
        <v>2.3599999999999999E-2</v>
      </c>
      <c r="Q8" s="71"/>
      <c r="R8" s="62"/>
      <c r="S8" s="66"/>
      <c r="T8" s="66"/>
      <c r="U8" s="2">
        <v>1.78</v>
      </c>
      <c r="V8" s="13">
        <f t="shared" ref="V8:V30" si="2">U8/75</f>
        <v>2.3733333333333332E-2</v>
      </c>
      <c r="W8" s="62"/>
      <c r="X8" s="62"/>
      <c r="Y8" s="73"/>
      <c r="Z8" s="73"/>
      <c r="AB8" s="93"/>
      <c r="AC8" s="2">
        <v>21.6</v>
      </c>
      <c r="AD8" s="11">
        <v>895.2</v>
      </c>
      <c r="AE8" s="8">
        <v>1.825</v>
      </c>
    </row>
    <row r="9" spans="4:72" x14ac:dyDescent="0.25">
      <c r="D9" s="63">
        <v>1</v>
      </c>
      <c r="E9" s="64">
        <f>(D9/12*(53^4-18^4)+18^4)^(0.25)</f>
        <v>29.465202902077582</v>
      </c>
      <c r="F9" s="62">
        <v>29.5</v>
      </c>
      <c r="G9" s="69">
        <f>(F9*10^-2)^4</f>
        <v>7.5733506249999983E-3</v>
      </c>
      <c r="H9" s="68">
        <f>ABS(4*G9^3*G$3)</f>
        <v>8.6874873937477129E-10</v>
      </c>
      <c r="I9" s="8">
        <v>1.53</v>
      </c>
      <c r="J9" s="13">
        <f t="shared" si="0"/>
        <v>6.1200000000000004E-2</v>
      </c>
      <c r="K9" s="62">
        <f>AVERAGE(J9:J10)</f>
        <v>6.1400000000000003E-2</v>
      </c>
      <c r="L9" s="62">
        <f>SQRT(2)/50 * J$2</f>
        <v>2.8284271247461902E-4</v>
      </c>
      <c r="M9" s="66">
        <f>K9^2</f>
        <v>3.7699600000000006E-3</v>
      </c>
      <c r="N9" s="66">
        <f>ABS(2*K9*L9)</f>
        <v>3.4733085091883214E-5</v>
      </c>
      <c r="O9" s="8">
        <v>3.1</v>
      </c>
      <c r="P9" s="13">
        <f t="shared" si="1"/>
        <v>6.2E-2</v>
      </c>
      <c r="Q9" s="71">
        <f>AVERAGE(P9:P10)</f>
        <v>6.2E-2</v>
      </c>
      <c r="R9" s="62">
        <f>SQRT(2)/100 * J$2</f>
        <v>1.4142135623730951E-4</v>
      </c>
      <c r="S9" s="66">
        <f>Q9^2</f>
        <v>3.8439999999999998E-3</v>
      </c>
      <c r="T9" s="66">
        <f>ABS(2*Q9*R9)</f>
        <v>1.7536248173426379E-5</v>
      </c>
      <c r="U9" s="8">
        <v>4.68</v>
      </c>
      <c r="V9" s="13">
        <f t="shared" si="2"/>
        <v>6.2399999999999997E-2</v>
      </c>
      <c r="W9" s="62">
        <f>AVERAGE(V9:V10)</f>
        <v>6.2333333333333331E-2</v>
      </c>
      <c r="X9" s="62">
        <f>SQRT(2)/150 * J$2</f>
        <v>9.4280904158206352E-5</v>
      </c>
      <c r="Y9" s="66">
        <f>W9^2</f>
        <v>3.885444444444444E-3</v>
      </c>
      <c r="Z9" s="66">
        <f>ABS(2*W9*X9)</f>
        <v>1.1753686051723058E-5</v>
      </c>
      <c r="AB9" s="93"/>
      <c r="AC9" s="2">
        <v>21.6</v>
      </c>
      <c r="AD9" s="11">
        <v>894.8</v>
      </c>
      <c r="AE9" s="8">
        <v>1.8280000000000001</v>
      </c>
    </row>
    <row r="10" spans="4:72" x14ac:dyDescent="0.25">
      <c r="D10" s="63"/>
      <c r="E10" s="65"/>
      <c r="F10" s="62"/>
      <c r="G10" s="69"/>
      <c r="H10" s="68"/>
      <c r="I10" s="8">
        <v>1.54</v>
      </c>
      <c r="J10" s="13">
        <f t="shared" si="0"/>
        <v>6.1600000000000002E-2</v>
      </c>
      <c r="K10" s="62"/>
      <c r="L10" s="62"/>
      <c r="M10" s="66"/>
      <c r="N10" s="66"/>
      <c r="O10" s="8">
        <v>3.1</v>
      </c>
      <c r="P10" s="13">
        <f t="shared" si="1"/>
        <v>6.2E-2</v>
      </c>
      <c r="Q10" s="71"/>
      <c r="R10" s="62"/>
      <c r="S10" s="66"/>
      <c r="T10" s="66"/>
      <c r="U10" s="8">
        <v>4.67</v>
      </c>
      <c r="V10" s="13">
        <f t="shared" si="2"/>
        <v>6.2266666666666665E-2</v>
      </c>
      <c r="W10" s="62"/>
      <c r="X10" s="62"/>
      <c r="Y10" s="66"/>
      <c r="Z10" s="66"/>
      <c r="AB10" s="93"/>
      <c r="AC10" s="2">
        <v>21.5</v>
      </c>
      <c r="AD10" s="11">
        <v>895.1</v>
      </c>
      <c r="AE10" s="8">
        <v>1.8779999999999999</v>
      </c>
    </row>
    <row r="11" spans="4:72" x14ac:dyDescent="0.25">
      <c r="D11" s="63">
        <v>2</v>
      </c>
      <c r="E11" s="64">
        <f>(D11/12*(53^4-18^4)+18^4)^(0.25)</f>
        <v>34.413621290803526</v>
      </c>
      <c r="F11" s="62">
        <v>34.4</v>
      </c>
      <c r="G11" s="69">
        <f>(F11*10^-2)^4</f>
        <v>1.4003408895999997E-2</v>
      </c>
      <c r="H11" s="68">
        <f>ABS(4*G11^3*G$3)</f>
        <v>5.4920098379032664E-9</v>
      </c>
      <c r="I11" s="8">
        <v>2.09</v>
      </c>
      <c r="J11" s="13">
        <f t="shared" si="0"/>
        <v>8.3599999999999994E-2</v>
      </c>
      <c r="K11" s="62">
        <f>AVERAGE(J11:J12)</f>
        <v>8.3599999999999994E-2</v>
      </c>
      <c r="L11" s="62">
        <f>SQRT(2)/50 * J$2</f>
        <v>2.8284271247461902E-4</v>
      </c>
      <c r="M11" s="66">
        <f>K11^2</f>
        <v>6.9889599999999989E-3</v>
      </c>
      <c r="N11" s="66">
        <f>ABS(2*K11*L11)</f>
        <v>4.7291301525756293E-5</v>
      </c>
      <c r="O11" s="8">
        <v>4.22</v>
      </c>
      <c r="P11" s="13">
        <f t="shared" si="1"/>
        <v>8.4399999999999989E-2</v>
      </c>
      <c r="Q11" s="71">
        <f>AVERAGE(P11:P12)</f>
        <v>8.4399999999999989E-2</v>
      </c>
      <c r="R11" s="62">
        <f>SQRT(2)/100 * J$2</f>
        <v>1.4142135623730951E-4</v>
      </c>
      <c r="S11" s="66">
        <f>Q11^2</f>
        <v>7.1233599999999979E-3</v>
      </c>
      <c r="T11" s="66">
        <f>ABS(2*Q11*R11)</f>
        <v>2.3871924932857842E-5</v>
      </c>
      <c r="U11" s="8">
        <v>6.35</v>
      </c>
      <c r="V11" s="13">
        <f t="shared" si="2"/>
        <v>8.4666666666666668E-2</v>
      </c>
      <c r="W11" s="62">
        <f>AVERAGE(V11:V12)</f>
        <v>8.4666666666666668E-2</v>
      </c>
      <c r="X11" s="62">
        <f>SQRT(2)/150 * J$2</f>
        <v>9.4280904158206352E-5</v>
      </c>
      <c r="Y11" s="66">
        <f>W11^2</f>
        <v>7.1684444444444443E-3</v>
      </c>
      <c r="Z11" s="66">
        <f>ABS(2*W11*X11)</f>
        <v>1.5964899770789608E-5</v>
      </c>
      <c r="AB11" s="96"/>
      <c r="AC11" s="2">
        <v>21.6</v>
      </c>
      <c r="AD11" s="11">
        <v>895</v>
      </c>
      <c r="AE11" s="8">
        <v>1.88</v>
      </c>
    </row>
    <row r="12" spans="4:72" x14ac:dyDescent="0.25">
      <c r="D12" s="63"/>
      <c r="E12" s="65"/>
      <c r="F12" s="62"/>
      <c r="G12" s="69"/>
      <c r="H12" s="68"/>
      <c r="I12" s="8">
        <v>2.09</v>
      </c>
      <c r="J12" s="13">
        <f t="shared" si="0"/>
        <v>8.3599999999999994E-2</v>
      </c>
      <c r="K12" s="62"/>
      <c r="L12" s="62"/>
      <c r="M12" s="66"/>
      <c r="N12" s="66"/>
      <c r="O12" s="8">
        <v>4.22</v>
      </c>
      <c r="P12" s="13">
        <f t="shared" si="1"/>
        <v>8.4399999999999989E-2</v>
      </c>
      <c r="Q12" s="71"/>
      <c r="R12" s="62"/>
      <c r="S12" s="66"/>
      <c r="T12" s="66"/>
      <c r="U12" s="8">
        <v>6.35</v>
      </c>
      <c r="V12" s="13">
        <f t="shared" si="2"/>
        <v>8.4666666666666668E-2</v>
      </c>
      <c r="W12" s="62"/>
      <c r="X12" s="62"/>
      <c r="Y12" s="66"/>
      <c r="Z12" s="66"/>
      <c r="AB12" s="4" t="s">
        <v>20</v>
      </c>
      <c r="AC12" s="24">
        <f>AVERAGE(AC7:AC11)/1000</f>
        <v>2.1580000000000002E-2</v>
      </c>
      <c r="AD12" s="24">
        <f>AVERAGE(AD7:AD11)/1000</f>
        <v>0.89502000000000015</v>
      </c>
      <c r="AE12" s="24">
        <f>AVERAGE(AE7:AE11)/1000</f>
        <v>1.8521999999999998E-3</v>
      </c>
    </row>
    <row r="13" spans="4:72" x14ac:dyDescent="0.25">
      <c r="D13" s="63">
        <v>3</v>
      </c>
      <c r="E13" s="64">
        <f>(D13/12*(53^4-18^4)+18^4)^(0.25)</f>
        <v>37.845135151864724</v>
      </c>
      <c r="F13" s="62">
        <v>37.9</v>
      </c>
      <c r="G13" s="70">
        <f>(F13*10^-2)^4</f>
        <v>2.0632736880999997E-2</v>
      </c>
      <c r="H13" s="68">
        <f>ABS(4*G13^3*G$3)</f>
        <v>1.7567117869632877E-8</v>
      </c>
      <c r="I13" s="8">
        <v>2.8</v>
      </c>
      <c r="J13" s="13">
        <f t="shared" si="0"/>
        <v>0.11199999999999999</v>
      </c>
      <c r="K13" s="62">
        <f>AVERAGE(J13:J14)</f>
        <v>0.10679999999999999</v>
      </c>
      <c r="L13" s="62">
        <f>SQRT(2)/50 * J$2</f>
        <v>2.8284271247461902E-4</v>
      </c>
      <c r="M13" s="62">
        <f>K13^2</f>
        <v>1.1406239999999998E-2</v>
      </c>
      <c r="N13" s="62">
        <f>ABS(2*K13*L13)</f>
        <v>6.0415203384578618E-5</v>
      </c>
      <c r="O13" s="8">
        <v>5.12</v>
      </c>
      <c r="P13" s="13">
        <f t="shared" si="1"/>
        <v>0.1024</v>
      </c>
      <c r="Q13" s="71">
        <f>AVERAGE(P13:P14)</f>
        <v>0.1024</v>
      </c>
      <c r="R13" s="62">
        <f>SQRT(2)/100 * J$2</f>
        <v>1.4142135623730951E-4</v>
      </c>
      <c r="S13" s="66">
        <f>Q13^2</f>
        <v>1.048576E-2</v>
      </c>
      <c r="T13" s="66">
        <f>ABS(2*Q13*R13)</f>
        <v>2.8963093757400989E-5</v>
      </c>
      <c r="U13" s="8">
        <v>7.7</v>
      </c>
      <c r="V13" s="13">
        <f t="shared" si="2"/>
        <v>0.10266666666666667</v>
      </c>
      <c r="W13" s="62">
        <f>AVERAGE(V13:V14)</f>
        <v>0.10266666666666667</v>
      </c>
      <c r="X13" s="62">
        <f>SQRT(2)/150 * J$2</f>
        <v>9.4280904158206352E-5</v>
      </c>
      <c r="Y13" s="66">
        <f>W13^2</f>
        <v>1.0540444444444444E-2</v>
      </c>
      <c r="Z13" s="66">
        <f>ABS(2*W13*X13)</f>
        <v>1.9359012320485038E-5</v>
      </c>
      <c r="AB13" s="4" t="s">
        <v>21</v>
      </c>
      <c r="AC13" s="24">
        <f>_xlfn.STDEV.P(AC7:AC11)/SQRT(5)/1000</f>
        <v>1.7888543819998574E-5</v>
      </c>
      <c r="AD13" s="24">
        <f>_xlfn.STDEV.P(AD7:AD11)/SQRT(5)/1000</f>
        <v>5.9329587896778792E-5</v>
      </c>
      <c r="AE13" s="24">
        <f>_xlfn.STDEV.P(AE7:AE11)/SQRT(5)/1000</f>
        <v>1.0523877612363202E-5</v>
      </c>
    </row>
    <row r="14" spans="4:72" x14ac:dyDescent="0.25">
      <c r="D14" s="63"/>
      <c r="E14" s="65"/>
      <c r="F14" s="62"/>
      <c r="G14" s="70"/>
      <c r="H14" s="68"/>
      <c r="I14" s="8">
        <v>2.54</v>
      </c>
      <c r="J14" s="13">
        <f t="shared" si="0"/>
        <v>0.1016</v>
      </c>
      <c r="K14" s="62"/>
      <c r="L14" s="62"/>
      <c r="M14" s="62"/>
      <c r="N14" s="62"/>
      <c r="O14" s="8">
        <v>5.12</v>
      </c>
      <c r="P14" s="13">
        <f t="shared" si="1"/>
        <v>0.1024</v>
      </c>
      <c r="Q14" s="71"/>
      <c r="R14" s="62"/>
      <c r="S14" s="66"/>
      <c r="T14" s="66"/>
      <c r="U14" s="8">
        <v>7.7</v>
      </c>
      <c r="V14" s="13">
        <f t="shared" si="2"/>
        <v>0.10266666666666667</v>
      </c>
      <c r="W14" s="62"/>
      <c r="X14" s="62"/>
      <c r="Y14" s="66"/>
      <c r="Z14" s="66"/>
    </row>
    <row r="15" spans="4:72" ht="17.25" x14ac:dyDescent="0.25">
      <c r="D15" s="63">
        <v>4</v>
      </c>
      <c r="E15" s="64">
        <f>(D15/12*(53^4-18^4)+18^4)^(0.25)</f>
        <v>40.536546364524852</v>
      </c>
      <c r="F15" s="62">
        <v>40</v>
      </c>
      <c r="G15" s="70">
        <f>(F15*10^-2)^4</f>
        <v>2.5600000000000012E-2</v>
      </c>
      <c r="H15" s="68">
        <f>ABS(4*G15^3*G$3)</f>
        <v>3.3554432000000049E-8</v>
      </c>
      <c r="I15" s="8">
        <v>2.83</v>
      </c>
      <c r="J15" s="13">
        <f t="shared" si="0"/>
        <v>0.11320000000000001</v>
      </c>
      <c r="K15" s="62">
        <f>AVERAGE(J15:J16)</f>
        <v>0.11320000000000001</v>
      </c>
      <c r="L15" s="62">
        <f>SQRT(2)/50 * J$2</f>
        <v>2.8284271247461902E-4</v>
      </c>
      <c r="M15" s="62">
        <f>K15^2</f>
        <v>1.2814240000000003E-2</v>
      </c>
      <c r="N15" s="62">
        <f>ABS(2*K15*L15)</f>
        <v>6.4035590104253757E-5</v>
      </c>
      <c r="O15" s="8">
        <v>5.72</v>
      </c>
      <c r="P15" s="13">
        <f t="shared" si="1"/>
        <v>0.1144</v>
      </c>
      <c r="Q15" s="71">
        <f>AVERAGE(P15:P16)</f>
        <v>0.1144</v>
      </c>
      <c r="R15" s="62">
        <f>SQRT(2)/100 * J$2</f>
        <v>1.4142135623730951E-4</v>
      </c>
      <c r="S15" s="66">
        <f>Q15^2</f>
        <v>1.3087360000000001E-2</v>
      </c>
      <c r="T15" s="66">
        <f>ABS(2*Q15*R15)</f>
        <v>3.2357206307096415E-5</v>
      </c>
      <c r="U15" s="8">
        <v>8.61</v>
      </c>
      <c r="V15" s="13">
        <f t="shared" si="2"/>
        <v>0.1148</v>
      </c>
      <c r="W15" s="62">
        <f>AVERAGE(V15:V16)</f>
        <v>0.11473333333333333</v>
      </c>
      <c r="X15" s="62">
        <f>SQRT(2)/150 * J$2</f>
        <v>9.4280904158206352E-5</v>
      </c>
      <c r="Y15" s="66">
        <f>W15^2</f>
        <v>1.3163737777777776E-2</v>
      </c>
      <c r="Z15" s="66">
        <f>ABS(2*W15*X15)</f>
        <v>2.1634324807503081E-5</v>
      </c>
      <c r="AC15" s="4" t="s">
        <v>23</v>
      </c>
      <c r="AD15" s="2">
        <f>PI()*(AE12/2)^2 * AD12</f>
        <v>2.4115617186045466E-6</v>
      </c>
    </row>
    <row r="16" spans="4:72" ht="17.25" x14ac:dyDescent="0.25">
      <c r="D16" s="63"/>
      <c r="E16" s="65"/>
      <c r="F16" s="62"/>
      <c r="G16" s="70"/>
      <c r="H16" s="68"/>
      <c r="I16" s="8">
        <v>2.83</v>
      </c>
      <c r="J16" s="13">
        <f t="shared" si="0"/>
        <v>0.11320000000000001</v>
      </c>
      <c r="K16" s="62"/>
      <c r="L16" s="62"/>
      <c r="M16" s="62"/>
      <c r="N16" s="62"/>
      <c r="O16" s="8">
        <v>5.72</v>
      </c>
      <c r="P16" s="13">
        <f t="shared" si="1"/>
        <v>0.1144</v>
      </c>
      <c r="Q16" s="71"/>
      <c r="R16" s="62"/>
      <c r="S16" s="66"/>
      <c r="T16" s="66"/>
      <c r="U16" s="8">
        <v>8.6</v>
      </c>
      <c r="V16" s="13">
        <f t="shared" si="2"/>
        <v>0.11466666666666667</v>
      </c>
      <c r="W16" s="62"/>
      <c r="X16" s="62"/>
      <c r="Y16" s="66"/>
      <c r="Z16" s="66"/>
      <c r="AC16" s="5" t="s">
        <v>22</v>
      </c>
      <c r="AD16" s="2">
        <f>AC12/AD15</f>
        <v>8948.5580375223817</v>
      </c>
    </row>
    <row r="17" spans="4:30" ht="17.25" x14ac:dyDescent="0.25">
      <c r="D17" s="63">
        <v>5</v>
      </c>
      <c r="E17" s="64">
        <f>(D17/12*(53^4-18^4)+18^4)^(0.25)</f>
        <v>42.778615567615979</v>
      </c>
      <c r="F17" s="62">
        <v>42.8</v>
      </c>
      <c r="G17" s="70">
        <f>(F17*10^-2)^4</f>
        <v>3.3556377855999991E-2</v>
      </c>
      <c r="H17" s="68">
        <f>ABS(4*G17^3*G$3)</f>
        <v>7.5571009522757847E-8</v>
      </c>
      <c r="I17" s="8">
        <v>3.23</v>
      </c>
      <c r="J17" s="13">
        <f t="shared" si="0"/>
        <v>0.12920000000000001</v>
      </c>
      <c r="K17" s="62">
        <f>AVERAGE(J17:J18)</f>
        <v>0.12940000000000002</v>
      </c>
      <c r="L17" s="62">
        <f>SQRT(2)/50 * J$2</f>
        <v>2.8284271247461902E-4</v>
      </c>
      <c r="M17" s="62">
        <f>K17^2</f>
        <v>1.6744360000000003E-2</v>
      </c>
      <c r="N17" s="62">
        <f>ABS(2*K17*L17)</f>
        <v>7.3199693988431407E-5</v>
      </c>
      <c r="O17" s="8">
        <v>6.53</v>
      </c>
      <c r="P17" s="13">
        <f t="shared" si="1"/>
        <v>0.13059999999999999</v>
      </c>
      <c r="Q17" s="71">
        <f>AVERAGE(P17:P18)</f>
        <v>0.13059999999999999</v>
      </c>
      <c r="R17" s="62">
        <f>SQRT(2)/100 * J$2</f>
        <v>1.4142135623730951E-4</v>
      </c>
      <c r="S17" s="66">
        <f>Q17^2</f>
        <v>1.705636E-2</v>
      </c>
      <c r="T17" s="66">
        <f>ABS(2*Q17*R17)</f>
        <v>3.693925824918524E-5</v>
      </c>
      <c r="U17" s="8">
        <v>9.81</v>
      </c>
      <c r="V17" s="13">
        <f t="shared" si="2"/>
        <v>0.1308</v>
      </c>
      <c r="W17" s="62">
        <f>AVERAGE(V17:V18)</f>
        <v>0.1308</v>
      </c>
      <c r="X17" s="62">
        <f>SQRT(2)/150 * J$2</f>
        <v>9.4280904158206352E-5</v>
      </c>
      <c r="Y17" s="66">
        <f>W17^2</f>
        <v>1.7108640000000001E-2</v>
      </c>
      <c r="Z17" s="66">
        <f>ABS(2*W17*X17)</f>
        <v>2.4663884527786781E-5</v>
      </c>
      <c r="AC17" s="5" t="s">
        <v>24</v>
      </c>
      <c r="AD17" s="2">
        <f>SQRT((1/AD15 * AC13)^2+(AC12/AD15^2*P3)^2)</f>
        <v>101.9602140827115</v>
      </c>
    </row>
    <row r="18" spans="4:30" x14ac:dyDescent="0.25">
      <c r="D18" s="63"/>
      <c r="E18" s="65"/>
      <c r="F18" s="62"/>
      <c r="G18" s="70"/>
      <c r="H18" s="68"/>
      <c r="I18" s="8">
        <v>3.24</v>
      </c>
      <c r="J18" s="13">
        <f t="shared" si="0"/>
        <v>0.12960000000000002</v>
      </c>
      <c r="K18" s="62"/>
      <c r="L18" s="62"/>
      <c r="M18" s="62"/>
      <c r="N18" s="62"/>
      <c r="O18" s="8">
        <v>6.53</v>
      </c>
      <c r="P18" s="13">
        <f t="shared" si="1"/>
        <v>0.13059999999999999</v>
      </c>
      <c r="Q18" s="71"/>
      <c r="R18" s="62"/>
      <c r="S18" s="66"/>
      <c r="T18" s="66"/>
      <c r="U18" s="8">
        <v>9.81</v>
      </c>
      <c r="V18" s="13">
        <f t="shared" si="2"/>
        <v>0.1308</v>
      </c>
      <c r="W18" s="62"/>
      <c r="X18" s="62"/>
      <c r="Y18" s="66"/>
      <c r="Z18" s="66"/>
      <c r="AC18" s="5" t="s">
        <v>25</v>
      </c>
      <c r="AD18" s="6">
        <f>AD17/AD16</f>
        <v>1.1394038419953253E-2</v>
      </c>
    </row>
    <row r="19" spans="4:30" x14ac:dyDescent="0.25">
      <c r="D19" s="63">
        <v>6</v>
      </c>
      <c r="E19" s="64">
        <f>(D19/12*(53^4-18^4)+18^4)^(0.25)</f>
        <v>44.715009161987169</v>
      </c>
      <c r="F19" s="62">
        <v>44.6</v>
      </c>
      <c r="G19" s="67">
        <f>(F19*10^-2)^4</f>
        <v>3.9567575056000004E-2</v>
      </c>
      <c r="H19" s="68">
        <f>ABS(4*G19^3*G$3)</f>
        <v>1.2389343673789376E-7</v>
      </c>
      <c r="I19" s="8">
        <v>3.48</v>
      </c>
      <c r="J19" s="13">
        <f t="shared" si="0"/>
        <v>0.13919999999999999</v>
      </c>
      <c r="K19" s="62">
        <f>AVERAGE(J19:J20)</f>
        <v>0.13919999999999999</v>
      </c>
      <c r="L19" s="62">
        <f>SQRT(2)/50 * J$2</f>
        <v>2.8284271247461902E-4</v>
      </c>
      <c r="M19" s="62">
        <f>K19^2</f>
        <v>1.9376639999999997E-2</v>
      </c>
      <c r="N19" s="62">
        <f>ABS(2*K19*L19)</f>
        <v>7.8743411152933925E-5</v>
      </c>
      <c r="O19" s="8">
        <v>7.02</v>
      </c>
      <c r="P19" s="13">
        <f t="shared" si="1"/>
        <v>0.1404</v>
      </c>
      <c r="Q19" s="71">
        <f>AVERAGE(P19:P20)</f>
        <v>0.14050000000000001</v>
      </c>
      <c r="R19" s="62">
        <f>SQRT(2)/100 * J$2</f>
        <v>1.4142135623730951E-4</v>
      </c>
      <c r="S19" s="66">
        <f>Q19^2</f>
        <v>1.9740250000000004E-2</v>
      </c>
      <c r="T19" s="66">
        <f>ABS(2*Q19*R19)</f>
        <v>3.9739401102683978E-5</v>
      </c>
      <c r="U19" s="8">
        <v>10.59</v>
      </c>
      <c r="V19" s="13">
        <f t="shared" si="2"/>
        <v>0.14119999999999999</v>
      </c>
      <c r="W19" s="62">
        <f>AVERAGE(V19:V20)</f>
        <v>0.14113333333333333</v>
      </c>
      <c r="X19" s="62">
        <f>SQRT(2)/150 * J$2</f>
        <v>9.4280904158206352E-5</v>
      </c>
      <c r="Y19" s="66">
        <f>W19^2</f>
        <v>1.9918617777777779E-2</v>
      </c>
      <c r="Z19" s="66">
        <f>ABS(2*W19*X19)</f>
        <v>2.6612356547056381E-5</v>
      </c>
    </row>
    <row r="20" spans="4:30" x14ac:dyDescent="0.25">
      <c r="D20" s="63"/>
      <c r="E20" s="65"/>
      <c r="F20" s="62"/>
      <c r="G20" s="67"/>
      <c r="H20" s="68"/>
      <c r="I20" s="8">
        <v>3.48</v>
      </c>
      <c r="J20" s="13">
        <f t="shared" si="0"/>
        <v>0.13919999999999999</v>
      </c>
      <c r="K20" s="62"/>
      <c r="L20" s="62"/>
      <c r="M20" s="62"/>
      <c r="N20" s="62"/>
      <c r="O20" s="8">
        <v>7.03</v>
      </c>
      <c r="P20" s="13">
        <f t="shared" si="1"/>
        <v>0.1406</v>
      </c>
      <c r="Q20" s="71"/>
      <c r="R20" s="62"/>
      <c r="S20" s="66"/>
      <c r="T20" s="66"/>
      <c r="U20" s="8">
        <v>10.58</v>
      </c>
      <c r="V20" s="13">
        <f t="shared" si="2"/>
        <v>0.14106666666666667</v>
      </c>
      <c r="W20" s="62"/>
      <c r="X20" s="62"/>
      <c r="Y20" s="66"/>
      <c r="Z20" s="66"/>
    </row>
    <row r="21" spans="4:30" x14ac:dyDescent="0.25">
      <c r="D21" s="63">
        <v>7</v>
      </c>
      <c r="E21" s="64">
        <f>(D21/12*(53^4-18^4)+18^4)^(0.25)</f>
        <v>46.428212800925323</v>
      </c>
      <c r="F21" s="62">
        <v>46.3</v>
      </c>
      <c r="G21" s="67">
        <f>(F21*10^-2)^4</f>
        <v>4.5954068160999992E-2</v>
      </c>
      <c r="H21" s="68">
        <f>ABS(4*G21^3*G$3)</f>
        <v>1.9408943146478616E-7</v>
      </c>
      <c r="I21" s="8">
        <v>3.76</v>
      </c>
      <c r="J21" s="13">
        <f t="shared" si="0"/>
        <v>0.15039999999999998</v>
      </c>
      <c r="K21" s="62">
        <f>AVERAGE(J21:J22)</f>
        <v>0.15059999999999998</v>
      </c>
      <c r="L21" s="62">
        <f>SQRT(2)/50 * J$2</f>
        <v>2.8284271247461902E-4</v>
      </c>
      <c r="M21" s="62">
        <f>K21^2</f>
        <v>2.2680359999999997E-2</v>
      </c>
      <c r="N21" s="62">
        <f>ABS(2*K21*L21)</f>
        <v>8.519222499735524E-5</v>
      </c>
      <c r="O21" s="8">
        <v>7.59</v>
      </c>
      <c r="P21" s="13">
        <f t="shared" si="1"/>
        <v>0.15179999999999999</v>
      </c>
      <c r="Q21" s="71">
        <f>AVERAGE(P21:P22)</f>
        <v>0.15189999999999998</v>
      </c>
      <c r="R21" s="62">
        <f>SQRT(2)/100 * J$2</f>
        <v>1.4142135623730951E-4</v>
      </c>
      <c r="S21" s="66">
        <f>Q21^2</f>
        <v>2.3073609999999994E-2</v>
      </c>
      <c r="T21" s="66">
        <f>ABS(2*Q21*R21)</f>
        <v>4.2963808024894622E-5</v>
      </c>
      <c r="U21" s="8">
        <v>11.43</v>
      </c>
      <c r="V21" s="13">
        <f t="shared" si="2"/>
        <v>0.15240000000000001</v>
      </c>
      <c r="W21" s="62">
        <f>AVERAGE(V21:V22)</f>
        <v>0.15233333333333332</v>
      </c>
      <c r="X21" s="62">
        <f>SQRT(2)/150 * J$2</f>
        <v>9.4280904158206352E-5</v>
      </c>
      <c r="Y21" s="66">
        <f>W21^2</f>
        <v>2.3205444444444442E-2</v>
      </c>
      <c r="Z21" s="66">
        <f>ABS(2*W21*X21)</f>
        <v>2.8724248800200201E-5</v>
      </c>
    </row>
    <row r="22" spans="4:30" x14ac:dyDescent="0.25">
      <c r="D22" s="63"/>
      <c r="E22" s="65"/>
      <c r="F22" s="62"/>
      <c r="G22" s="67"/>
      <c r="H22" s="68"/>
      <c r="I22" s="8">
        <v>3.77</v>
      </c>
      <c r="J22" s="13">
        <f t="shared" si="0"/>
        <v>0.15079999999999999</v>
      </c>
      <c r="K22" s="62"/>
      <c r="L22" s="62"/>
      <c r="M22" s="62"/>
      <c r="N22" s="62"/>
      <c r="O22" s="8">
        <v>7.6</v>
      </c>
      <c r="P22" s="13">
        <f t="shared" si="1"/>
        <v>0.152</v>
      </c>
      <c r="Q22" s="71"/>
      <c r="R22" s="62"/>
      <c r="S22" s="66"/>
      <c r="T22" s="66"/>
      <c r="U22" s="8">
        <v>11.42</v>
      </c>
      <c r="V22" s="13">
        <f t="shared" si="2"/>
        <v>0.15226666666666666</v>
      </c>
      <c r="W22" s="62"/>
      <c r="X22" s="62"/>
      <c r="Y22" s="66"/>
      <c r="Z22" s="66"/>
    </row>
    <row r="23" spans="4:30" x14ac:dyDescent="0.25">
      <c r="D23" s="63">
        <v>8</v>
      </c>
      <c r="E23" s="64">
        <f>(D23/12*(53^4-18^4)+18^4)^(0.25)</f>
        <v>47.97035165300229</v>
      </c>
      <c r="F23" s="62">
        <v>48.1</v>
      </c>
      <c r="G23" s="67">
        <f>(F23*10^-2)^4</f>
        <v>5.3527912321000015E-2</v>
      </c>
      <c r="H23" s="68">
        <f>ABS(4*G23^3*G$3)</f>
        <v>3.0674035237853665E-7</v>
      </c>
      <c r="I23" s="8">
        <v>4.08</v>
      </c>
      <c r="J23" s="13">
        <f t="shared" si="0"/>
        <v>0.16320000000000001</v>
      </c>
      <c r="K23" s="62">
        <f>AVERAGE(J23:J24)</f>
        <v>0.16300000000000001</v>
      </c>
      <c r="L23" s="62">
        <f>SQRT(2)/50 * J$2</f>
        <v>2.8284271247461902E-4</v>
      </c>
      <c r="M23" s="62">
        <f>K23^2</f>
        <v>2.6569000000000002E-2</v>
      </c>
      <c r="N23" s="62">
        <f>ABS(2*K23*L23)</f>
        <v>9.2206724266725808E-5</v>
      </c>
      <c r="O23" s="8">
        <v>8.2200000000000006</v>
      </c>
      <c r="P23" s="13">
        <f t="shared" si="1"/>
        <v>0.16440000000000002</v>
      </c>
      <c r="Q23" s="71">
        <f>AVERAGE(P23:P24)</f>
        <v>0.1643</v>
      </c>
      <c r="R23" s="62">
        <f>SQRT(2)/100 * J$2</f>
        <v>1.4142135623730951E-4</v>
      </c>
      <c r="S23" s="66">
        <f>Q23^2</f>
        <v>2.6994489999999999E-2</v>
      </c>
      <c r="T23" s="66">
        <f>ABS(2*Q23*R23)</f>
        <v>4.6471057659579906E-5</v>
      </c>
      <c r="U23" s="8">
        <v>12.37</v>
      </c>
      <c r="V23" s="13">
        <f t="shared" si="2"/>
        <v>0.16493333333333332</v>
      </c>
      <c r="W23" s="62">
        <f>AVERAGE(V23:V24)</f>
        <v>0.16486666666666666</v>
      </c>
      <c r="X23" s="62">
        <f>SQRT(2)/150 * J$2</f>
        <v>9.4280904158206352E-5</v>
      </c>
      <c r="Y23" s="66">
        <f>W23^2</f>
        <v>2.7181017777777775E-2</v>
      </c>
      <c r="Z23" s="66">
        <f>ABS(2*W23*X23)</f>
        <v>3.1087556797765909E-5</v>
      </c>
    </row>
    <row r="24" spans="4:30" x14ac:dyDescent="0.25">
      <c r="D24" s="63"/>
      <c r="E24" s="65"/>
      <c r="F24" s="62"/>
      <c r="G24" s="67"/>
      <c r="H24" s="68"/>
      <c r="I24" s="8">
        <v>4.07</v>
      </c>
      <c r="J24" s="13">
        <f t="shared" si="0"/>
        <v>0.1628</v>
      </c>
      <c r="K24" s="62"/>
      <c r="L24" s="62"/>
      <c r="M24" s="62"/>
      <c r="N24" s="62"/>
      <c r="O24" s="8">
        <v>8.2100000000000009</v>
      </c>
      <c r="P24" s="13">
        <f t="shared" si="1"/>
        <v>0.16420000000000001</v>
      </c>
      <c r="Q24" s="71"/>
      <c r="R24" s="62"/>
      <c r="S24" s="66"/>
      <c r="T24" s="66"/>
      <c r="U24" s="8">
        <v>12.36</v>
      </c>
      <c r="V24" s="13">
        <f t="shared" si="2"/>
        <v>0.1648</v>
      </c>
      <c r="W24" s="62"/>
      <c r="X24" s="62"/>
      <c r="Y24" s="66"/>
      <c r="Z24" s="66"/>
    </row>
    <row r="25" spans="4:30" x14ac:dyDescent="0.25">
      <c r="D25" s="63">
        <v>9</v>
      </c>
      <c r="E25" s="64">
        <f>(D25/12*(53^4-18^4)+18^4)^(0.25)</f>
        <v>49.376649092699026</v>
      </c>
      <c r="F25" s="62">
        <v>49.5</v>
      </c>
      <c r="G25" s="67">
        <f>(F25*10^-2)^4</f>
        <v>6.0037250624999997E-2</v>
      </c>
      <c r="H25" s="68">
        <f>ABS(4*G25^3*G$3)</f>
        <v>4.3280511314264117E-7</v>
      </c>
      <c r="I25" s="8">
        <v>4.33</v>
      </c>
      <c r="J25" s="13">
        <f t="shared" si="0"/>
        <v>0.17319999999999999</v>
      </c>
      <c r="K25" s="62">
        <f>AVERAGE(J25:J26)</f>
        <v>0.17319999999999999</v>
      </c>
      <c r="L25" s="62">
        <f>SQRT(2)/50 * J$2</f>
        <v>2.8284271247461902E-4</v>
      </c>
      <c r="M25" s="62">
        <f>K25^2</f>
        <v>2.9998239999999999E-2</v>
      </c>
      <c r="N25" s="62">
        <f>ABS(2*K25*L25)</f>
        <v>9.7976715601208022E-5</v>
      </c>
      <c r="O25" s="8">
        <v>8.74</v>
      </c>
      <c r="P25" s="13">
        <f t="shared" si="1"/>
        <v>0.17480000000000001</v>
      </c>
      <c r="Q25" s="71">
        <f>AVERAGE(P25:P26)</f>
        <v>0.17480000000000001</v>
      </c>
      <c r="R25" s="62">
        <f>SQRT(2)/100 * J$2</f>
        <v>1.4142135623730951E-4</v>
      </c>
      <c r="S25" s="66">
        <f>Q25^2</f>
        <v>3.0555040000000006E-2</v>
      </c>
      <c r="T25" s="66">
        <f>ABS(2*Q25*R25)</f>
        <v>4.9440906140563409E-5</v>
      </c>
      <c r="U25" s="8">
        <v>13.15</v>
      </c>
      <c r="V25" s="13">
        <f t="shared" si="2"/>
        <v>0.17533333333333334</v>
      </c>
      <c r="W25" s="62">
        <f>AVERAGE(V25:V26)</f>
        <v>0.17526666666666668</v>
      </c>
      <c r="X25" s="62">
        <f>SQRT(2)/150 * J$2</f>
        <v>9.4280904158206352E-5</v>
      </c>
      <c r="Y25" s="66">
        <f>W25^2</f>
        <v>3.0718404444444451E-2</v>
      </c>
      <c r="Z25" s="66">
        <f>ABS(2*W25*X25)</f>
        <v>3.3048599604256606E-5</v>
      </c>
    </row>
    <row r="26" spans="4:30" x14ac:dyDescent="0.25">
      <c r="D26" s="63"/>
      <c r="E26" s="65"/>
      <c r="F26" s="62"/>
      <c r="G26" s="67"/>
      <c r="H26" s="68"/>
      <c r="I26" s="8">
        <v>4.33</v>
      </c>
      <c r="J26" s="13">
        <f t="shared" si="0"/>
        <v>0.17319999999999999</v>
      </c>
      <c r="K26" s="62"/>
      <c r="L26" s="62"/>
      <c r="M26" s="62"/>
      <c r="N26" s="62"/>
      <c r="O26" s="8">
        <v>8.74</v>
      </c>
      <c r="P26" s="13">
        <f t="shared" si="1"/>
        <v>0.17480000000000001</v>
      </c>
      <c r="Q26" s="71"/>
      <c r="R26" s="62"/>
      <c r="S26" s="66"/>
      <c r="T26" s="66"/>
      <c r="U26" s="8">
        <v>13.14</v>
      </c>
      <c r="V26" s="13">
        <f t="shared" si="2"/>
        <v>0.17519999999999999</v>
      </c>
      <c r="W26" s="62"/>
      <c r="X26" s="62"/>
      <c r="Y26" s="66"/>
      <c r="Z26" s="66"/>
    </row>
    <row r="27" spans="4:30" x14ac:dyDescent="0.25">
      <c r="D27" s="63">
        <v>10</v>
      </c>
      <c r="E27" s="64">
        <f>(D27/12*(53^4-18^4)+18^4)^(0.25)</f>
        <v>50.67211947050933</v>
      </c>
      <c r="F27" s="62">
        <v>50.5</v>
      </c>
      <c r="G27" s="67">
        <f>(F27*10^-2)^4</f>
        <v>6.5037750625000001E-2</v>
      </c>
      <c r="H27" s="68">
        <f>ABS(4*G27^3*G$3)</f>
        <v>5.5020753424412586E-7</v>
      </c>
      <c r="I27" s="8">
        <v>4.4800000000000004</v>
      </c>
      <c r="J27" s="13">
        <f t="shared" si="0"/>
        <v>0.17920000000000003</v>
      </c>
      <c r="K27" s="62">
        <f>AVERAGE(J27:J28)</f>
        <v>0.17899999999999999</v>
      </c>
      <c r="L27" s="62">
        <f>SQRT(2)/50 * J$2</f>
        <v>2.8284271247461902E-4</v>
      </c>
      <c r="M27" s="62">
        <f>K27^2</f>
        <v>3.2041E-2</v>
      </c>
      <c r="N27" s="62">
        <f>ABS(2*K27*L27)</f>
        <v>1.0125769106591361E-4</v>
      </c>
      <c r="O27" s="8">
        <v>9.0299999999999994</v>
      </c>
      <c r="P27" s="13">
        <f t="shared" si="1"/>
        <v>0.18059999999999998</v>
      </c>
      <c r="Q27" s="71">
        <f>AVERAGE(P27:P28)</f>
        <v>0.18059999999999998</v>
      </c>
      <c r="R27" s="62">
        <f>SQRT(2)/100 * J$2</f>
        <v>1.4142135623730951E-4</v>
      </c>
      <c r="S27" s="62">
        <f>Q27^2</f>
        <v>3.2616359999999997E-2</v>
      </c>
      <c r="T27" s="62">
        <f>ABS(2*Q27*R27)</f>
        <v>5.108139387291619E-5</v>
      </c>
      <c r="U27" s="8">
        <v>13.6</v>
      </c>
      <c r="V27" s="13">
        <f t="shared" si="2"/>
        <v>0.18133333333333332</v>
      </c>
      <c r="W27" s="62">
        <f>AVERAGE(V27:V28)</f>
        <v>0.18133333333333332</v>
      </c>
      <c r="X27" s="62">
        <f>SQRT(2)/150 * J$2</f>
        <v>9.4280904158206352E-5</v>
      </c>
      <c r="Y27" s="66">
        <f>W27^2</f>
        <v>3.2881777777777774E-2</v>
      </c>
      <c r="Z27" s="66">
        <f>ABS(2*W27*X27)</f>
        <v>3.4192541241376167E-5</v>
      </c>
    </row>
    <row r="28" spans="4:30" x14ac:dyDescent="0.25">
      <c r="D28" s="63"/>
      <c r="E28" s="65"/>
      <c r="F28" s="62"/>
      <c r="G28" s="67"/>
      <c r="H28" s="68"/>
      <c r="I28" s="8">
        <v>4.47</v>
      </c>
      <c r="J28" s="13">
        <f t="shared" si="0"/>
        <v>0.17879999999999999</v>
      </c>
      <c r="K28" s="62"/>
      <c r="L28" s="62"/>
      <c r="M28" s="62"/>
      <c r="N28" s="62"/>
      <c r="O28" s="8">
        <v>9.0299999999999994</v>
      </c>
      <c r="P28" s="13">
        <f t="shared" si="1"/>
        <v>0.18059999999999998</v>
      </c>
      <c r="Q28" s="71"/>
      <c r="R28" s="62"/>
      <c r="S28" s="62"/>
      <c r="T28" s="62"/>
      <c r="U28" s="8">
        <v>13.6</v>
      </c>
      <c r="V28" s="13">
        <f t="shared" si="2"/>
        <v>0.18133333333333332</v>
      </c>
      <c r="W28" s="62"/>
      <c r="X28" s="62"/>
      <c r="Y28" s="66"/>
      <c r="Z28" s="66"/>
    </row>
    <row r="29" spans="4:30" x14ac:dyDescent="0.25">
      <c r="D29" s="63">
        <v>11</v>
      </c>
      <c r="E29" s="64">
        <f>(D29/12*(53^4-18^4)+18^4)^(0.25)</f>
        <v>51.875221749713887</v>
      </c>
      <c r="F29" s="62">
        <v>52</v>
      </c>
      <c r="G29" s="67">
        <f>(F29*10^-2)^4</f>
        <v>7.3116160000000013E-2</v>
      </c>
      <c r="H29" s="68">
        <f>ABS(4*G29^3*G$3)</f>
        <v>7.8175401297250088E-7</v>
      </c>
      <c r="I29" s="8">
        <v>4.75</v>
      </c>
      <c r="J29" s="13">
        <f t="shared" si="0"/>
        <v>0.19</v>
      </c>
      <c r="K29" s="62">
        <f>AVERAGE(J29:J30)</f>
        <v>0.19</v>
      </c>
      <c r="L29" s="62">
        <f>SQRT(2)/50 * J$2</f>
        <v>2.8284271247461902E-4</v>
      </c>
      <c r="M29" s="62">
        <f>K29^2</f>
        <v>3.61E-2</v>
      </c>
      <c r="N29" s="62">
        <f>ABS(2*K29*L29)</f>
        <v>1.0748023074035523E-4</v>
      </c>
      <c r="O29" s="8">
        <v>9.59</v>
      </c>
      <c r="P29" s="13">
        <f t="shared" si="1"/>
        <v>0.1918</v>
      </c>
      <c r="Q29" s="71">
        <f>AVERAGE(P29:P30)</f>
        <v>0.1918</v>
      </c>
      <c r="R29" s="62">
        <f>SQRT(2)/100 * J$2</f>
        <v>1.4142135623730951E-4</v>
      </c>
      <c r="S29" s="62">
        <f>Q29^2</f>
        <v>3.6787239999999999E-2</v>
      </c>
      <c r="T29" s="62">
        <f>ABS(2*Q29*R29)</f>
        <v>5.424923225263193E-5</v>
      </c>
      <c r="U29" s="8">
        <v>14.43</v>
      </c>
      <c r="V29" s="13">
        <f t="shared" si="2"/>
        <v>0.19239999999999999</v>
      </c>
      <c r="W29" s="62">
        <f>AVERAGE(V29:V30)</f>
        <v>0.19246666666666667</v>
      </c>
      <c r="X29" s="62">
        <f>SQRT(2)/150 * J$2</f>
        <v>9.4280904158206352E-5</v>
      </c>
      <c r="Y29" s="66">
        <f>W29^2</f>
        <v>3.7043417777777782E-2</v>
      </c>
      <c r="Z29" s="66">
        <f>ABS(2*W29*X29)</f>
        <v>3.6291862707298898E-5</v>
      </c>
    </row>
    <row r="30" spans="4:30" x14ac:dyDescent="0.25">
      <c r="D30" s="63"/>
      <c r="E30" s="65"/>
      <c r="F30" s="62"/>
      <c r="G30" s="67"/>
      <c r="H30" s="68"/>
      <c r="I30" s="8">
        <v>4.75</v>
      </c>
      <c r="J30" s="13">
        <f t="shared" si="0"/>
        <v>0.19</v>
      </c>
      <c r="K30" s="62"/>
      <c r="L30" s="62"/>
      <c r="M30" s="62"/>
      <c r="N30" s="62"/>
      <c r="O30" s="8">
        <v>9.59</v>
      </c>
      <c r="P30" s="13">
        <f t="shared" si="1"/>
        <v>0.1918</v>
      </c>
      <c r="Q30" s="71"/>
      <c r="R30" s="62"/>
      <c r="S30" s="62"/>
      <c r="T30" s="62"/>
      <c r="U30" s="8">
        <v>14.44</v>
      </c>
      <c r="V30" s="13">
        <f t="shared" si="2"/>
        <v>0.19253333333333333</v>
      </c>
      <c r="W30" s="62"/>
      <c r="X30" s="62"/>
      <c r="Y30" s="66"/>
      <c r="Z30" s="66"/>
    </row>
    <row r="32" spans="4:30" ht="15.75" thickBot="1" x14ac:dyDescent="0.3"/>
    <row r="33" spans="1:90" x14ac:dyDescent="0.25">
      <c r="A33" s="14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6"/>
    </row>
    <row r="34" spans="1:90" x14ac:dyDescent="0.25">
      <c r="A34" s="17"/>
      <c r="AW34" s="18"/>
    </row>
    <row r="35" spans="1:90" ht="16.149999999999999" customHeight="1" x14ac:dyDescent="0.25">
      <c r="A35" s="17"/>
      <c r="C35" s="60" t="s">
        <v>0</v>
      </c>
      <c r="D35" s="60" t="s">
        <v>1</v>
      </c>
      <c r="E35" s="60" t="s">
        <v>2</v>
      </c>
      <c r="F35" s="57" t="s">
        <v>12</v>
      </c>
      <c r="G35" s="57"/>
      <c r="H35" s="57"/>
      <c r="I35" s="57"/>
      <c r="J35" s="57"/>
      <c r="K35" s="57"/>
      <c r="L35" s="57" t="s">
        <v>13</v>
      </c>
      <c r="M35" s="57"/>
      <c r="N35" s="57"/>
      <c r="O35" s="57"/>
      <c r="P35" s="57" t="s">
        <v>14</v>
      </c>
      <c r="Q35" s="57"/>
      <c r="R35" s="57"/>
      <c r="S35" s="57"/>
      <c r="AW35" s="18"/>
    </row>
    <row r="36" spans="1:90" ht="18" x14ac:dyDescent="0.25">
      <c r="A36" s="17"/>
      <c r="C36" s="60"/>
      <c r="D36" s="60"/>
      <c r="E36" s="60"/>
      <c r="F36" s="4" t="s">
        <v>7</v>
      </c>
      <c r="G36" s="4" t="s">
        <v>10</v>
      </c>
      <c r="H36" s="4" t="s">
        <v>93</v>
      </c>
      <c r="I36" s="4" t="s">
        <v>94</v>
      </c>
      <c r="J36" s="4" t="s">
        <v>95</v>
      </c>
      <c r="K36" s="4" t="s">
        <v>96</v>
      </c>
      <c r="L36" s="4" t="s">
        <v>7</v>
      </c>
      <c r="M36" s="4" t="s">
        <v>10</v>
      </c>
      <c r="N36" s="4" t="s">
        <v>39</v>
      </c>
      <c r="O36" s="4" t="s">
        <v>40</v>
      </c>
      <c r="P36" s="4" t="s">
        <v>7</v>
      </c>
      <c r="Q36" s="4" t="s">
        <v>10</v>
      </c>
      <c r="R36" s="4" t="s">
        <v>39</v>
      </c>
      <c r="S36" s="4" t="s">
        <v>40</v>
      </c>
      <c r="AW36" s="18"/>
    </row>
    <row r="37" spans="1:90" x14ac:dyDescent="0.25">
      <c r="A37" s="17"/>
      <c r="C37" s="8">
        <f>F7</f>
        <v>18</v>
      </c>
      <c r="D37" s="31">
        <f>G7</f>
        <v>1.0497599999999998E-3</v>
      </c>
      <c r="E37" s="23">
        <f>H7</f>
        <v>2.3136627628523507E-12</v>
      </c>
      <c r="F37" s="24">
        <f>M7</f>
        <v>5.6644000000000009E-4</v>
      </c>
      <c r="G37" s="24">
        <f>N7</f>
        <v>1.3463313113791866E-5</v>
      </c>
      <c r="H37" s="24">
        <f>D37*I$74+J$75</f>
        <v>7.1798597025984369E-4</v>
      </c>
      <c r="I37" s="24">
        <f t="shared" ref="I37:I48" si="3">F37-H37</f>
        <v>-1.5154597025984361E-4</v>
      </c>
      <c r="J37" s="2">
        <f t="shared" ref="J37:J48" si="4">D37*I$69+J$69</f>
        <v>5.8594810105143922E-4</v>
      </c>
      <c r="K37" s="2">
        <f>F37-J37</f>
        <v>-1.9508101051439138E-5</v>
      </c>
      <c r="L37" s="24">
        <f>S7</f>
        <v>5.5225000000000001E-4</v>
      </c>
      <c r="M37" s="24">
        <f>T7</f>
        <v>6.6468037431535469E-6</v>
      </c>
      <c r="N37" s="24">
        <f t="shared" ref="N37:N48" si="5">D37*W$70+X$70</f>
        <v>6.0392664330600468E-4</v>
      </c>
      <c r="O37" s="24">
        <f>L37-N37</f>
        <v>-5.1676643306004669E-5</v>
      </c>
      <c r="P37" s="25">
        <f>Y7</f>
        <v>5.6011111111111105E-4</v>
      </c>
      <c r="Q37" s="25">
        <f>Z7</f>
        <v>4.462629463488434E-6</v>
      </c>
      <c r="R37" s="25">
        <f>D37*W$75+X$75</f>
        <v>6.0125234333108593E-4</v>
      </c>
      <c r="S37" s="25">
        <f>P37-R37</f>
        <v>-4.1141232219974876E-5</v>
      </c>
      <c r="AW37" s="18"/>
    </row>
    <row r="38" spans="1:90" x14ac:dyDescent="0.25">
      <c r="A38" s="17"/>
      <c r="C38" s="8">
        <f>F9</f>
        <v>29.5</v>
      </c>
      <c r="D38" s="28">
        <f>G9</f>
        <v>7.5733506249999983E-3</v>
      </c>
      <c r="E38" s="23">
        <f>H9</f>
        <v>8.6874873937477129E-10</v>
      </c>
      <c r="F38" s="24">
        <f>M9</f>
        <v>3.7699600000000006E-3</v>
      </c>
      <c r="G38" s="24">
        <f>N9</f>
        <v>3.4733085091883214E-5</v>
      </c>
      <c r="H38" s="24">
        <f>D38*I$74+J$75</f>
        <v>3.9194360903165365E-3</v>
      </c>
      <c r="I38" s="24">
        <f t="shared" si="3"/>
        <v>-1.4947609031653588E-4</v>
      </c>
      <c r="J38" s="2">
        <f t="shared" si="4"/>
        <v>3.8071690189970904E-3</v>
      </c>
      <c r="K38" s="2">
        <f t="shared" ref="K38:K48" si="6">F38-J38</f>
        <v>-3.7209018997089779E-5</v>
      </c>
      <c r="L38" s="24">
        <f>S9</f>
        <v>3.8439999999999998E-3</v>
      </c>
      <c r="M38" s="24">
        <f>T9</f>
        <v>1.7536248173426379E-5</v>
      </c>
      <c r="N38" s="24">
        <f t="shared" si="5"/>
        <v>3.8831261429473122E-3</v>
      </c>
      <c r="O38" s="24">
        <f t="shared" ref="O38:O48" si="7">L38-N38</f>
        <v>-3.9126142947312412E-5</v>
      </c>
      <c r="P38" s="24">
        <f>Y9</f>
        <v>3.885444444444444E-3</v>
      </c>
      <c r="Q38" s="24">
        <f>Z9</f>
        <v>1.1753686051723058E-5</v>
      </c>
      <c r="R38" s="24">
        <f>D38*W$75+X$75</f>
        <v>3.9032356276991896E-3</v>
      </c>
      <c r="S38" s="24">
        <f t="shared" ref="S38:S48" si="8">P38-R38</f>
        <v>-1.7791183254745654E-5</v>
      </c>
      <c r="AA38" s="1" t="s">
        <v>136</v>
      </c>
      <c r="AW38" s="18"/>
    </row>
    <row r="39" spans="1:90" ht="15.75" thickBot="1" x14ac:dyDescent="0.3">
      <c r="A39" s="17"/>
      <c r="C39" s="8">
        <f>F11</f>
        <v>34.4</v>
      </c>
      <c r="D39" s="28">
        <f>G11</f>
        <v>1.4003408895999997E-2</v>
      </c>
      <c r="E39" s="23">
        <f>H11</f>
        <v>5.4920098379032664E-9</v>
      </c>
      <c r="F39" s="24">
        <f>M11</f>
        <v>6.9889599999999989E-3</v>
      </c>
      <c r="G39" s="24">
        <f>N11</f>
        <v>4.7291301525756293E-5</v>
      </c>
      <c r="H39" s="24">
        <f>D39*I$74+J$75</f>
        <v>7.0749852360240785E-3</v>
      </c>
      <c r="I39" s="24">
        <f t="shared" si="3"/>
        <v>-8.6025236024079611E-5</v>
      </c>
      <c r="J39" s="2">
        <f t="shared" si="4"/>
        <v>6.9822054976471665E-3</v>
      </c>
      <c r="K39" s="2">
        <f t="shared" si="6"/>
        <v>6.7545023528323839E-6</v>
      </c>
      <c r="L39" s="24">
        <f>S11</f>
        <v>7.1233599999999979E-3</v>
      </c>
      <c r="M39" s="24">
        <f>T11</f>
        <v>2.3871924932857842E-5</v>
      </c>
      <c r="N39" s="24">
        <f t="shared" si="5"/>
        <v>7.1153099320592555E-3</v>
      </c>
      <c r="O39" s="24">
        <f t="shared" si="7"/>
        <v>8.0500679407423392E-6</v>
      </c>
      <c r="P39" s="24">
        <f>Y11</f>
        <v>7.1684444444444443E-3</v>
      </c>
      <c r="Q39" s="24">
        <f>Z11</f>
        <v>1.5964899770789608E-5</v>
      </c>
      <c r="R39" s="24">
        <f>D39*W$75+X$75</f>
        <v>7.1578765377202517E-3</v>
      </c>
      <c r="S39" s="24">
        <f t="shared" si="8"/>
        <v>1.0567906724192645E-5</v>
      </c>
      <c r="AW39" s="18"/>
    </row>
    <row r="40" spans="1:90" x14ac:dyDescent="0.25">
      <c r="A40" s="17"/>
      <c r="C40" s="12">
        <f>F13</f>
        <v>37.9</v>
      </c>
      <c r="D40" s="27">
        <f>G13</f>
        <v>2.0632736880999997E-2</v>
      </c>
      <c r="E40" s="23">
        <f>H13</f>
        <v>1.7567117869632877E-8</v>
      </c>
      <c r="F40" s="39">
        <f>M13</f>
        <v>1.1406239999999998E-2</v>
      </c>
      <c r="G40" s="39">
        <f>N13</f>
        <v>6.0415203384578618E-5</v>
      </c>
      <c r="H40" s="39">
        <f>D40*I$74+J$75</f>
        <v>1.0328325933421601E-2</v>
      </c>
      <c r="I40" s="39">
        <f t="shared" si="3"/>
        <v>1.0779140665783966E-3</v>
      </c>
      <c r="J40" s="22">
        <f t="shared" si="4"/>
        <v>1.0255637447127366E-2</v>
      </c>
      <c r="K40" s="22">
        <f t="shared" si="6"/>
        <v>1.1506025528726319E-3</v>
      </c>
      <c r="L40" s="24">
        <f>S13</f>
        <v>1.048576E-2</v>
      </c>
      <c r="M40" s="24">
        <f>T13</f>
        <v>2.8963093757400989E-5</v>
      </c>
      <c r="N40" s="24">
        <f t="shared" si="5"/>
        <v>1.0447660206777808E-2</v>
      </c>
      <c r="O40" s="24">
        <f t="shared" si="7"/>
        <v>3.8099793222192563E-5</v>
      </c>
      <c r="P40" s="24">
        <f>Y13</f>
        <v>1.0540444444444444E-2</v>
      </c>
      <c r="Q40" s="24">
        <f>Z13</f>
        <v>1.9359012320485038E-5</v>
      </c>
      <c r="R40" s="24">
        <f>D40*W$75+X$75</f>
        <v>1.051337988723702E-2</v>
      </c>
      <c r="S40" s="24">
        <f t="shared" si="8"/>
        <v>2.7064557207424553E-5</v>
      </c>
      <c r="AW40" s="18"/>
      <c r="AZ40" s="14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6"/>
    </row>
    <row r="41" spans="1:90" x14ac:dyDescent="0.25">
      <c r="A41" s="17"/>
      <c r="C41" s="8">
        <f>F15</f>
        <v>40</v>
      </c>
      <c r="D41" s="27">
        <f>G15</f>
        <v>2.5600000000000012E-2</v>
      </c>
      <c r="E41" s="23">
        <f>H15</f>
        <v>3.3554432000000049E-8</v>
      </c>
      <c r="F41" s="7">
        <f>M15</f>
        <v>1.2814240000000003E-2</v>
      </c>
      <c r="G41" s="7">
        <f>N15</f>
        <v>6.4035590104253757E-5</v>
      </c>
      <c r="H41" s="7">
        <f>D41*I$74+J$75</f>
        <v>1.2766008802075821E-2</v>
      </c>
      <c r="I41" s="7">
        <f t="shared" si="3"/>
        <v>4.8231197924181526E-5</v>
      </c>
      <c r="J41" s="2">
        <f t="shared" si="4"/>
        <v>1.2708374411115324E-2</v>
      </c>
      <c r="K41" s="2">
        <f t="shared" si="6"/>
        <v>1.0586558888467899E-4</v>
      </c>
      <c r="L41" s="24">
        <f>S15</f>
        <v>1.3087360000000001E-2</v>
      </c>
      <c r="M41" s="24">
        <f>T15</f>
        <v>3.2357206307096415E-5</v>
      </c>
      <c r="N41" s="24">
        <f t="shared" si="5"/>
        <v>1.2944543851191282E-2</v>
      </c>
      <c r="O41" s="24">
        <f t="shared" si="7"/>
        <v>1.4281614880871929E-4</v>
      </c>
      <c r="P41" s="24">
        <f>Y15</f>
        <v>1.3163737777777776E-2</v>
      </c>
      <c r="Q41" s="24">
        <f>Z15</f>
        <v>2.1634324807503081E-5</v>
      </c>
      <c r="R41" s="24">
        <f>D41*W$75+X$75</f>
        <v>1.3027611808096742E-2</v>
      </c>
      <c r="S41" s="24">
        <f t="shared" si="8"/>
        <v>1.3612596968103421E-4</v>
      </c>
      <c r="AW41" s="18"/>
      <c r="AZ41" s="17"/>
      <c r="CL41" s="18"/>
    </row>
    <row r="42" spans="1:90" x14ac:dyDescent="0.25">
      <c r="A42" s="17"/>
      <c r="C42" s="8">
        <f>F17</f>
        <v>42.8</v>
      </c>
      <c r="D42" s="27">
        <f>G17</f>
        <v>3.3556377855999991E-2</v>
      </c>
      <c r="E42" s="23">
        <f>H17</f>
        <v>7.5571009522757847E-8</v>
      </c>
      <c r="F42" s="7">
        <f>M17</f>
        <v>1.6744360000000003E-2</v>
      </c>
      <c r="G42" s="7">
        <f>N17</f>
        <v>7.3199693988431407E-5</v>
      </c>
      <c r="H42" s="7">
        <f>D42*I$74+J$75</f>
        <v>1.6670598821059049E-2</v>
      </c>
      <c r="I42" s="7">
        <f t="shared" si="3"/>
        <v>7.3761178940954381E-5</v>
      </c>
      <c r="J42" s="2">
        <f t="shared" si="4"/>
        <v>1.6637077521731911E-2</v>
      </c>
      <c r="K42" s="2">
        <f t="shared" si="6"/>
        <v>1.0728247826809201E-4</v>
      </c>
      <c r="L42" s="24">
        <f>S17</f>
        <v>1.705636E-2</v>
      </c>
      <c r="M42" s="24">
        <f>T17</f>
        <v>3.693925824918524E-5</v>
      </c>
      <c r="N42" s="24">
        <f t="shared" si="5"/>
        <v>1.6943959477359934E-2</v>
      </c>
      <c r="O42" s="24">
        <f t="shared" si="7"/>
        <v>1.1240052264006525E-4</v>
      </c>
      <c r="P42" s="24">
        <f>Y17</f>
        <v>1.7108640000000001E-2</v>
      </c>
      <c r="Q42" s="24">
        <f>Z17</f>
        <v>2.4663884527786781E-5</v>
      </c>
      <c r="R42" s="24">
        <f>D42*W$75+X$75</f>
        <v>1.7054815260126425E-2</v>
      </c>
      <c r="S42" s="24">
        <f t="shared" si="8"/>
        <v>5.3824739873576527E-5</v>
      </c>
      <c r="AW42" s="18"/>
      <c r="AZ42" s="17"/>
      <c r="CL42" s="18"/>
    </row>
    <row r="43" spans="1:90" x14ac:dyDescent="0.25">
      <c r="A43" s="17"/>
      <c r="C43" s="8">
        <f>F19</f>
        <v>44.6</v>
      </c>
      <c r="D43" s="26">
        <f>G19</f>
        <v>3.9567575056000004E-2</v>
      </c>
      <c r="E43" s="23">
        <f>H19</f>
        <v>1.2389343673789376E-7</v>
      </c>
      <c r="F43" s="7">
        <f>M19</f>
        <v>1.9376639999999997E-2</v>
      </c>
      <c r="G43" s="7">
        <f>N19</f>
        <v>7.8743411152933925E-5</v>
      </c>
      <c r="H43" s="7">
        <f>D43*I$74+J$75</f>
        <v>1.9620592023249676E-2</v>
      </c>
      <c r="I43" s="7">
        <f t="shared" si="3"/>
        <v>-2.4395202324967863E-4</v>
      </c>
      <c r="J43" s="2">
        <f t="shared" si="4"/>
        <v>1.9605288630554576E-2</v>
      </c>
      <c r="K43" s="2">
        <f t="shared" si="6"/>
        <v>-2.2864863055457874E-4</v>
      </c>
      <c r="L43" s="24">
        <f>S19</f>
        <v>1.9740250000000004E-2</v>
      </c>
      <c r="M43" s="24">
        <f>T19</f>
        <v>3.9739401102683978E-5</v>
      </c>
      <c r="N43" s="24">
        <f t="shared" si="5"/>
        <v>1.9965595257959712E-2</v>
      </c>
      <c r="O43" s="24">
        <f t="shared" si="7"/>
        <v>-2.2534525795970747E-4</v>
      </c>
      <c r="P43" s="24">
        <f>Y19</f>
        <v>1.9918617777777779E-2</v>
      </c>
      <c r="Q43" s="24">
        <f>Z19</f>
        <v>2.6612356547056381E-5</v>
      </c>
      <c r="R43" s="24">
        <f>D43*W$75+X$75</f>
        <v>2.0097445280068914E-2</v>
      </c>
      <c r="S43" s="24">
        <f t="shared" si="8"/>
        <v>-1.7882750229113523E-4</v>
      </c>
      <c r="AW43" s="18"/>
      <c r="AZ43" s="17"/>
      <c r="CL43" s="18"/>
    </row>
    <row r="44" spans="1:90" x14ac:dyDescent="0.25">
      <c r="A44" s="17"/>
      <c r="C44" s="8">
        <f>F21</f>
        <v>46.3</v>
      </c>
      <c r="D44" s="26">
        <f>G21</f>
        <v>4.5954068160999992E-2</v>
      </c>
      <c r="E44" s="23">
        <f>H21</f>
        <v>1.9408943146478616E-7</v>
      </c>
      <c r="F44" s="7">
        <f>M21</f>
        <v>2.2680359999999997E-2</v>
      </c>
      <c r="G44" s="7">
        <f>N21</f>
        <v>8.519222499735524E-5</v>
      </c>
      <c r="H44" s="7">
        <f>D44*I$74+J$75</f>
        <v>2.2754761576959749E-2</v>
      </c>
      <c r="I44" s="7">
        <f t="shared" si="3"/>
        <v>-7.4401576959752524E-5</v>
      </c>
      <c r="J44" s="2">
        <f t="shared" si="4"/>
        <v>2.2758813485916209E-2</v>
      </c>
      <c r="K44" s="2">
        <f t="shared" si="6"/>
        <v>-7.8453485916212679E-5</v>
      </c>
      <c r="L44" s="24">
        <f>S21</f>
        <v>2.3073609999999994E-2</v>
      </c>
      <c r="M44" s="24">
        <f>T21</f>
        <v>4.2963808024894622E-5</v>
      </c>
      <c r="N44" s="24">
        <f t="shared" si="5"/>
        <v>2.3175880237235005E-2</v>
      </c>
      <c r="O44" s="24">
        <f t="shared" si="7"/>
        <v>-1.0227023723501094E-4</v>
      </c>
      <c r="P44" s="24">
        <f>Y21</f>
        <v>2.3205444444444442E-2</v>
      </c>
      <c r="Q44" s="24">
        <f>Z21</f>
        <v>2.8724248800200201E-5</v>
      </c>
      <c r="R44" s="24">
        <f>D44*W$75+X$75</f>
        <v>2.3330035227946296E-2</v>
      </c>
      <c r="S44" s="24">
        <f t="shared" si="8"/>
        <v>-1.2459078350185449E-4</v>
      </c>
      <c r="AW44" s="18"/>
      <c r="AZ44" s="17"/>
      <c r="CL44" s="18"/>
    </row>
    <row r="45" spans="1:90" x14ac:dyDescent="0.25">
      <c r="A45" s="17"/>
      <c r="C45" s="8">
        <f>F23</f>
        <v>48.1</v>
      </c>
      <c r="D45" s="26">
        <f>G23</f>
        <v>5.3527912321000015E-2</v>
      </c>
      <c r="E45" s="23">
        <f>H23</f>
        <v>3.0674035237853665E-7</v>
      </c>
      <c r="F45" s="7">
        <f>M23</f>
        <v>2.6569000000000002E-2</v>
      </c>
      <c r="G45" s="7">
        <f>N23</f>
        <v>9.2206724266725808E-5</v>
      </c>
      <c r="H45" s="7">
        <f>D45*I$74+J$75</f>
        <v>2.6471623300686128E-2</v>
      </c>
      <c r="I45" s="7">
        <f t="shared" si="3"/>
        <v>9.7376699313873882E-5</v>
      </c>
      <c r="J45" s="2">
        <f t="shared" si="4"/>
        <v>2.6498628970958633E-2</v>
      </c>
      <c r="K45" s="2">
        <f t="shared" si="6"/>
        <v>7.0371029041369632E-5</v>
      </c>
      <c r="L45" s="24">
        <f>S23</f>
        <v>2.6994489999999999E-2</v>
      </c>
      <c r="M45" s="24">
        <f>T23</f>
        <v>4.6471057659579906E-5</v>
      </c>
      <c r="N45" s="24">
        <f t="shared" si="5"/>
        <v>2.6983008459636811E-2</v>
      </c>
      <c r="O45" s="24">
        <f t="shared" si="7"/>
        <v>1.1481540363188908E-5</v>
      </c>
      <c r="P45" s="24">
        <f>Y23</f>
        <v>2.7181017777777775E-2</v>
      </c>
      <c r="Q45" s="24">
        <f>Z23</f>
        <v>3.1087556797765909E-5</v>
      </c>
      <c r="R45" s="24">
        <f>D45*W$75+X$75</f>
        <v>2.7163615268804401E-2</v>
      </c>
      <c r="S45" s="24">
        <f t="shared" si="8"/>
        <v>1.7402508973373559E-5</v>
      </c>
      <c r="AW45" s="18"/>
      <c r="AZ45" s="17"/>
      <c r="BC45" s="60" t="s">
        <v>0</v>
      </c>
      <c r="BD45" s="60" t="s">
        <v>106</v>
      </c>
      <c r="BE45" s="60" t="s">
        <v>107</v>
      </c>
      <c r="BF45" s="57" t="s">
        <v>12</v>
      </c>
      <c r="BG45" s="57"/>
      <c r="BH45" s="57"/>
      <c r="BI45" s="57"/>
      <c r="BJ45" s="57"/>
      <c r="BK45" s="57"/>
      <c r="BL45" s="57" t="s">
        <v>13</v>
      </c>
      <c r="BM45" s="57"/>
      <c r="BN45" s="57"/>
      <c r="BO45" s="57"/>
      <c r="BP45" s="57" t="s">
        <v>14</v>
      </c>
      <c r="BQ45" s="57"/>
      <c r="BR45" s="57"/>
      <c r="BS45" s="57"/>
      <c r="CL45" s="18"/>
    </row>
    <row r="46" spans="1:90" ht="18" x14ac:dyDescent="0.25">
      <c r="A46" s="17"/>
      <c r="C46" s="8">
        <f>F25</f>
        <v>49.5</v>
      </c>
      <c r="D46" s="26">
        <f>G25</f>
        <v>6.0037250624999997E-2</v>
      </c>
      <c r="E46" s="23">
        <f>H25</f>
        <v>4.3280511314264117E-7</v>
      </c>
      <c r="F46" s="7">
        <f>M25</f>
        <v>2.9998239999999999E-2</v>
      </c>
      <c r="G46" s="7">
        <f>N25</f>
        <v>9.7976715601208022E-5</v>
      </c>
      <c r="H46" s="7">
        <f>D46*I$74+J$75</f>
        <v>2.9666079098536011E-2</v>
      </c>
      <c r="I46" s="7">
        <f t="shared" si="3"/>
        <v>3.3216090146398827E-4</v>
      </c>
      <c r="J46" s="2">
        <f t="shared" si="4"/>
        <v>2.9712812372730508E-2</v>
      </c>
      <c r="K46" s="2">
        <f t="shared" si="6"/>
        <v>2.8542762726949111E-4</v>
      </c>
      <c r="L46" s="24">
        <f>S25</f>
        <v>3.0555040000000006E-2</v>
      </c>
      <c r="M46" s="24">
        <f>T25</f>
        <v>4.9440906140563409E-5</v>
      </c>
      <c r="N46" s="24">
        <f t="shared" si="5"/>
        <v>3.0255043775230014E-2</v>
      </c>
      <c r="O46" s="24">
        <f t="shared" si="7"/>
        <v>2.999962247699911E-4</v>
      </c>
      <c r="P46" s="24">
        <f>Y25</f>
        <v>3.0718404444444451E-2</v>
      </c>
      <c r="Q46" s="24">
        <f>Z25</f>
        <v>3.3048599604256606E-5</v>
      </c>
      <c r="R46" s="24">
        <f>D46*W$75+X$75</f>
        <v>3.0458384592577683E-2</v>
      </c>
      <c r="S46" s="24">
        <f t="shared" si="8"/>
        <v>2.6001985186676832E-4</v>
      </c>
      <c r="AW46" s="18"/>
      <c r="AZ46" s="17"/>
      <c r="BC46" s="60"/>
      <c r="BD46" s="60"/>
      <c r="BE46" s="60"/>
      <c r="BF46" s="4" t="s">
        <v>108</v>
      </c>
      <c r="BG46" s="4" t="s">
        <v>8</v>
      </c>
      <c r="BH46" s="4" t="s">
        <v>114</v>
      </c>
      <c r="BI46" s="4" t="s">
        <v>115</v>
      </c>
      <c r="BJ46" s="4" t="s">
        <v>116</v>
      </c>
      <c r="BK46" s="4" t="s">
        <v>117</v>
      </c>
      <c r="BL46" s="4" t="s">
        <v>108</v>
      </c>
      <c r="BM46" s="4" t="s">
        <v>8</v>
      </c>
      <c r="BN46" s="4" t="s">
        <v>39</v>
      </c>
      <c r="BO46" s="4" t="s">
        <v>40</v>
      </c>
      <c r="BP46" s="4" t="s">
        <v>108</v>
      </c>
      <c r="BQ46" s="4" t="s">
        <v>8</v>
      </c>
      <c r="BR46" s="4" t="s">
        <v>39</v>
      </c>
      <c r="BS46" s="4" t="s">
        <v>40</v>
      </c>
      <c r="CL46" s="18"/>
    </row>
    <row r="47" spans="1:90" x14ac:dyDescent="0.25">
      <c r="A47" s="17"/>
      <c r="C47" s="8">
        <f>F27</f>
        <v>50.5</v>
      </c>
      <c r="D47" s="26">
        <f>G27</f>
        <v>6.5037750625000001E-2</v>
      </c>
      <c r="E47" s="23">
        <f>H27</f>
        <v>5.5020753424412586E-7</v>
      </c>
      <c r="F47" s="7">
        <f>M27</f>
        <v>3.2041E-2</v>
      </c>
      <c r="G47" s="7">
        <f>N27</f>
        <v>1.0125769106591361E-4</v>
      </c>
      <c r="H47" s="7">
        <f>D47*I$74+J$75</f>
        <v>3.2120072956457392E-2</v>
      </c>
      <c r="I47" s="7">
        <f t="shared" si="3"/>
        <v>-7.907295645739193E-5</v>
      </c>
      <c r="J47" s="2">
        <f t="shared" si="4"/>
        <v>3.2181961055736237E-2</v>
      </c>
      <c r="K47" s="2">
        <f t="shared" si="6"/>
        <v>-1.4096105573623702E-4</v>
      </c>
      <c r="L47" s="24">
        <f>S27</f>
        <v>3.2616359999999997E-2</v>
      </c>
      <c r="M47" s="24">
        <f>T27</f>
        <v>5.108139387291619E-5</v>
      </c>
      <c r="N47" s="24">
        <f t="shared" si="5"/>
        <v>3.2768634532307349E-2</v>
      </c>
      <c r="O47" s="24">
        <f t="shared" si="7"/>
        <v>-1.5227453230735183E-4</v>
      </c>
      <c r="P47" s="24">
        <f>Y27</f>
        <v>3.2881777777777774E-2</v>
      </c>
      <c r="Q47" s="24">
        <f>Z27</f>
        <v>3.4192541241376167E-5</v>
      </c>
      <c r="R47" s="24">
        <f>D47*W$75+X$75</f>
        <v>3.2989439706644211E-2</v>
      </c>
      <c r="S47" s="24">
        <f t="shared" si="8"/>
        <v>-1.0766192886643711E-4</v>
      </c>
      <c r="U47" s="61" t="s">
        <v>35</v>
      </c>
      <c r="V47" s="61"/>
      <c r="W47" s="61"/>
      <c r="X47" s="61"/>
      <c r="Y47" s="61"/>
      <c r="AW47" s="18"/>
      <c r="AZ47" s="17"/>
      <c r="BC47" s="8">
        <f t="shared" ref="BC47:BC58" si="9">C37</f>
        <v>18</v>
      </c>
      <c r="BD47" s="8">
        <f>(BC47/100)^2</f>
        <v>3.2399999999999998E-2</v>
      </c>
      <c r="BE47" s="8">
        <f t="shared" ref="BE47:BE58" si="10">ABS(2*BC47*G$3)</f>
        <v>1.8000000000000002E-2</v>
      </c>
      <c r="BF47" s="7">
        <f>K7</f>
        <v>2.3800000000000002E-2</v>
      </c>
      <c r="BG47" s="7">
        <f>L7</f>
        <v>2.8284271247461902E-4</v>
      </c>
      <c r="BH47" s="7">
        <f>BD47*BF$95+BG$95</f>
        <v>2.4458281296220533E-2</v>
      </c>
      <c r="BI47" s="7">
        <f>BF47-BH47</f>
        <v>-6.5828129622053089E-4</v>
      </c>
      <c r="BJ47" s="7">
        <f>BF47*BF$100+BG$100</f>
        <v>1.7517773819444513E-2</v>
      </c>
      <c r="BK47" s="7">
        <f>BH47-BJ47</f>
        <v>6.94050747677602E-3</v>
      </c>
      <c r="BL47" s="7">
        <f>Q7</f>
        <v>2.35E-2</v>
      </c>
      <c r="BM47" s="7">
        <f>R7</f>
        <v>1.4142135623730951E-4</v>
      </c>
      <c r="BN47" s="7">
        <f>BD47*BF$105+BG$105</f>
        <v>2.3580586299750399E-2</v>
      </c>
      <c r="BO47" s="7">
        <f>BL47-BN47</f>
        <v>-8.058629975039866E-5</v>
      </c>
      <c r="BP47" s="24">
        <f>W7</f>
        <v>2.3666666666666666E-2</v>
      </c>
      <c r="BQ47" s="24">
        <f>X7</f>
        <v>9.4280904158206352E-5</v>
      </c>
      <c r="BR47" s="24">
        <f>BD47*BF$110+BG$110</f>
        <v>2.3695553014209909E-2</v>
      </c>
      <c r="BS47" s="24">
        <f>BP47-BR47</f>
        <v>-2.8886347543242985E-5</v>
      </c>
      <c r="CL47" s="18"/>
    </row>
    <row r="48" spans="1:90" x14ac:dyDescent="0.25">
      <c r="A48" s="17"/>
      <c r="C48" s="8">
        <f>F29</f>
        <v>52</v>
      </c>
      <c r="D48" s="26">
        <f>G29</f>
        <v>7.3116160000000013E-2</v>
      </c>
      <c r="E48" s="23">
        <f>H29</f>
        <v>7.8175401297250088E-7</v>
      </c>
      <c r="F48" s="7">
        <f>M29</f>
        <v>3.61E-2</v>
      </c>
      <c r="G48" s="7">
        <f>N29</f>
        <v>1.0748023074035523E-4</v>
      </c>
      <c r="H48" s="7">
        <f>D48*I$74+J$75</f>
        <v>3.6084549906367308E-2</v>
      </c>
      <c r="I48" s="7">
        <f t="shared" si="3"/>
        <v>1.5450093632692063E-5</v>
      </c>
      <c r="J48" s="2">
        <f t="shared" si="4"/>
        <v>3.6170920933560925E-2</v>
      </c>
      <c r="K48" s="2">
        <f t="shared" si="6"/>
        <v>-7.0920933560925103E-5</v>
      </c>
      <c r="L48" s="24">
        <f>S29</f>
        <v>3.6787239999999999E-2</v>
      </c>
      <c r="M48" s="24">
        <f>T29</f>
        <v>5.424923225263193E-5</v>
      </c>
      <c r="N48" s="24">
        <f t="shared" si="5"/>
        <v>3.6829391483989567E-2</v>
      </c>
      <c r="O48" s="24">
        <f t="shared" si="7"/>
        <v>-4.2151483989567862E-5</v>
      </c>
      <c r="P48" s="24">
        <f>Y29</f>
        <v>3.7043417777777782E-2</v>
      </c>
      <c r="Q48" s="24">
        <f>Z29</f>
        <v>3.6291862707298898E-5</v>
      </c>
      <c r="R48" s="24">
        <f>D48*W$75+X$75</f>
        <v>3.7078410681970028E-2</v>
      </c>
      <c r="S48" s="24">
        <f t="shared" si="8"/>
        <v>-3.4992904192246432E-5</v>
      </c>
      <c r="AW48" s="18"/>
      <c r="AZ48" s="17"/>
      <c r="BC48" s="8">
        <f t="shared" si="9"/>
        <v>29.5</v>
      </c>
      <c r="BD48" s="8">
        <f t="shared" ref="BD48:BD58" si="11">(BC48/100)^2</f>
        <v>8.7024999999999991E-2</v>
      </c>
      <c r="BE48" s="8">
        <f t="shared" si="10"/>
        <v>2.9500000000000002E-2</v>
      </c>
      <c r="BF48" s="7">
        <f>K9</f>
        <v>6.1400000000000003E-2</v>
      </c>
      <c r="BG48" s="7">
        <f>L9</f>
        <v>2.8284271247461902E-4</v>
      </c>
      <c r="BH48" s="7">
        <f>BD48*BF$95+BG$95</f>
        <v>6.2511186409373462E-2</v>
      </c>
      <c r="BI48" s="7">
        <f t="shared" ref="BI48:BI58" si="12">BF48-BH48</f>
        <v>-1.1111864093734589E-3</v>
      </c>
      <c r="BJ48" s="7">
        <f>BF48*BF$100+BG$100</f>
        <v>4.3832045450825467E-2</v>
      </c>
      <c r="BK48" s="7">
        <f t="shared" ref="BK48:BK58" si="13">BH48-BJ48</f>
        <v>1.8679140958547995E-2</v>
      </c>
      <c r="BL48" s="7">
        <f>Q9</f>
        <v>6.2E-2</v>
      </c>
      <c r="BM48" s="7">
        <f>R9</f>
        <v>1.4142135623730951E-4</v>
      </c>
      <c r="BN48" s="7">
        <f>BD48*BF$105+BG$105</f>
        <v>6.2211673763390776E-2</v>
      </c>
      <c r="BO48" s="7">
        <f t="shared" ref="BO48:BO58" si="14">BL48-BN48</f>
        <v>-2.116737633907767E-4</v>
      </c>
      <c r="BP48" s="24">
        <f>W9</f>
        <v>6.2333333333333331E-2</v>
      </c>
      <c r="BQ48" s="24">
        <f>X9</f>
        <v>9.4280904158206352E-5</v>
      </c>
      <c r="BR48" s="24">
        <f>BD48*BF$110+BG$110</f>
        <v>6.2441671636625395E-2</v>
      </c>
      <c r="BS48" s="24">
        <f t="shared" ref="BS48:BS58" si="15">BP48-BR48</f>
        <v>-1.0833830329206456E-4</v>
      </c>
      <c r="CL48" s="18"/>
    </row>
    <row r="49" spans="1:115" x14ac:dyDescent="0.25">
      <c r="A49" s="17"/>
      <c r="AW49" s="18"/>
      <c r="AZ49" s="17"/>
      <c r="BC49" s="8">
        <f t="shared" si="9"/>
        <v>34.4</v>
      </c>
      <c r="BD49" s="8">
        <f t="shared" si="11"/>
        <v>0.11833599999999998</v>
      </c>
      <c r="BE49" s="8">
        <f t="shared" si="10"/>
        <v>3.44E-2</v>
      </c>
      <c r="BF49" s="7">
        <f>K11</f>
        <v>8.3599999999999994E-2</v>
      </c>
      <c r="BG49" s="7">
        <f>L11</f>
        <v>2.8284271247461902E-4</v>
      </c>
      <c r="BH49" s="7">
        <f>BD49*BF$95+BG$95</f>
        <v>8.4323076789198287E-2</v>
      </c>
      <c r="BI49" s="7">
        <f t="shared" si="12"/>
        <v>-7.230767891982931E-4</v>
      </c>
      <c r="BJ49" s="7">
        <f>BF49*BF$100+BG$100</f>
        <v>5.9368663275736554E-2</v>
      </c>
      <c r="BK49" s="7">
        <f t="shared" si="13"/>
        <v>2.4954413513461733E-2</v>
      </c>
      <c r="BL49" s="7">
        <f>Q11</f>
        <v>8.4399999999999989E-2</v>
      </c>
      <c r="BM49" s="7">
        <f>R11</f>
        <v>1.4142135623730951E-4</v>
      </c>
      <c r="BN49" s="7">
        <f>BD49*BF$105+BG$105</f>
        <v>8.4354977737286313E-2</v>
      </c>
      <c r="BO49" s="7">
        <f t="shared" si="14"/>
        <v>4.5022262713675931E-5</v>
      </c>
      <c r="BP49" s="24">
        <f>W11</f>
        <v>8.4666666666666668E-2</v>
      </c>
      <c r="BQ49" s="24">
        <f>X11</f>
        <v>9.4280904158206352E-5</v>
      </c>
      <c r="BR49" s="24">
        <f>BD49*BF$110+BG$110</f>
        <v>8.4650911365439147E-2</v>
      </c>
      <c r="BS49" s="24">
        <f t="shared" si="15"/>
        <v>1.5755301227521334E-5</v>
      </c>
      <c r="CL49" s="18"/>
      <c r="CP49" s="60" t="s">
        <v>0</v>
      </c>
      <c r="CQ49" s="60" t="s">
        <v>1</v>
      </c>
      <c r="CR49" s="60" t="s">
        <v>2</v>
      </c>
      <c r="CS49" s="57" t="s">
        <v>50</v>
      </c>
      <c r="CT49" s="57"/>
      <c r="CU49" s="57"/>
      <c r="CV49" s="57"/>
      <c r="CW49" s="57"/>
      <c r="CX49" s="57"/>
      <c r="DF49" s="4" t="s">
        <v>52</v>
      </c>
      <c r="DG49" s="4" t="s">
        <v>123</v>
      </c>
      <c r="DH49" s="4" t="s">
        <v>42</v>
      </c>
      <c r="DI49" s="4" t="s">
        <v>124</v>
      </c>
      <c r="DJ49" s="4" t="s">
        <v>121</v>
      </c>
      <c r="DK49" s="4" t="s">
        <v>122</v>
      </c>
    </row>
    <row r="50" spans="1:115" ht="18" x14ac:dyDescent="0.25">
      <c r="A50" s="17"/>
      <c r="AW50" s="18"/>
      <c r="AZ50" s="17"/>
      <c r="BC50" s="8">
        <f t="shared" si="9"/>
        <v>37.9</v>
      </c>
      <c r="BD50" s="8">
        <f t="shared" si="11"/>
        <v>0.14364099999999999</v>
      </c>
      <c r="BE50" s="8">
        <f t="shared" si="10"/>
        <v>3.7899999999999996E-2</v>
      </c>
      <c r="BF50" s="7">
        <f>K13</f>
        <v>0.10679999999999999</v>
      </c>
      <c r="BG50" s="7">
        <f>L13</f>
        <v>2.8284271247461902E-4</v>
      </c>
      <c r="BH50" s="7">
        <f>BD50*BF$95+BG$95</f>
        <v>0.10195106331346987</v>
      </c>
      <c r="BI50" s="7">
        <f t="shared" si="12"/>
        <v>4.8489366865301226E-3</v>
      </c>
      <c r="BJ50" s="37">
        <f>BF50*BF$100+BG$100</f>
        <v>7.5605128750418416E-2</v>
      </c>
      <c r="BK50" s="37">
        <f t="shared" si="13"/>
        <v>2.6345934563051454E-2</v>
      </c>
      <c r="BL50" s="7">
        <f>Q13</f>
        <v>0.1024</v>
      </c>
      <c r="BM50" s="7">
        <f>R13</f>
        <v>1.4142135623730951E-4</v>
      </c>
      <c r="BN50" s="7">
        <f>BD50*BF$105+BG$105</f>
        <v>0.10225080690465327</v>
      </c>
      <c r="BO50" s="7">
        <f t="shared" si="14"/>
        <v>1.491930953467363E-4</v>
      </c>
      <c r="BP50" s="24">
        <f>W13</f>
        <v>0.10266666666666667</v>
      </c>
      <c r="BQ50" s="24">
        <f>X13</f>
        <v>9.4280904158206352E-5</v>
      </c>
      <c r="BR50" s="24">
        <f>BD50*BF$110+BG$110</f>
        <v>0.10260002865130138</v>
      </c>
      <c r="BS50" s="24">
        <f t="shared" si="15"/>
        <v>6.6638015365286241E-5</v>
      </c>
      <c r="CL50" s="18"/>
      <c r="CP50" s="60"/>
      <c r="CQ50" s="60"/>
      <c r="CR50" s="60"/>
      <c r="CS50" s="4" t="s">
        <v>9</v>
      </c>
      <c r="CT50" s="4" t="s">
        <v>8</v>
      </c>
      <c r="CU50" s="4" t="s">
        <v>7</v>
      </c>
      <c r="CV50" s="4" t="s">
        <v>10</v>
      </c>
      <c r="CW50" s="4" t="s">
        <v>39</v>
      </c>
      <c r="CX50" s="4" t="s">
        <v>40</v>
      </c>
      <c r="DF50" s="2">
        <f t="shared" ref="DF50:DF61" si="16">LOG(CP51/100)</f>
        <v>-0.74472749489669399</v>
      </c>
      <c r="DG50" s="2">
        <f>ABS(1/(LN(10)*DF50)*G$3)</f>
        <v>2.9157946019133858E-4</v>
      </c>
      <c r="DH50" s="2">
        <f t="shared" ref="DH50:DH61" si="17">LOG(CS51)</f>
        <v>-1.6260668480010023</v>
      </c>
      <c r="DI50" s="2">
        <f>ABS(1/(LN(10)*DH50)*J$3)</f>
        <v>2.670827970185541E-4</v>
      </c>
      <c r="DJ50" s="2">
        <f>DF50*CT$90+CU$90</f>
        <v>-1.6336208611216789</v>
      </c>
      <c r="DK50" s="2">
        <f>DH50-DJ50</f>
        <v>7.5540131206766059E-3</v>
      </c>
    </row>
    <row r="51" spans="1:115" x14ac:dyDescent="0.25">
      <c r="A51" s="17"/>
      <c r="N51" s="58" t="s">
        <v>109</v>
      </c>
      <c r="O51" s="58"/>
      <c r="P51" s="58"/>
      <c r="Q51" s="58"/>
      <c r="AW51" s="18"/>
      <c r="AZ51" s="17"/>
      <c r="BC51" s="8">
        <f t="shared" si="9"/>
        <v>40</v>
      </c>
      <c r="BD51" s="8">
        <f t="shared" si="11"/>
        <v>0.16000000000000003</v>
      </c>
      <c r="BE51" s="8">
        <f t="shared" si="10"/>
        <v>0.04</v>
      </c>
      <c r="BF51" s="7">
        <f>K15</f>
        <v>0.11320000000000001</v>
      </c>
      <c r="BG51" s="7">
        <f>L15</f>
        <v>2.8284271247461902E-4</v>
      </c>
      <c r="BH51" s="7">
        <f>BD51*BF$95+BG$95</f>
        <v>0.11334708115779153</v>
      </c>
      <c r="BI51" s="7">
        <f t="shared" si="12"/>
        <v>-1.470811577915232E-4</v>
      </c>
      <c r="BJ51" s="7">
        <f>BF51*BF$100+BG$100</f>
        <v>8.0084153708951361E-2</v>
      </c>
      <c r="BK51" s="7">
        <f t="shared" si="13"/>
        <v>3.3262927448840171E-2</v>
      </c>
      <c r="BL51" s="7">
        <f>Q15</f>
        <v>0.1144</v>
      </c>
      <c r="BM51" s="7">
        <f>R15</f>
        <v>1.4142135623730951E-4</v>
      </c>
      <c r="BN51" s="7">
        <f>BD51*BF$105+BG$105</f>
        <v>0.11381997779376439</v>
      </c>
      <c r="BO51" s="7">
        <f t="shared" si="14"/>
        <v>5.800222062356114E-4</v>
      </c>
      <c r="BP51" s="24">
        <f>W15</f>
        <v>0.11473333333333333</v>
      </c>
      <c r="BQ51" s="24">
        <f>X15</f>
        <v>9.4280904158206352E-5</v>
      </c>
      <c r="BR51" s="24">
        <f>BD51*BF$110+BG$110</f>
        <v>0.11420364887178827</v>
      </c>
      <c r="BS51" s="24">
        <f t="shared" si="15"/>
        <v>5.2968446154505466E-4</v>
      </c>
      <c r="CL51" s="18"/>
      <c r="CP51" s="8">
        <f t="shared" ref="CP51:CP62" si="18">C37</f>
        <v>18</v>
      </c>
      <c r="CQ51" s="29">
        <f t="shared" ref="CQ51:CQ62" si="19">D37</f>
        <v>1.0497599999999998E-3</v>
      </c>
      <c r="CR51" s="23">
        <f t="shared" ref="CR51:CR62" si="20">E37</f>
        <v>2.3136627628523507E-12</v>
      </c>
      <c r="CS51" s="7">
        <f>AVERAGE(K7,Q7,W7)</f>
        <v>2.3655555555555555E-2</v>
      </c>
      <c r="CT51" s="7">
        <f>_xlfn.STDEV.P(K7,Q7,W7)/SQRT(3)</f>
        <v>7.0856023961885523E-5</v>
      </c>
      <c r="CU51" s="25">
        <f>CS51^2</f>
        <v>5.5958530864197529E-4</v>
      </c>
      <c r="CV51" s="25">
        <f>_xlfn.STDEV.P(F37,L37,P37)/SQRT(3)</f>
        <v>3.3511081775101674E-6</v>
      </c>
      <c r="CW51" s="25">
        <f t="shared" ref="CW51:CW62" si="21">CQ51*CT$84+CU$84</f>
        <v>6.1223457377272423E-4</v>
      </c>
      <c r="CX51" s="25">
        <f>CU51-CW51</f>
        <v>-5.2649265130748943E-5</v>
      </c>
      <c r="DF51" s="2">
        <f t="shared" si="16"/>
        <v>-0.53017798402183702</v>
      </c>
      <c r="DG51" s="2">
        <f t="shared" ref="DG51:DG61" si="22">ABS(1/(LN(10)*DF51)*G$3)</f>
        <v>4.0957423260842531E-4</v>
      </c>
      <c r="DH51" s="2">
        <f t="shared" si="17"/>
        <v>-1.208231401687399</v>
      </c>
      <c r="DI51" s="2">
        <f t="shared" ref="DI51:DI61" si="23">ABS(1/(LN(10)*DH51)*J$3)</f>
        <v>3.5944644485875988E-4</v>
      </c>
      <c r="DJ51" s="2">
        <f>DF51*CT$90+CU$90</f>
        <v>-1.2071556222016451</v>
      </c>
      <c r="DK51" s="2">
        <f t="shared" ref="DK51:DK61" si="24">DH51-DJ51</f>
        <v>-1.0757794857538805E-3</v>
      </c>
    </row>
    <row r="52" spans="1:115" x14ac:dyDescent="0.25">
      <c r="A52" s="17"/>
      <c r="N52" s="44" t="s">
        <v>112</v>
      </c>
      <c r="O52" s="44" t="s">
        <v>113</v>
      </c>
      <c r="P52" s="44" t="s">
        <v>110</v>
      </c>
      <c r="Q52" s="44" t="s">
        <v>111</v>
      </c>
      <c r="AW52" s="18"/>
      <c r="AZ52" s="17"/>
      <c r="BC52" s="8">
        <f t="shared" si="9"/>
        <v>42.8</v>
      </c>
      <c r="BD52" s="8">
        <f t="shared" si="11"/>
        <v>0.18318399999999999</v>
      </c>
      <c r="BE52" s="8">
        <f t="shared" si="10"/>
        <v>4.2799999999999998E-2</v>
      </c>
      <c r="BF52" s="7">
        <f>K17</f>
        <v>0.12940000000000002</v>
      </c>
      <c r="BG52" s="7">
        <f>L17</f>
        <v>2.8284271247461902E-4</v>
      </c>
      <c r="BH52" s="7">
        <f>BD52*BF$95+BG$95</f>
        <v>0.12949753520160545</v>
      </c>
      <c r="BI52" s="7">
        <f t="shared" si="12"/>
        <v>-9.7535201605436495E-5</v>
      </c>
      <c r="BJ52" s="7">
        <f>BF52*BF$100+BG$100</f>
        <v>9.1421685635237837E-2</v>
      </c>
      <c r="BK52" s="7">
        <f t="shared" si="13"/>
        <v>3.8075849566367614E-2</v>
      </c>
      <c r="BL52" s="7">
        <f>Q17</f>
        <v>0.13059999999999999</v>
      </c>
      <c r="BM52" s="7">
        <f>R17</f>
        <v>1.4142135623730951E-4</v>
      </c>
      <c r="BN52" s="7">
        <f>BD52*BF$105+BG$105</f>
        <v>0.13021582459938519</v>
      </c>
      <c r="BO52" s="7">
        <f t="shared" si="14"/>
        <v>3.8417540061480571E-4</v>
      </c>
      <c r="BP52" s="24">
        <f>W17</f>
        <v>0.1308</v>
      </c>
      <c r="BQ52" s="24">
        <f>X17</f>
        <v>9.4280904158206352E-5</v>
      </c>
      <c r="BR52" s="24">
        <f>BD52*BF$110+BG$110</f>
        <v>0.13064831732290186</v>
      </c>
      <c r="BS52" s="24">
        <f t="shared" si="15"/>
        <v>1.5168267709814165E-4</v>
      </c>
      <c r="CL52" s="18"/>
      <c r="CP52" s="8">
        <f t="shared" si="18"/>
        <v>29.5</v>
      </c>
      <c r="CQ52" s="28">
        <f t="shared" si="19"/>
        <v>7.5733506249999983E-3</v>
      </c>
      <c r="CR52" s="23">
        <f t="shared" si="20"/>
        <v>8.6874873937477129E-10</v>
      </c>
      <c r="CS52" s="7">
        <f>AVERAGE(K9,Q9,W9)</f>
        <v>6.1911111111111111E-2</v>
      </c>
      <c r="CT52" s="7">
        <f>_xlfn.STDEV.P(K9,Q9,W9)/SQRT(3)</f>
        <v>2.229617324932196E-4</v>
      </c>
      <c r="CU52" s="24">
        <f>AVERAGE(F38,L38,P38)</f>
        <v>3.8331348148148148E-3</v>
      </c>
      <c r="CV52" s="24">
        <f>_xlfn.STDEV.P(F38,L38,P38)/SQRT(3)</f>
        <v>2.7578991255389012E-5</v>
      </c>
      <c r="CW52" s="24">
        <f t="shared" si="21"/>
        <v>3.8782283779075321E-3</v>
      </c>
      <c r="CX52" s="24">
        <f t="shared" ref="CX52:CX62" si="25">CU52-CW52</f>
        <v>-4.5093563092717375E-5</v>
      </c>
      <c r="DF52" s="2">
        <f t="shared" si="16"/>
        <v>-0.46344155742846993</v>
      </c>
      <c r="DG52" s="2">
        <f t="shared" si="22"/>
        <v>4.6855366652167696E-4</v>
      </c>
      <c r="DH52" s="2">
        <f t="shared" si="17"/>
        <v>-1.0745733038072713</v>
      </c>
      <c r="DI52" s="2">
        <f t="shared" si="23"/>
        <v>4.0415528690739195E-4</v>
      </c>
      <c r="DJ52" s="2">
        <f>DF52*CT$90+CU$90</f>
        <v>-1.0745020169999522</v>
      </c>
      <c r="DK52" s="2">
        <f t="shared" si="24"/>
        <v>-7.1286807319159706E-5</v>
      </c>
    </row>
    <row r="53" spans="1:115" x14ac:dyDescent="0.25">
      <c r="A53" s="17"/>
      <c r="N53" s="2" cm="1">
        <f t="array" ref="N53:N55">D37:D39</f>
        <v>1.0497599999999998E-3</v>
      </c>
      <c r="O53" s="2" cm="1">
        <f t="array" ref="O53:O55">F37:F39</f>
        <v>5.6644000000000009E-4</v>
      </c>
      <c r="P53" s="2">
        <f t="shared" ref="P53:P63" si="26">N53*I$69+J$69</f>
        <v>5.8594810105143922E-4</v>
      </c>
      <c r="Q53" s="2">
        <f>O53-P53</f>
        <v>-1.9508101051439138E-5</v>
      </c>
      <c r="AW53" s="18"/>
      <c r="AZ53" s="17"/>
      <c r="BC53" s="8">
        <f t="shared" si="9"/>
        <v>44.6</v>
      </c>
      <c r="BD53" s="8">
        <f t="shared" si="11"/>
        <v>0.19891600000000001</v>
      </c>
      <c r="BE53" s="8">
        <f t="shared" si="10"/>
        <v>4.4600000000000001E-2</v>
      </c>
      <c r="BF53" s="7">
        <f>K19</f>
        <v>0.13919999999999999</v>
      </c>
      <c r="BG53" s="7">
        <f>L19</f>
        <v>2.8284271247461902E-4</v>
      </c>
      <c r="BH53" s="7">
        <f>BD53*BF$95+BG$95</f>
        <v>0.14045677187419353</v>
      </c>
      <c r="BI53" s="7">
        <f t="shared" si="12"/>
        <v>-1.2567718741935408E-3</v>
      </c>
      <c r="BJ53" s="7">
        <f>BF53*BF$100+BG$100</f>
        <v>9.8280192602991368E-2</v>
      </c>
      <c r="BK53" s="7">
        <f t="shared" si="13"/>
        <v>4.2176579271202164E-2</v>
      </c>
      <c r="BL53" s="7">
        <f>Q19</f>
        <v>0.14050000000000001</v>
      </c>
      <c r="BM53" s="7">
        <f>R19</f>
        <v>1.4142135623730951E-4</v>
      </c>
      <c r="BN53" s="7">
        <f>BD53*BF$105+BG$105</f>
        <v>0.14134157778891365</v>
      </c>
      <c r="BO53" s="7">
        <f t="shared" si="14"/>
        <v>-8.4157778891363888E-4</v>
      </c>
      <c r="BP53" s="24">
        <f>W19</f>
        <v>0.14113333333333333</v>
      </c>
      <c r="BQ53" s="24">
        <f>X19</f>
        <v>9.4280904158206352E-5</v>
      </c>
      <c r="BR53" s="24">
        <f>BD53*BF$110+BG$110</f>
        <v>0.14180719948615753</v>
      </c>
      <c r="BS53" s="24">
        <f t="shared" si="15"/>
        <v>-6.7386615282419293E-4</v>
      </c>
      <c r="CL53" s="18"/>
      <c r="CP53" s="8">
        <f t="shared" si="18"/>
        <v>34.4</v>
      </c>
      <c r="CQ53" s="28">
        <f t="shared" si="19"/>
        <v>1.4003408895999997E-2</v>
      </c>
      <c r="CR53" s="23">
        <f t="shared" si="20"/>
        <v>5.4920098379032664E-9</v>
      </c>
      <c r="CS53" s="7">
        <f>AVERAGE(K11,Q11,W11)</f>
        <v>8.4222222222222212E-2</v>
      </c>
      <c r="CT53" s="7">
        <f>_xlfn.STDEV.P(K11,Q11,W11)/SQRT(3)</f>
        <v>2.6168180344675204E-4</v>
      </c>
      <c r="CU53" s="24">
        <f>AVERAGE(F39,L39,P39)</f>
        <v>7.093588148148147E-3</v>
      </c>
      <c r="CV53" s="24">
        <f>_xlfn.STDEV.P(F39,L39,P39)/SQRT(3)</f>
        <v>4.4016256646832496E-5</v>
      </c>
      <c r="CW53" s="24">
        <f t="shared" si="21"/>
        <v>7.0973958089282016E-3</v>
      </c>
      <c r="CX53" s="24">
        <f t="shared" si="25"/>
        <v>-3.8076607800545739E-6</v>
      </c>
      <c r="DF53" s="2">
        <f t="shared" si="16"/>
        <v>-0.42136079003192767</v>
      </c>
      <c r="DG53" s="2">
        <f t="shared" si="22"/>
        <v>5.1534752660581449E-4</v>
      </c>
      <c r="DH53" s="2">
        <f t="shared" si="17"/>
        <v>-0.989134923590269</v>
      </c>
      <c r="DI53" s="2">
        <f t="shared" si="23"/>
        <v>4.3906495620121318E-4</v>
      </c>
      <c r="DJ53" s="2">
        <f>DF53*CT$90+CU$90</f>
        <v>-0.99085706041847399</v>
      </c>
      <c r="DK53" s="2">
        <f t="shared" si="24"/>
        <v>1.7221368282049898E-3</v>
      </c>
    </row>
    <row r="54" spans="1:115" x14ac:dyDescent="0.25">
      <c r="A54" s="17"/>
      <c r="N54" s="2">
        <v>7.5733506249999983E-3</v>
      </c>
      <c r="O54" s="2">
        <v>3.7699600000000006E-3</v>
      </c>
      <c r="P54" s="2">
        <f t="shared" si="26"/>
        <v>3.8071690189970904E-3</v>
      </c>
      <c r="Q54" s="2">
        <f t="shared" ref="Q54:Q63" si="27">O54-P54</f>
        <v>-3.7209018997089779E-5</v>
      </c>
      <c r="AW54" s="18"/>
      <c r="AZ54" s="17"/>
      <c r="BC54" s="8">
        <f t="shared" si="9"/>
        <v>46.3</v>
      </c>
      <c r="BD54" s="8">
        <f t="shared" si="11"/>
        <v>0.21436899999999998</v>
      </c>
      <c r="BE54" s="8">
        <f t="shared" si="10"/>
        <v>4.6300000000000001E-2</v>
      </c>
      <c r="BF54" s="7">
        <f>K21</f>
        <v>0.15059999999999998</v>
      </c>
      <c r="BG54" s="7">
        <f>L21</f>
        <v>2.8284271247461902E-4</v>
      </c>
      <c r="BH54" s="7">
        <f>BD54*BF$95+BG$95</f>
        <v>0.15122165137467042</v>
      </c>
      <c r="BI54" s="7">
        <f t="shared" si="12"/>
        <v>-6.2165137467043441E-4</v>
      </c>
      <c r="BJ54" s="7">
        <f>BF54*BF$100+BG$100</f>
        <v>0.10625845581037814</v>
      </c>
      <c r="BK54" s="7">
        <f t="shared" si="13"/>
        <v>4.4963195564292277E-2</v>
      </c>
      <c r="BL54" s="7">
        <f>Q21</f>
        <v>0.15189999999999998</v>
      </c>
      <c r="BM54" s="7">
        <f>R21</f>
        <v>1.4142135623730951E-4</v>
      </c>
      <c r="BN54" s="7">
        <f>BD54*BF$105+BG$105</f>
        <v>0.1522700207102067</v>
      </c>
      <c r="BO54" s="7">
        <f t="shared" si="14"/>
        <v>-3.7002071020672544E-4</v>
      </c>
      <c r="BP54" s="24">
        <f>W21</f>
        <v>0.15233333333333332</v>
      </c>
      <c r="BQ54" s="24">
        <f>X21</f>
        <v>9.4280904158206352E-5</v>
      </c>
      <c r="BR54" s="24">
        <f>BD54*BF$110+BG$110</f>
        <v>0.15276818385361171</v>
      </c>
      <c r="BS54" s="24">
        <f t="shared" si="15"/>
        <v>-4.3485052027839033E-4</v>
      </c>
      <c r="CL54" s="18"/>
      <c r="CP54" s="8">
        <f t="shared" si="18"/>
        <v>37.9</v>
      </c>
      <c r="CQ54" s="27">
        <f t="shared" si="19"/>
        <v>2.0632736880999997E-2</v>
      </c>
      <c r="CR54" s="23">
        <f t="shared" si="20"/>
        <v>1.7567117869632877E-8</v>
      </c>
      <c r="CS54" s="7">
        <f>AVERAGE(Q13,W13)</f>
        <v>0.10253333333333334</v>
      </c>
      <c r="CT54" s="7">
        <f>_xlfn.STDEV.P(Q13,W13)/SQRT(2)</f>
        <v>9.4280904158205756E-5</v>
      </c>
      <c r="CU54" s="34">
        <f>AVERAGE(L40,P40)</f>
        <v>1.0513102222222223E-2</v>
      </c>
      <c r="CV54" s="34">
        <f>_xlfn.STDEV.P(L40,P40)/SQRT(2)</f>
        <v>1.9333870746042716E-5</v>
      </c>
      <c r="CW54" s="24">
        <f t="shared" si="21"/>
        <v>1.0416326344148213E-2</v>
      </c>
      <c r="CX54" s="24">
        <f t="shared" si="25"/>
        <v>9.6775878074009669E-5</v>
      </c>
      <c r="DF54" s="2">
        <f t="shared" si="16"/>
        <v>-0.3979400086720376</v>
      </c>
      <c r="DG54" s="2">
        <f t="shared" si="22"/>
        <v>5.4567833396864578E-4</v>
      </c>
      <c r="DH54" s="2">
        <f t="shared" si="17"/>
        <v>-0.94267206584204666</v>
      </c>
      <c r="DI54" s="2">
        <f t="shared" si="23"/>
        <v>4.6070579328699637E-4</v>
      </c>
      <c r="DJ54" s="2">
        <f>DF54*CT$90+CU$90</f>
        <v>-0.94430300826700908</v>
      </c>
      <c r="DK54" s="2">
        <f t="shared" si="24"/>
        <v>1.6309424249624227E-3</v>
      </c>
    </row>
    <row r="55" spans="1:115" x14ac:dyDescent="0.25">
      <c r="A55" s="17"/>
      <c r="N55" s="2">
        <v>1.4003408895999997E-2</v>
      </c>
      <c r="O55" s="2">
        <v>6.9889599999999989E-3</v>
      </c>
      <c r="P55" s="2">
        <f t="shared" si="26"/>
        <v>6.9822054976471665E-3</v>
      </c>
      <c r="Q55" s="2">
        <f t="shared" si="27"/>
        <v>6.7545023528323839E-6</v>
      </c>
      <c r="AW55" s="18"/>
      <c r="AZ55" s="17"/>
      <c r="BC55" s="8">
        <f t="shared" si="9"/>
        <v>48.1</v>
      </c>
      <c r="BD55" s="8">
        <f t="shared" si="11"/>
        <v>0.23136100000000004</v>
      </c>
      <c r="BE55" s="8">
        <f t="shared" si="10"/>
        <v>4.8100000000000004E-2</v>
      </c>
      <c r="BF55" s="7">
        <f>K23</f>
        <v>0.16300000000000001</v>
      </c>
      <c r="BG55" s="7">
        <f>L23</f>
        <v>2.8284271247461902E-4</v>
      </c>
      <c r="BH55" s="7">
        <f>BD55*BF$95+BG$95</f>
        <v>0.16305863011485711</v>
      </c>
      <c r="BI55" s="7">
        <f t="shared" si="12"/>
        <v>-5.8630114857100013E-5</v>
      </c>
      <c r="BJ55" s="7">
        <f>BF55*BF$100+BG$100</f>
        <v>0.11493656666753571</v>
      </c>
      <c r="BK55" s="7">
        <f t="shared" si="13"/>
        <v>4.8122063447321395E-2</v>
      </c>
      <c r="BL55" s="7">
        <f>Q23</f>
        <v>0.1643</v>
      </c>
      <c r="BM55" s="7">
        <f>R23</f>
        <v>1.4142135623730951E-4</v>
      </c>
      <c r="BN55" s="7">
        <f>BD55*BF$105+BG$105</f>
        <v>0.16428685253047545</v>
      </c>
      <c r="BO55" s="7">
        <f t="shared" si="14"/>
        <v>1.314746952454926E-5</v>
      </c>
      <c r="BP55" s="24">
        <f>W23</f>
        <v>0.16486666666666666</v>
      </c>
      <c r="BQ55" s="24">
        <f>X23</f>
        <v>9.4280904158206352E-5</v>
      </c>
      <c r="BR55" s="24">
        <f>BD55*BF$110+BG$110</f>
        <v>0.16482079799790622</v>
      </c>
      <c r="BS55" s="24">
        <f t="shared" si="15"/>
        <v>4.5868668760440379E-5</v>
      </c>
      <c r="CL55" s="18"/>
      <c r="CP55" s="8">
        <f t="shared" si="18"/>
        <v>40</v>
      </c>
      <c r="CQ55" s="27">
        <f t="shared" si="19"/>
        <v>2.5600000000000012E-2</v>
      </c>
      <c r="CR55" s="23">
        <f t="shared" si="20"/>
        <v>3.3554432000000049E-8</v>
      </c>
      <c r="CS55" s="7">
        <f>AVERAGE(K15,Q15,W15)</f>
        <v>0.11411111111111112</v>
      </c>
      <c r="CT55" s="7">
        <f>_xlfn.STDEV.P(K15,Q15,W15)/SQRT(3)</f>
        <v>3.8016673838092507E-4</v>
      </c>
      <c r="CU55" s="7">
        <f t="shared" ref="CU55:CU62" si="28">AVERAGE(F41,L41,P41)</f>
        <v>1.3021779259259259E-2</v>
      </c>
      <c r="CV55" s="7">
        <f t="shared" ref="CV55:CV62" si="29">_xlfn.STDEV.P(F41,L41,P41)/SQRT(3)</f>
        <v>8.6618960376247484E-5</v>
      </c>
      <c r="CW55" s="7">
        <f t="shared" si="21"/>
        <v>1.2903154764679488E-2</v>
      </c>
      <c r="CX55" s="7">
        <f t="shared" si="25"/>
        <v>1.186244945797707E-4</v>
      </c>
      <c r="DF55" s="2">
        <f t="shared" si="16"/>
        <v>-0.36855623098682799</v>
      </c>
      <c r="DG55" s="2">
        <f t="shared" si="22"/>
        <v>5.8918347512455066E-4</v>
      </c>
      <c r="DH55" s="2">
        <f t="shared" si="17"/>
        <v>-0.88516669967292694</v>
      </c>
      <c r="DI55" s="2">
        <f t="shared" si="23"/>
        <v>4.9063581138301471E-4</v>
      </c>
      <c r="DJ55" s="2">
        <f>DF55*CT$90+CU$90</f>
        <v>-0.88589616445833086</v>
      </c>
      <c r="DK55" s="2">
        <f t="shared" si="24"/>
        <v>7.2946478540392157E-4</v>
      </c>
    </row>
    <row r="56" spans="1:115" x14ac:dyDescent="0.25">
      <c r="A56" s="17"/>
      <c r="N56" s="2" cm="1">
        <f t="array" ref="N56:N63">D41:D48</f>
        <v>2.5600000000000012E-2</v>
      </c>
      <c r="O56" s="2" cm="1">
        <f t="array" ref="O56:O63">F41:F48</f>
        <v>1.2814240000000003E-2</v>
      </c>
      <c r="P56" s="2">
        <f t="shared" si="26"/>
        <v>1.2708374411115324E-2</v>
      </c>
      <c r="Q56" s="2">
        <f t="shared" si="27"/>
        <v>1.0586558888467899E-4</v>
      </c>
      <c r="AW56" s="18"/>
      <c r="AZ56" s="17"/>
      <c r="BC56" s="8">
        <f t="shared" si="9"/>
        <v>49.5</v>
      </c>
      <c r="BD56" s="8">
        <f t="shared" si="11"/>
        <v>0.24502499999999999</v>
      </c>
      <c r="BE56" s="8">
        <f t="shared" si="10"/>
        <v>4.9500000000000002E-2</v>
      </c>
      <c r="BF56" s="7">
        <f>K25</f>
        <v>0.17319999999999999</v>
      </c>
      <c r="BG56" s="7">
        <f>L25</f>
        <v>2.8284271247461902E-4</v>
      </c>
      <c r="BH56" s="7">
        <f>BD56*BF$95+BG$95</f>
        <v>0.17257725520348172</v>
      </c>
      <c r="BI56" s="7">
        <f t="shared" si="12"/>
        <v>6.2274479651827641E-4</v>
      </c>
      <c r="BJ56" s="7">
        <f>BF56*BF$100+BG$100</f>
        <v>0.12207501269519755</v>
      </c>
      <c r="BK56" s="7">
        <f t="shared" si="13"/>
        <v>5.0502242508284167E-2</v>
      </c>
      <c r="BL56" s="7">
        <f>Q25</f>
        <v>0.17480000000000001</v>
      </c>
      <c r="BM56" s="7">
        <f>R25</f>
        <v>1.4142135623730951E-4</v>
      </c>
      <c r="BN56" s="7">
        <f>BD56*BF$105+BG$105</f>
        <v>0.17395010523716983</v>
      </c>
      <c r="BO56" s="7">
        <f t="shared" si="14"/>
        <v>8.4989476283017784E-4</v>
      </c>
      <c r="BP56" s="24">
        <f>W25</f>
        <v>0.17526666666666668</v>
      </c>
      <c r="BQ56" s="24">
        <f>X25</f>
        <v>9.4280904158206352E-5</v>
      </c>
      <c r="BR56" s="24">
        <f>BD56*BF$110+BG$110</f>
        <v>0.17451282481450453</v>
      </c>
      <c r="BS56" s="24">
        <f t="shared" si="15"/>
        <v>7.5384185216215149E-4</v>
      </c>
      <c r="CL56" s="18"/>
      <c r="CP56" s="8">
        <f t="shared" si="18"/>
        <v>42.8</v>
      </c>
      <c r="CQ56" s="26">
        <f t="shared" si="19"/>
        <v>3.3556377855999991E-2</v>
      </c>
      <c r="CR56" s="23">
        <f t="shared" si="20"/>
        <v>7.5571009522757847E-8</v>
      </c>
      <c r="CS56" s="7">
        <f>AVERAGE(K17,Q17,W17)</f>
        <v>0.13026666666666667</v>
      </c>
      <c r="CT56" s="7">
        <f>_xlfn.STDEV.P(K17,Q17,W17)/SQRT(3)</f>
        <v>3.5694174231575107E-4</v>
      </c>
      <c r="CU56" s="7">
        <f t="shared" si="28"/>
        <v>1.696978666666667E-2</v>
      </c>
      <c r="CV56" s="7">
        <f t="shared" si="29"/>
        <v>9.2851358074592352E-5</v>
      </c>
      <c r="CW56" s="7">
        <f t="shared" si="21"/>
        <v>1.6886464306125667E-2</v>
      </c>
      <c r="CX56" s="7">
        <f t="shared" si="25"/>
        <v>8.3322360541003559E-5</v>
      </c>
      <c r="DF56" s="2">
        <f t="shared" si="16"/>
        <v>-0.35066514128785814</v>
      </c>
      <c r="DG56" s="2">
        <f t="shared" si="22"/>
        <v>6.1924387509442098E-4</v>
      </c>
      <c r="DH56" s="2">
        <f t="shared" si="17"/>
        <v>-0.85301112264862589</v>
      </c>
      <c r="DI56" s="2">
        <f t="shared" si="23"/>
        <v>5.0913108911728377E-4</v>
      </c>
      <c r="DJ56" s="2">
        <f>DF56*CT$90+CU$90</f>
        <v>-0.8503336138288804</v>
      </c>
      <c r="DK56" s="2">
        <f t="shared" si="24"/>
        <v>-2.6775088197454888E-3</v>
      </c>
    </row>
    <row r="57" spans="1:115" x14ac:dyDescent="0.25">
      <c r="A57" s="17"/>
      <c r="N57" s="2">
        <v>3.3556377855999991E-2</v>
      </c>
      <c r="O57" s="2">
        <v>1.6744360000000003E-2</v>
      </c>
      <c r="P57" s="2">
        <f t="shared" si="26"/>
        <v>1.6637077521731911E-2</v>
      </c>
      <c r="Q57" s="2">
        <f t="shared" si="27"/>
        <v>1.0728247826809201E-4</v>
      </c>
      <c r="AW57" s="18"/>
      <c r="AZ57" s="17"/>
      <c r="BC57" s="8">
        <f t="shared" si="9"/>
        <v>50.5</v>
      </c>
      <c r="BD57" s="8">
        <f t="shared" si="11"/>
        <v>0.255025</v>
      </c>
      <c r="BE57" s="8">
        <f t="shared" si="10"/>
        <v>5.0500000000000003E-2</v>
      </c>
      <c r="BF57" s="7">
        <f>K27</f>
        <v>0.17899999999999999</v>
      </c>
      <c r="BG57" s="7">
        <f>L27</f>
        <v>2.8284271247461902E-4</v>
      </c>
      <c r="BH57" s="7">
        <f>BD57*BF$95+BG$95</f>
        <v>0.17954346208918479</v>
      </c>
      <c r="BI57" s="7">
        <f t="shared" si="12"/>
        <v>-5.43462089184793E-4</v>
      </c>
      <c r="BJ57" s="7">
        <f>BF57*BF$100+BG$100</f>
        <v>0.12613412906386803</v>
      </c>
      <c r="BK57" s="7">
        <f t="shared" si="13"/>
        <v>5.3409333025316752E-2</v>
      </c>
      <c r="BL57" s="7">
        <f>Q27</f>
        <v>0.18059999999999998</v>
      </c>
      <c r="BM57" s="7">
        <f>R27</f>
        <v>1.4142135623730951E-4</v>
      </c>
      <c r="BN57" s="7">
        <f>BD57*BF$105+BG$105</f>
        <v>0.18102215786209255</v>
      </c>
      <c r="BO57" s="7">
        <f t="shared" si="14"/>
        <v>-4.2215786209257034E-4</v>
      </c>
      <c r="BP57" s="24">
        <f>W27</f>
        <v>0.18133333333333332</v>
      </c>
      <c r="BQ57" s="24">
        <f>X27</f>
        <v>9.4280904158206352E-5</v>
      </c>
      <c r="BR57" s="24">
        <f>BD57*BF$110+BG$110</f>
        <v>0.18160593577512979</v>
      </c>
      <c r="BS57" s="24">
        <f t="shared" si="15"/>
        <v>-2.726024417964712E-4</v>
      </c>
      <c r="CL57" s="18"/>
      <c r="CP57" s="8">
        <f t="shared" si="18"/>
        <v>44.6</v>
      </c>
      <c r="CQ57" s="26">
        <f t="shared" si="19"/>
        <v>3.9567575056000004E-2</v>
      </c>
      <c r="CR57" s="23">
        <f t="shared" si="20"/>
        <v>1.2389343673789376E-7</v>
      </c>
      <c r="CS57" s="7">
        <f>AVERAGE(K19,Q19,W19)</f>
        <v>0.14027777777777778</v>
      </c>
      <c r="CT57" s="7">
        <f>_xlfn.STDEV.P(K19,Q19,W19)/SQRT(3)</f>
        <v>4.6463402120653453E-4</v>
      </c>
      <c r="CU57" s="7">
        <f t="shared" si="28"/>
        <v>1.9678502592592594E-2</v>
      </c>
      <c r="CV57" s="7">
        <f t="shared" si="29"/>
        <v>1.3020883622720023E-4</v>
      </c>
      <c r="CW57" s="7">
        <f t="shared" si="21"/>
        <v>1.9895931628522608E-2</v>
      </c>
      <c r="CX57" s="7">
        <f t="shared" si="25"/>
        <v>-2.1742903593001406E-4</v>
      </c>
      <c r="DF57" s="2">
        <f t="shared" si="16"/>
        <v>-0.33441900898204691</v>
      </c>
      <c r="DG57" s="2">
        <f t="shared" si="22"/>
        <v>6.4932684781469267E-4</v>
      </c>
      <c r="DH57" s="2">
        <f t="shared" si="17"/>
        <v>-0.81926896943340954</v>
      </c>
      <c r="DI57" s="2">
        <f t="shared" si="23"/>
        <v>5.301000014727781E-4</v>
      </c>
      <c r="DJ57" s="2">
        <f>DF57*CT$90+CU$90</f>
        <v>-0.81804078469553643</v>
      </c>
      <c r="DK57" s="2">
        <f t="shared" si="24"/>
        <v>-1.228184737873117E-3</v>
      </c>
    </row>
    <row r="58" spans="1:115" x14ac:dyDescent="0.25">
      <c r="A58" s="17"/>
      <c r="N58" s="2">
        <v>3.9567575056000004E-2</v>
      </c>
      <c r="O58" s="2">
        <v>1.9376639999999997E-2</v>
      </c>
      <c r="P58" s="2">
        <f t="shared" si="26"/>
        <v>1.9605288630554576E-2</v>
      </c>
      <c r="Q58" s="2">
        <f t="shared" si="27"/>
        <v>-2.2864863055457874E-4</v>
      </c>
      <c r="AW58" s="18"/>
      <c r="AZ58" s="17"/>
      <c r="BC58" s="8">
        <f t="shared" si="9"/>
        <v>52</v>
      </c>
      <c r="BD58" s="8">
        <f t="shared" si="11"/>
        <v>0.27040000000000003</v>
      </c>
      <c r="BE58" s="8">
        <f t="shared" si="10"/>
        <v>5.2000000000000005E-2</v>
      </c>
      <c r="BF58" s="7">
        <f>K29</f>
        <v>0.19</v>
      </c>
      <c r="BG58" s="7">
        <f>L29</f>
        <v>2.8284271247461902E-4</v>
      </c>
      <c r="BH58" s="7">
        <f>BD58*BF$95+BG$95</f>
        <v>0.19025400517595326</v>
      </c>
      <c r="BI58" s="7">
        <f t="shared" si="12"/>
        <v>-2.5400517595325356E-4</v>
      </c>
      <c r="BJ58" s="7">
        <f>BF58*BF$100+BG$100</f>
        <v>0.13383245321134649</v>
      </c>
      <c r="BK58" s="7">
        <f t="shared" si="13"/>
        <v>5.642155196460677E-2</v>
      </c>
      <c r="BL58" s="7">
        <f>Q29</f>
        <v>0.1918</v>
      </c>
      <c r="BM58" s="7">
        <f>R29</f>
        <v>1.4142135623730951E-4</v>
      </c>
      <c r="BN58" s="7">
        <f>BD58*BF$105+BG$105</f>
        <v>0.19189543877291126</v>
      </c>
      <c r="BO58" s="7">
        <f t="shared" si="14"/>
        <v>-9.5438772911266012E-5</v>
      </c>
      <c r="BP58" s="24">
        <f>W29</f>
        <v>0.19246666666666667</v>
      </c>
      <c r="BQ58" s="24">
        <f>X29</f>
        <v>9.4280904158206352E-5</v>
      </c>
      <c r="BR58" s="24">
        <f>BD58*BF$110+BG$110</f>
        <v>0.19251159387709116</v>
      </c>
      <c r="BS58" s="24">
        <f t="shared" si="15"/>
        <v>-4.4927210424483555E-5</v>
      </c>
      <c r="CL58" s="18"/>
      <c r="CP58" s="8">
        <f t="shared" si="18"/>
        <v>46.3</v>
      </c>
      <c r="CQ58" s="26">
        <f t="shared" si="19"/>
        <v>4.5954068160999992E-2</v>
      </c>
      <c r="CR58" s="23">
        <f t="shared" si="20"/>
        <v>1.9408943146478616E-7</v>
      </c>
      <c r="CS58" s="7">
        <f>AVERAGE(K21,Q21,W21)</f>
        <v>0.15161111111111111</v>
      </c>
      <c r="CT58" s="7">
        <f>_xlfn.STDEV.P(K21,Q21,W21)/SQRT(3)</f>
        <v>4.2523293060097079E-4</v>
      </c>
      <c r="CU58" s="7">
        <f t="shared" si="28"/>
        <v>2.2986471481481478E-2</v>
      </c>
      <c r="CV58" s="7">
        <f t="shared" si="29"/>
        <v>1.2877479006784961E-4</v>
      </c>
      <c r="CW58" s="7">
        <f t="shared" si="21"/>
        <v>2.3093288438612088E-2</v>
      </c>
      <c r="CX58" s="7">
        <f t="shared" si="25"/>
        <v>-1.0681695713061004E-4</v>
      </c>
      <c r="DF58" s="2">
        <f t="shared" si="16"/>
        <v>-0.31785492362616818</v>
      </c>
      <c r="DG58" s="2">
        <f t="shared" si="22"/>
        <v>6.8316462892679475E-4</v>
      </c>
      <c r="DH58" s="2">
        <f t="shared" si="17"/>
        <v>-0.78500905813822763</v>
      </c>
      <c r="DI58" s="2">
        <f t="shared" si="23"/>
        <v>5.5323499442573229E-4</v>
      </c>
      <c r="DJ58" s="2">
        <f>DF58*CT$90+CU$90</f>
        <v>-0.78511595261373801</v>
      </c>
      <c r="DK58" s="2">
        <f t="shared" si="24"/>
        <v>1.0689447551037734E-4</v>
      </c>
    </row>
    <row r="59" spans="1:115" x14ac:dyDescent="0.25">
      <c r="A59" s="17"/>
      <c r="N59" s="2">
        <v>4.5954068160999992E-2</v>
      </c>
      <c r="O59" s="2">
        <v>2.2680359999999997E-2</v>
      </c>
      <c r="P59" s="2">
        <f t="shared" si="26"/>
        <v>2.2758813485916209E-2</v>
      </c>
      <c r="Q59" s="2">
        <f t="shared" si="27"/>
        <v>-7.8453485916212679E-5</v>
      </c>
      <c r="AW59" s="18"/>
      <c r="AZ59" s="17"/>
      <c r="CL59" s="18"/>
      <c r="CP59" s="8">
        <f t="shared" si="18"/>
        <v>48.1</v>
      </c>
      <c r="CQ59" s="26">
        <f t="shared" si="19"/>
        <v>5.3527912321000015E-2</v>
      </c>
      <c r="CR59" s="23">
        <f t="shared" si="20"/>
        <v>3.0674035237853665E-7</v>
      </c>
      <c r="CS59" s="7">
        <f>AVERAGE(K23,Q23,W23)</f>
        <v>0.16405555555555557</v>
      </c>
      <c r="CT59" s="7">
        <f>_xlfn.STDEV.P(K23,Q23,W23)/SQRT(3)</f>
        <v>4.5115307230495899E-4</v>
      </c>
      <c r="CU59" s="7">
        <f t="shared" si="28"/>
        <v>2.6914835925925928E-2</v>
      </c>
      <c r="CV59" s="7">
        <f t="shared" si="29"/>
        <v>1.4787383414884399E-4</v>
      </c>
      <c r="CW59" s="7">
        <f t="shared" si="21"/>
        <v>2.6885084938724737E-2</v>
      </c>
      <c r="CX59" s="7">
        <f t="shared" si="25"/>
        <v>2.9750987201190848E-5</v>
      </c>
      <c r="DF59" s="2">
        <f t="shared" si="16"/>
        <v>-0.3053948010664313</v>
      </c>
      <c r="DG59" s="2">
        <f t="shared" si="22"/>
        <v>7.1103777861755658E-4</v>
      </c>
      <c r="DH59" s="2">
        <f t="shared" si="17"/>
        <v>-0.7583981846920429</v>
      </c>
      <c r="DI59" s="2">
        <f t="shared" si="23"/>
        <v>5.7264704830431857E-4</v>
      </c>
      <c r="DJ59" s="2">
        <f>DF59*CT$90+CU$90</f>
        <v>-0.76034866639274745</v>
      </c>
      <c r="DK59" s="2">
        <f t="shared" si="24"/>
        <v>1.9504817007045538E-3</v>
      </c>
    </row>
    <row r="60" spans="1:115" ht="14.45" customHeight="1" x14ac:dyDescent="0.25">
      <c r="A60" s="17"/>
      <c r="N60" s="2">
        <v>5.3527912321000015E-2</v>
      </c>
      <c r="O60" s="2">
        <v>2.6569000000000002E-2</v>
      </c>
      <c r="P60" s="2">
        <f t="shared" si="26"/>
        <v>2.6498628970958633E-2</v>
      </c>
      <c r="Q60" s="2">
        <f t="shared" si="27"/>
        <v>7.0371029041369632E-5</v>
      </c>
      <c r="AW60" s="18"/>
      <c r="AZ60" s="17"/>
      <c r="CL60" s="18"/>
      <c r="CP60" s="8">
        <f t="shared" si="18"/>
        <v>49.5</v>
      </c>
      <c r="CQ60" s="26">
        <f t="shared" si="19"/>
        <v>6.0037250624999997E-2</v>
      </c>
      <c r="CR60" s="23">
        <f t="shared" si="20"/>
        <v>4.3280511314264117E-7</v>
      </c>
      <c r="CS60" s="7">
        <f>AVERAGE(K25,Q25,W25)</f>
        <v>0.17442222222222223</v>
      </c>
      <c r="CT60" s="7">
        <f>_xlfn.STDEV.P(K25,Q25,W25)/SQRT(3)</f>
        <v>5.1095005514016959E-4</v>
      </c>
      <c r="CU60" s="7">
        <f t="shared" si="28"/>
        <v>3.0423894814814816E-2</v>
      </c>
      <c r="CV60" s="7">
        <f t="shared" si="29"/>
        <v>1.7798782820958379E-4</v>
      </c>
      <c r="CW60" s="7">
        <f t="shared" si="21"/>
        <v>3.0143943409765186E-2</v>
      </c>
      <c r="CX60" s="7">
        <f t="shared" si="25"/>
        <v>2.7995140504962976E-4</v>
      </c>
      <c r="DF60" s="2">
        <f t="shared" si="16"/>
        <v>-0.29670862188133862</v>
      </c>
      <c r="DG60" s="2">
        <f t="shared" si="22"/>
        <v>7.3185349173462391E-4</v>
      </c>
      <c r="DH60" s="2">
        <f t="shared" si="17"/>
        <v>-0.7439775104070363</v>
      </c>
      <c r="DI60" s="2">
        <f t="shared" si="23"/>
        <v>5.8374678781035417E-4</v>
      </c>
      <c r="DJ60" s="2">
        <f>DF60*CT$90+CU$90</f>
        <v>-0.74308293846650919</v>
      </c>
      <c r="DK60" s="2">
        <f t="shared" si="24"/>
        <v>-8.9457194052711131E-4</v>
      </c>
    </row>
    <row r="61" spans="1:115" x14ac:dyDescent="0.25">
      <c r="A61" s="17"/>
      <c r="N61" s="2">
        <v>6.0037250624999997E-2</v>
      </c>
      <c r="O61" s="2">
        <v>2.9998239999999999E-2</v>
      </c>
      <c r="P61" s="2">
        <f t="shared" si="26"/>
        <v>2.9712812372730508E-2</v>
      </c>
      <c r="Q61" s="2">
        <f t="shared" si="27"/>
        <v>2.8542762726949111E-4</v>
      </c>
      <c r="AW61" s="18"/>
      <c r="AZ61" s="17"/>
      <c r="CL61" s="18"/>
      <c r="CP61" s="8">
        <f t="shared" si="18"/>
        <v>50.5</v>
      </c>
      <c r="CQ61" s="26">
        <f t="shared" si="19"/>
        <v>6.5037750625000001E-2</v>
      </c>
      <c r="CR61" s="23">
        <f t="shared" si="20"/>
        <v>5.5020753424412586E-7</v>
      </c>
      <c r="CS61" s="7">
        <f>AVERAGE(K27,Q27,W27)</f>
        <v>0.18031111111111109</v>
      </c>
      <c r="CT61" s="7">
        <f>_xlfn.STDEV.P(K27,Q27,W27)/SQRT(3)</f>
        <v>5.62475422416876E-4</v>
      </c>
      <c r="CU61" s="7">
        <f t="shared" si="28"/>
        <v>3.2513045925925924E-2</v>
      </c>
      <c r="CV61" s="7">
        <f t="shared" si="29"/>
        <v>2.0261192590081617E-4</v>
      </c>
      <c r="CW61" s="7">
        <f t="shared" si="21"/>
        <v>3.2647411661587952E-2</v>
      </c>
      <c r="CX61" s="7">
        <f t="shared" si="25"/>
        <v>-1.343657356620287E-4</v>
      </c>
      <c r="DF61" s="2">
        <f t="shared" si="16"/>
        <v>-0.28399665636520083</v>
      </c>
      <c r="DG61" s="2">
        <f t="shared" si="22"/>
        <v>7.6461196315068226E-4</v>
      </c>
      <c r="DH61" s="2">
        <f t="shared" si="17"/>
        <v>-0.71800764634876235</v>
      </c>
      <c r="DI61" s="2">
        <f t="shared" si="23"/>
        <v>6.0486052497036951E-4</v>
      </c>
      <c r="DJ61" s="2">
        <f>DF61*CT$90+CU$90</f>
        <v>-0.71781505792519662</v>
      </c>
      <c r="DK61" s="2">
        <f t="shared" si="24"/>
        <v>-1.9258842356573158E-4</v>
      </c>
    </row>
    <row r="62" spans="1:115" x14ac:dyDescent="0.25">
      <c r="A62" s="17"/>
      <c r="N62" s="2">
        <v>6.5037750625000001E-2</v>
      </c>
      <c r="O62" s="2">
        <v>3.2041E-2</v>
      </c>
      <c r="P62" s="2">
        <f t="shared" si="26"/>
        <v>3.2181961055736237E-2</v>
      </c>
      <c r="Q62" s="2">
        <f t="shared" si="27"/>
        <v>-1.4096105573623702E-4</v>
      </c>
      <c r="AW62" s="18"/>
      <c r="AZ62" s="17"/>
      <c r="CL62" s="18"/>
      <c r="CP62" s="8">
        <f t="shared" si="18"/>
        <v>52</v>
      </c>
      <c r="CQ62" s="26">
        <f t="shared" si="19"/>
        <v>7.3116160000000013E-2</v>
      </c>
      <c r="CR62" s="23">
        <f t="shared" si="20"/>
        <v>7.8175401297250088E-7</v>
      </c>
      <c r="CS62" s="7">
        <f>AVERAGE(K29,Q29,W29)</f>
        <v>0.19142222222222224</v>
      </c>
      <c r="CT62" s="7">
        <f>_xlfn.STDEV.P(K29,Q29,W29)/SQRT(3)</f>
        <v>6.0150702372331318E-4</v>
      </c>
      <c r="CU62" s="7">
        <f t="shared" si="28"/>
        <v>3.6643552592592589E-2</v>
      </c>
      <c r="CV62" s="7">
        <f t="shared" si="29"/>
        <v>2.2997286271905513E-4</v>
      </c>
      <c r="CW62" s="7">
        <f t="shared" si="21"/>
        <v>3.6691815500312058E-2</v>
      </c>
      <c r="CX62" s="7">
        <f t="shared" si="25"/>
        <v>-4.8262907719469339E-5</v>
      </c>
    </row>
    <row r="63" spans="1:115" x14ac:dyDescent="0.25">
      <c r="A63" s="17"/>
      <c r="N63" s="2">
        <v>7.3116160000000013E-2</v>
      </c>
      <c r="O63" s="2">
        <v>3.61E-2</v>
      </c>
      <c r="P63" s="2">
        <f t="shared" si="26"/>
        <v>3.6170920933560925E-2</v>
      </c>
      <c r="Q63" s="2">
        <f t="shared" si="27"/>
        <v>-7.0920933560925103E-5</v>
      </c>
      <c r="AW63" s="18"/>
      <c r="AZ63" s="17"/>
      <c r="CL63" s="18"/>
    </row>
    <row r="64" spans="1:115" x14ac:dyDescent="0.25">
      <c r="A64" s="17"/>
      <c r="AW64" s="18"/>
      <c r="AZ64" s="17"/>
      <c r="CL64" s="18"/>
    </row>
    <row r="65" spans="1:90" x14ac:dyDescent="0.25">
      <c r="A65" s="17"/>
      <c r="AW65" s="18"/>
      <c r="AZ65" s="17"/>
      <c r="CL65" s="18"/>
    </row>
    <row r="66" spans="1:90" x14ac:dyDescent="0.25">
      <c r="A66" s="17"/>
      <c r="AW66" s="18"/>
      <c r="AZ66" s="17"/>
      <c r="CL66" s="18"/>
    </row>
    <row r="67" spans="1:90" ht="17.25" x14ac:dyDescent="0.25">
      <c r="A67" s="17"/>
      <c r="M67" s="3" t="s">
        <v>36</v>
      </c>
      <c r="N67" s="9">
        <f>5.029*PI()^2 *AD16 /(I69 * AE12^2)</f>
        <v>262195280229.24564</v>
      </c>
      <c r="AW67" s="18"/>
      <c r="AZ67" s="17"/>
      <c r="CL67" s="18"/>
    </row>
    <row r="68" spans="1:90" ht="16.149999999999999" customHeight="1" x14ac:dyDescent="0.25">
      <c r="A68" s="17"/>
      <c r="H68" s="57" t="s">
        <v>119</v>
      </c>
      <c r="I68" s="57"/>
      <c r="J68" s="57"/>
      <c r="K68" s="57"/>
      <c r="M68" s="3" t="s">
        <v>37</v>
      </c>
      <c r="N68" s="23">
        <f>SQRT((PI()^2*5.029/(I69*AE12^2)^2 * AE12^2*AD16*I70)^2+(PI()^2*5.029/(I69*AE12^2)^2 * AD16*I69*AE12*AE13)^2+(PI()^2*5.029/(I69*AE12^2)^2*I69*AE12^2*AD17)^2)</f>
        <v>3492025470.9228477</v>
      </c>
      <c r="O68" s="54"/>
      <c r="P68" s="54"/>
      <c r="Q68" s="54"/>
      <c r="R68" s="54"/>
      <c r="S68" s="54"/>
      <c r="AA68" s="3" t="s">
        <v>36</v>
      </c>
      <c r="AB68" s="28">
        <f>5.029*PI()^2 *AD16 /(W70 * AE12^2)</f>
        <v>257559481011.58606</v>
      </c>
      <c r="AW68" s="18"/>
      <c r="AZ68" s="17"/>
      <c r="CL68" s="18"/>
    </row>
    <row r="69" spans="1:90" ht="16.149999999999999" customHeight="1" x14ac:dyDescent="0.25">
      <c r="A69" s="17"/>
      <c r="H69" s="4" t="s">
        <v>18</v>
      </c>
      <c r="I69" s="13">
        <f t="array" ref="I69:J71">LINEST(O53:O63,N53:N63,1,1)</f>
        <v>0.49378035856528812</v>
      </c>
      <c r="J69" s="7">
        <v>6.7597231843942451E-5</v>
      </c>
      <c r="K69" s="4" t="s">
        <v>30</v>
      </c>
      <c r="M69" s="3" t="s">
        <v>38</v>
      </c>
      <c r="N69" s="32">
        <f>N68/N67</f>
        <v>1.3318414686449197E-2</v>
      </c>
      <c r="O69" s="54"/>
      <c r="P69" s="54"/>
      <c r="Q69" s="54"/>
      <c r="R69" s="54"/>
      <c r="S69" s="54"/>
      <c r="V69" s="57" t="s">
        <v>33</v>
      </c>
      <c r="W69" s="57"/>
      <c r="X69" s="57"/>
      <c r="Y69" s="57"/>
      <c r="AA69" s="3" t="s">
        <v>37</v>
      </c>
      <c r="AB69" s="23">
        <f>SQRT((PI()^2*5.029/((W70*AD12^2)^2) * W70 * AD12^2*AD17 )^2+(PI()^2*5.029/((W70*AD12^2)^2)*AD16*AD12^2*W71)^2+(PI()^2*5.029/((W70*AD12^2)^2)*AD16*AD12*W70*AD13)^2)</f>
        <v>13228.878687712851</v>
      </c>
      <c r="AW69" s="18"/>
      <c r="AZ69" s="17"/>
      <c r="CL69" s="18"/>
    </row>
    <row r="70" spans="1:90" ht="14.45" customHeight="1" x14ac:dyDescent="0.25">
      <c r="A70" s="17"/>
      <c r="H70" s="4" t="s">
        <v>28</v>
      </c>
      <c r="I70" s="13">
        <v>1.9297221110047011E-3</v>
      </c>
      <c r="J70" s="7">
        <v>8.5825617230797803E-5</v>
      </c>
      <c r="K70" s="4" t="s">
        <v>31</v>
      </c>
      <c r="M70" s="3" t="s">
        <v>48</v>
      </c>
      <c r="N70" s="9">
        <f>200*10^9</f>
        <v>200000000000</v>
      </c>
      <c r="O70" s="54"/>
      <c r="P70" s="54"/>
      <c r="Q70" s="54"/>
      <c r="R70" s="54"/>
      <c r="S70" s="54"/>
      <c r="V70" s="4" t="s">
        <v>18</v>
      </c>
      <c r="W70" s="13">
        <f t="array" ref="W70:X72">LINEST(L37:L48,D37:D48,1,1)</f>
        <v>0.50266788462700451</v>
      </c>
      <c r="X70" s="7">
        <v>7.624600473996046E-5</v>
      </c>
      <c r="Y70" s="4" t="s">
        <v>30</v>
      </c>
      <c r="AA70" s="3" t="s">
        <v>38</v>
      </c>
      <c r="AB70" s="38">
        <f>AB69/AB68</f>
        <v>5.1362421743339993E-8</v>
      </c>
      <c r="AW70" s="18"/>
      <c r="AZ70" s="17"/>
      <c r="CL70" s="18"/>
    </row>
    <row r="71" spans="1:90" ht="16.149999999999999" customHeight="1" x14ac:dyDescent="0.25">
      <c r="A71" s="17"/>
      <c r="H71" s="4" t="s">
        <v>29</v>
      </c>
      <c r="I71" s="24">
        <v>0.99986256265978812</v>
      </c>
      <c r="J71" s="7">
        <v>1.4692541923332127E-4</v>
      </c>
      <c r="K71" s="4" t="s">
        <v>32</v>
      </c>
      <c r="M71" s="3" t="s">
        <v>49</v>
      </c>
      <c r="N71" s="33">
        <f>(N67-N70)/N70</f>
        <v>0.31097640114622815</v>
      </c>
      <c r="O71" s="54"/>
      <c r="P71" s="54"/>
      <c r="Q71" s="54"/>
      <c r="R71" s="54"/>
      <c r="S71" s="54"/>
      <c r="V71" s="4" t="s">
        <v>28</v>
      </c>
      <c r="W71" s="13">
        <v>1.8813772631225141E-3</v>
      </c>
      <c r="X71" s="7">
        <v>8.0893048387299334E-5</v>
      </c>
      <c r="Y71" s="4" t="s">
        <v>31</v>
      </c>
      <c r="AA71" s="3" t="s">
        <v>48</v>
      </c>
      <c r="AB71" s="9">
        <f>200*10^9</f>
        <v>200000000000</v>
      </c>
      <c r="AW71" s="18"/>
      <c r="AZ71" s="17"/>
      <c r="CL71" s="18"/>
    </row>
    <row r="72" spans="1:90" ht="16.149999999999999" customHeight="1" x14ac:dyDescent="0.25">
      <c r="A72" s="17"/>
      <c r="O72" s="54"/>
      <c r="P72" s="54"/>
      <c r="Q72" s="54"/>
      <c r="R72" s="54"/>
      <c r="S72" s="54"/>
      <c r="V72" s="4" t="s">
        <v>29</v>
      </c>
      <c r="W72" s="24">
        <v>0.99985993530801831</v>
      </c>
      <c r="X72" s="7">
        <v>1.4665660106500053E-4</v>
      </c>
      <c r="Y72" s="4" t="s">
        <v>32</v>
      </c>
      <c r="AA72" s="3" t="s">
        <v>49</v>
      </c>
      <c r="AB72" s="33">
        <f>(AB68-AB71)/AB71</f>
        <v>0.28779740505793028</v>
      </c>
      <c r="AW72" s="18"/>
      <c r="AZ72" s="17"/>
      <c r="CL72" s="18"/>
    </row>
    <row r="73" spans="1:90" ht="16.149999999999999" customHeight="1" x14ac:dyDescent="0.25">
      <c r="A73" s="17"/>
      <c r="H73" s="57" t="s">
        <v>118</v>
      </c>
      <c r="I73" s="57"/>
      <c r="J73" s="57"/>
      <c r="K73" s="57"/>
      <c r="M73" s="3" t="s">
        <v>36</v>
      </c>
      <c r="N73" s="9">
        <f>5.029*PI()^2 *AD16 /(I74 * AE12^2)</f>
        <v>263814487056.91895</v>
      </c>
      <c r="O73" s="54"/>
      <c r="P73" s="54"/>
      <c r="Q73" s="54"/>
      <c r="R73" s="54"/>
      <c r="S73" s="54"/>
      <c r="AW73" s="18"/>
      <c r="AZ73" s="17"/>
      <c r="CL73" s="18"/>
    </row>
    <row r="74" spans="1:90" ht="16.149999999999999" customHeight="1" x14ac:dyDescent="0.25">
      <c r="A74" s="17"/>
      <c r="H74" s="4" t="s">
        <v>18</v>
      </c>
      <c r="I74" s="13">
        <f t="array" ref="I74:J76">LINEST(F37:F48,D37:D48,1,1)</f>
        <v>0.49074969661461448</v>
      </c>
      <c r="J74" s="7">
        <v>2.7451825912392508E-4</v>
      </c>
      <c r="K74" s="4" t="s">
        <v>30</v>
      </c>
      <c r="M74" s="3" t="s">
        <v>37</v>
      </c>
      <c r="N74" s="23">
        <f>SQRT((PI()^2*5.029/(I74*AE12^2)^2 * AE12^2*AD16*I75)^2+(PI()^2*5.029/(I74*AE12^2)^2 * AD16*I74*AE12*AE13)^2+(PI()^2*5.029/(I74*AE12^2)^2*I74*AE12^2*AD17)^2)</f>
        <v>4208609135.4932847</v>
      </c>
      <c r="O74" s="54"/>
      <c r="P74" s="54"/>
      <c r="Q74" s="54"/>
      <c r="R74" s="54"/>
      <c r="S74" s="54"/>
      <c r="V74" s="57" t="s">
        <v>34</v>
      </c>
      <c r="W74" s="57"/>
      <c r="X74" s="57"/>
      <c r="Y74" s="57"/>
      <c r="AA74" s="3" t="s">
        <v>36</v>
      </c>
      <c r="AB74" s="28">
        <f>5.029*PI()^2 *AD16 /(W75 * AE12^2)</f>
        <v>255782312787.41794</v>
      </c>
      <c r="AW74" s="18"/>
      <c r="AZ74" s="17"/>
      <c r="CL74" s="18"/>
    </row>
    <row r="75" spans="1:90" ht="14.45" customHeight="1" x14ac:dyDescent="0.25">
      <c r="A75" s="17"/>
      <c r="H75" s="4" t="s">
        <v>28</v>
      </c>
      <c r="I75" s="13">
        <v>4.7170243750517633E-3</v>
      </c>
      <c r="J75" s="7">
        <v>2.028165687416861E-4</v>
      </c>
      <c r="K75" s="4" t="s">
        <v>31</v>
      </c>
      <c r="M75" s="3" t="s">
        <v>38</v>
      </c>
      <c r="N75" s="32">
        <f>N74/N73</f>
        <v>1.595291139028791E-2</v>
      </c>
      <c r="O75" s="54"/>
      <c r="P75" s="54"/>
      <c r="Q75" s="54"/>
      <c r="R75" s="54"/>
      <c r="S75" s="54"/>
      <c r="V75" s="4" t="s">
        <v>18</v>
      </c>
      <c r="W75" s="13">
        <f t="array" ref="W75:X77">LINEST(P37:P48,D37:D48,1,1)</f>
        <v>0.5061604067726283</v>
      </c>
      <c r="X75" s="7">
        <v>6.9905394717451746E-5</v>
      </c>
      <c r="Y75" s="4" t="s">
        <v>30</v>
      </c>
      <c r="AA75" s="3" t="s">
        <v>37</v>
      </c>
      <c r="AB75" s="23">
        <f>SQRT((PI()^2*5.029/((W75*AD12^2)^2) * W75 * AD12^2*AD17 )^2+(PI()^2*5.029/((W75*AD12^2)^2)*AD16*AD12^2*W76)^2+(PI()^2*5.029/((W75*AD12^2)^2)*AD16*AD12*W75*AD13)^2)</f>
        <v>12943.82209495285</v>
      </c>
      <c r="AR75" s="4" t="s">
        <v>41</v>
      </c>
      <c r="AS75" s="4" t="s">
        <v>123</v>
      </c>
      <c r="AT75" s="4" t="s">
        <v>42</v>
      </c>
      <c r="AU75" s="4" t="s">
        <v>124</v>
      </c>
      <c r="AV75" s="4" t="s">
        <v>121</v>
      </c>
      <c r="AW75" s="4" t="s">
        <v>122</v>
      </c>
      <c r="AZ75" s="17"/>
      <c r="CL75" s="18"/>
    </row>
    <row r="76" spans="1:90" ht="15.6" customHeight="1" x14ac:dyDescent="0.25">
      <c r="A76" s="17"/>
      <c r="H76" s="4" t="s">
        <v>29</v>
      </c>
      <c r="I76" s="7">
        <v>0.99907697150159858</v>
      </c>
      <c r="J76" s="7">
        <v>3.6770018196015657E-4</v>
      </c>
      <c r="K76" s="4" t="s">
        <v>32</v>
      </c>
      <c r="M76" s="3" t="s">
        <v>48</v>
      </c>
      <c r="N76" s="9">
        <f>200*10^9</f>
        <v>200000000000</v>
      </c>
      <c r="O76" s="54"/>
      <c r="P76" s="54"/>
      <c r="Q76" s="54"/>
      <c r="R76" s="54"/>
      <c r="S76" s="54"/>
      <c r="V76" s="4" t="s">
        <v>28</v>
      </c>
      <c r="W76" s="13">
        <v>1.5842572083112265E-3</v>
      </c>
      <c r="X76" s="7">
        <v>6.811786105948192E-5</v>
      </c>
      <c r="Y76" s="4" t="s">
        <v>31</v>
      </c>
      <c r="AA76" s="3" t="s">
        <v>38</v>
      </c>
      <c r="AB76" s="38">
        <f>AB75/AB74</f>
        <v>5.0604836409116883E-8</v>
      </c>
      <c r="AJ76" s="56"/>
      <c r="AR76" s="42">
        <f>U82</f>
        <v>-0.74472749489669399</v>
      </c>
      <c r="AS76" s="42">
        <f t="shared" ref="AS76:AS87" si="30">ABS(1/(LN(10)*AR76)*G$3)</f>
        <v>2.9157946019133858E-4</v>
      </c>
      <c r="AT76" s="42">
        <f>LOG(W7)</f>
        <v>-1.6258629060005871</v>
      </c>
      <c r="AU76" s="42">
        <f t="shared" ref="AU76:AU87" si="31">ABS(1/(LN(10)*AT76)*J$3)</f>
        <v>2.6711629885914562E-4</v>
      </c>
      <c r="AV76" s="42">
        <f>AR76*I$115+J$115</f>
        <v>-1.6313216668060142</v>
      </c>
      <c r="AW76" s="42">
        <f>AT76-AV76</f>
        <v>5.4587608054270653E-3</v>
      </c>
      <c r="AZ76" s="17"/>
      <c r="CL76" s="18"/>
    </row>
    <row r="77" spans="1:90" ht="18" x14ac:dyDescent="0.25">
      <c r="A77" s="17"/>
      <c r="M77" s="3" t="s">
        <v>49</v>
      </c>
      <c r="N77" s="33">
        <f>(N73-N76)/N76</f>
        <v>0.31907243528459472</v>
      </c>
      <c r="V77" s="4" t="s">
        <v>29</v>
      </c>
      <c r="W77" s="24">
        <v>0.99990204367155311</v>
      </c>
      <c r="X77" s="7">
        <v>1.2349558057166816E-4</v>
      </c>
      <c r="Y77" s="4" t="s">
        <v>32</v>
      </c>
      <c r="AA77" s="3" t="s">
        <v>48</v>
      </c>
      <c r="AB77" s="9">
        <f>200*10^9</f>
        <v>200000000000</v>
      </c>
      <c r="AR77" s="2">
        <f>U83</f>
        <v>-0.53017798402183702</v>
      </c>
      <c r="AS77" s="2">
        <f>ABS(1/(LN(10)*AR77)*G$3)</f>
        <v>4.0957423260842531E-4</v>
      </c>
      <c r="AT77" s="2">
        <f>LOG(W9)</f>
        <v>-1.2052796481831636</v>
      </c>
      <c r="AU77" s="2">
        <f t="shared" si="31"/>
        <v>3.6032673625403577E-4</v>
      </c>
      <c r="AV77" s="2">
        <f>AR77*I$115+J$115</f>
        <v>-1.204939235048629</v>
      </c>
      <c r="AW77" s="2">
        <f t="shared" ref="AW77:AW87" si="32">AT77-AV77</f>
        <v>-3.4041313453458955E-4</v>
      </c>
      <c r="AZ77" s="17"/>
      <c r="CL77" s="18"/>
    </row>
    <row r="78" spans="1:90" x14ac:dyDescent="0.25">
      <c r="A78" s="17"/>
      <c r="AA78" s="3" t="s">
        <v>49</v>
      </c>
      <c r="AB78" s="33">
        <f>(AB74-AB77)/AB77</f>
        <v>0.27891156393708971</v>
      </c>
      <c r="AR78" s="2">
        <f>U84</f>
        <v>-0.46344155742846993</v>
      </c>
      <c r="AS78" s="2">
        <f>ABS(1/(LN(10)*AR78)*G$3)</f>
        <v>4.6855366652167696E-4</v>
      </c>
      <c r="AT78" s="2">
        <f>LOG(W11)</f>
        <v>-1.0722875380997243</v>
      </c>
      <c r="AU78" s="2">
        <f t="shared" si="31"/>
        <v>4.0501681356186925E-4</v>
      </c>
      <c r="AV78" s="2">
        <f>AR78*I$115+J$115</f>
        <v>-1.0723113873241217</v>
      </c>
      <c r="AW78" s="2">
        <f t="shared" si="32"/>
        <v>2.3849224397354263E-5</v>
      </c>
      <c r="AZ78" s="17"/>
      <c r="CL78" s="18"/>
    </row>
    <row r="79" spans="1:90" x14ac:dyDescent="0.25">
      <c r="A79" s="17"/>
      <c r="B79" s="57" t="s">
        <v>12</v>
      </c>
      <c r="C79" s="57"/>
      <c r="D79" s="57"/>
      <c r="E79" s="57"/>
      <c r="F79" s="57"/>
      <c r="G79" s="57"/>
      <c r="H79" s="57"/>
      <c r="I79" s="57"/>
      <c r="AR79" s="2">
        <f>U85</f>
        <v>-0.42136079003192767</v>
      </c>
      <c r="AS79" s="2">
        <f t="shared" si="30"/>
        <v>5.1534752660581449E-4</v>
      </c>
      <c r="AT79" s="2">
        <f>LOG(W13)</f>
        <v>-0.98857053821921814</v>
      </c>
      <c r="AU79" s="2">
        <f t="shared" si="31"/>
        <v>4.3931562302633166E-4</v>
      </c>
      <c r="AV79" s="2">
        <f>AR79*I$115+J$115</f>
        <v>-0.98868267216373074</v>
      </c>
      <c r="AW79" s="2">
        <f t="shared" si="32"/>
        <v>1.1213394451259351E-4</v>
      </c>
      <c r="AZ79" s="17"/>
      <c r="CL79" s="18"/>
    </row>
    <row r="80" spans="1:90" x14ac:dyDescent="0.25">
      <c r="A80" s="17"/>
      <c r="B80" s="4" t="s">
        <v>41</v>
      </c>
      <c r="C80" s="4" t="s">
        <v>123</v>
      </c>
      <c r="D80" s="4" t="s">
        <v>42</v>
      </c>
      <c r="E80" s="4" t="s">
        <v>124</v>
      </c>
      <c r="F80" s="4" t="s">
        <v>128</v>
      </c>
      <c r="G80" s="4" t="s">
        <v>129</v>
      </c>
      <c r="H80" s="4" t="s">
        <v>126</v>
      </c>
      <c r="I80" s="4" t="s">
        <v>127</v>
      </c>
      <c r="K80" s="58" t="s">
        <v>125</v>
      </c>
      <c r="L80" s="58"/>
      <c r="M80" s="58"/>
      <c r="N80" s="58"/>
      <c r="AR80" s="2">
        <f>U86</f>
        <v>-0.3979400086720376</v>
      </c>
      <c r="AS80" s="2">
        <f t="shared" si="30"/>
        <v>5.4567833396864578E-4</v>
      </c>
      <c r="AT80" s="2">
        <f>LOG(W15)</f>
        <v>-0.940310388728121</v>
      </c>
      <c r="AU80" s="2">
        <f t="shared" si="31"/>
        <v>4.6186289879311611E-4</v>
      </c>
      <c r="AV80" s="2">
        <f>AR80*I$115+J$115</f>
        <v>-0.94213765945702388</v>
      </c>
      <c r="AW80" s="2">
        <f t="shared" si="32"/>
        <v>1.8272707289028745E-3</v>
      </c>
      <c r="AZ80" s="17"/>
      <c r="CL80" s="18"/>
    </row>
    <row r="81" spans="1:103" x14ac:dyDescent="0.25">
      <c r="A81" s="17"/>
      <c r="B81" s="40">
        <f t="shared" ref="B81:B92" si="33">LOG(C37/100)</f>
        <v>-0.74472749489669399</v>
      </c>
      <c r="C81" s="40">
        <f t="shared" ref="C81:C92" si="34">ABS(1/(LN(10)*B81)*G$3)</f>
        <v>2.9157946019133858E-4</v>
      </c>
      <c r="D81" s="40">
        <f>LOG(K7)</f>
        <v>-1.6234230429434879</v>
      </c>
      <c r="E81" s="40">
        <f t="shared" ref="E81:E92" si="35">ABS(1/(LN(10)*D81)*J$3)</f>
        <v>2.6751775132858566E-4</v>
      </c>
      <c r="F81" s="40">
        <f>B81*I$125+J$125</f>
        <v>-1.6287981273656675</v>
      </c>
      <c r="G81" s="40">
        <f t="shared" ref="G81:G92" si="36">D81-F81</f>
        <v>5.375084422179599E-3</v>
      </c>
      <c r="H81" s="40">
        <f>D81*I$130+J$130</f>
        <v>-3.3881972985872122</v>
      </c>
      <c r="I81" s="40">
        <f t="shared" ref="I81:I92" si="37">F81-H81</f>
        <v>1.7593991712215447</v>
      </c>
      <c r="K81" s="44" t="s">
        <v>112</v>
      </c>
      <c r="L81" s="44" t="s">
        <v>113</v>
      </c>
      <c r="M81" s="44" t="s">
        <v>110</v>
      </c>
      <c r="N81" s="44" t="s">
        <v>111</v>
      </c>
      <c r="U81" s="4" t="s">
        <v>41</v>
      </c>
      <c r="V81" s="4" t="s">
        <v>123</v>
      </c>
      <c r="W81" s="4" t="s">
        <v>42</v>
      </c>
      <c r="X81" s="4" t="s">
        <v>124</v>
      </c>
      <c r="Y81" s="4" t="s">
        <v>121</v>
      </c>
      <c r="Z81" s="4" t="s">
        <v>122</v>
      </c>
      <c r="AR81" s="2">
        <f>U87</f>
        <v>-0.36855623098682799</v>
      </c>
      <c r="AS81" s="2">
        <f t="shared" si="30"/>
        <v>5.8918347512455066E-4</v>
      </c>
      <c r="AT81" s="2">
        <f>LOG(W17)</f>
        <v>-0.88339225601175153</v>
      </c>
      <c r="AU81" s="2">
        <f t="shared" si="31"/>
        <v>4.9162133689507296E-4</v>
      </c>
      <c r="AV81" s="2">
        <f>AR81*I$115+J$115</f>
        <v>-0.88374215656097732</v>
      </c>
      <c r="AW81" s="2">
        <f t="shared" si="32"/>
        <v>3.4990054922579006E-4</v>
      </c>
      <c r="AZ81" s="17"/>
      <c r="CL81" s="18"/>
    </row>
    <row r="82" spans="1:103" x14ac:dyDescent="0.25">
      <c r="A82" s="17"/>
      <c r="B82" s="7">
        <f t="shared" si="33"/>
        <v>-0.53017798402183702</v>
      </c>
      <c r="C82" s="7">
        <f t="shared" si="34"/>
        <v>4.0957423260842531E-4</v>
      </c>
      <c r="D82" s="7">
        <f>LOG(K9)</f>
        <v>-1.2118316288588322</v>
      </c>
      <c r="E82" s="7">
        <f t="shared" si="35"/>
        <v>3.583785664285903E-4</v>
      </c>
      <c r="F82" s="7">
        <f>B82*I$125+J$125</f>
        <v>-1.2058241118781834</v>
      </c>
      <c r="G82" s="7">
        <f t="shared" si="36"/>
        <v>-6.0075169806488304E-3</v>
      </c>
      <c r="H82" s="41">
        <f>B82*I$130+J$130</f>
        <v>-1.2111077567478929</v>
      </c>
      <c r="I82" s="7">
        <f t="shared" si="37"/>
        <v>5.2836448697095584E-3</v>
      </c>
      <c r="K82" s="40" cm="1">
        <f t="array" ref="K82:K84">B81:B83</f>
        <v>-0.74472749489669399</v>
      </c>
      <c r="L82" s="40" cm="1">
        <f t="array" ref="L82:L84">D81:D83</f>
        <v>-1.6234230429434879</v>
      </c>
      <c r="M82" s="42">
        <f>K82*I$130+J$130</f>
        <v>-1.6383619140117012</v>
      </c>
      <c r="N82" s="40">
        <f>L82-M82</f>
        <v>1.4938871068213233E-2</v>
      </c>
      <c r="U82" s="42">
        <f>B81</f>
        <v>-0.74472749489669399</v>
      </c>
      <c r="V82" s="42">
        <f>ABS(1/(LN(10)*U82)*G$3)</f>
        <v>2.9157946019133858E-4</v>
      </c>
      <c r="W82" s="42">
        <f>LOG(Q7)</f>
        <v>-1.6289321377282637</v>
      </c>
      <c r="X82" s="42">
        <f>ABS(1/(LN(10)*W82)*J$3)</f>
        <v>2.6661299869061838E-4</v>
      </c>
      <c r="Y82" s="42">
        <f>U82*I$120+J$120</f>
        <v>-1.6333946775068404</v>
      </c>
      <c r="Z82" s="42">
        <f>W82-Y82</f>
        <v>4.4625397785766907E-3</v>
      </c>
      <c r="AR82" s="2">
        <f>U88</f>
        <v>-0.35066514128785814</v>
      </c>
      <c r="AS82" s="2">
        <f t="shared" si="30"/>
        <v>6.1924387509442098E-4</v>
      </c>
      <c r="AT82" s="2">
        <f>LOG(W19)</f>
        <v>-0.85037040103626926</v>
      </c>
      <c r="AU82" s="2">
        <f t="shared" si="31"/>
        <v>5.1071213364672213E-4</v>
      </c>
      <c r="AV82" s="2">
        <f>AR82*I$115+J$115</f>
        <v>-0.84818651114593924</v>
      </c>
      <c r="AW82" s="2">
        <f t="shared" si="32"/>
        <v>-2.1838898903300263E-3</v>
      </c>
      <c r="AZ82" s="17"/>
      <c r="CL82" s="18"/>
    </row>
    <row r="83" spans="1:103" ht="17.25" x14ac:dyDescent="0.25">
      <c r="A83" s="17"/>
      <c r="B83" s="7">
        <f t="shared" si="33"/>
        <v>-0.46344155742846993</v>
      </c>
      <c r="C83" s="7">
        <f t="shared" si="34"/>
        <v>4.6855366652167696E-4</v>
      </c>
      <c r="D83" s="7">
        <f>LOG(K11)</f>
        <v>-1.0777937225609837</v>
      </c>
      <c r="E83" s="7">
        <f t="shared" si="35"/>
        <v>4.0294768174313483E-4</v>
      </c>
      <c r="F83" s="7">
        <f>B83*I$125+J$125</f>
        <v>-1.0742564647631685</v>
      </c>
      <c r="G83" s="7">
        <f t="shared" si="36"/>
        <v>-3.5372577978152187E-3</v>
      </c>
      <c r="H83" s="41">
        <f>B83*I$130+J$130</f>
        <v>-1.0782087555491513</v>
      </c>
      <c r="I83" s="7">
        <f t="shared" si="37"/>
        <v>3.9522907859828038E-3</v>
      </c>
      <c r="K83" s="2">
        <v>-0.53017798402183702</v>
      </c>
      <c r="L83" s="2">
        <v>-1.2118316288588322</v>
      </c>
      <c r="M83" s="43">
        <f>K83*I$130+J$130</f>
        <v>-1.2111077567478929</v>
      </c>
      <c r="N83" s="2">
        <f t="shared" ref="N83:N92" si="38">L83-M83</f>
        <v>-7.2387211093927206E-4</v>
      </c>
      <c r="U83" s="2">
        <f>B82</f>
        <v>-0.53017798402183702</v>
      </c>
      <c r="V83" s="2">
        <f>ABS(1/(LN(10)*U83)*G$3)</f>
        <v>4.0957423260842531E-4</v>
      </c>
      <c r="W83" s="2">
        <f>LOG(Q9)</f>
        <v>-1.2076083105017461</v>
      </c>
      <c r="X83" s="2">
        <f>ABS(1/(LN(10)*W83)*J$3)</f>
        <v>3.5963190889503558E-4</v>
      </c>
      <c r="Y83" s="2">
        <f>U83*I$120+J$120</f>
        <v>-1.206651166255434</v>
      </c>
      <c r="Z83" s="2">
        <f t="shared" ref="Z83:Z93" si="39">W83-Y83</f>
        <v>-9.5714424631210271E-4</v>
      </c>
      <c r="AR83" s="2">
        <f>U89</f>
        <v>-0.33441900898204691</v>
      </c>
      <c r="AS83" s="2">
        <f t="shared" si="30"/>
        <v>6.4932684781469267E-4</v>
      </c>
      <c r="AT83" s="2">
        <f>LOG(W21)</f>
        <v>-0.8172050546498123</v>
      </c>
      <c r="AU83" s="2">
        <f t="shared" si="31"/>
        <v>5.3143881016418223E-4</v>
      </c>
      <c r="AV83" s="2">
        <f>AR83*I$115+J$115</f>
        <v>-0.8158999523420627</v>
      </c>
      <c r="AW83" s="2">
        <f t="shared" si="32"/>
        <v>-1.305102307749606E-3</v>
      </c>
      <c r="AZ83" s="17"/>
      <c r="CL83" s="18"/>
      <c r="CS83" s="57" t="s">
        <v>51</v>
      </c>
      <c r="CT83" s="57"/>
      <c r="CU83" s="57"/>
      <c r="CV83" s="57"/>
      <c r="CX83" s="3" t="s">
        <v>36</v>
      </c>
      <c r="CY83" s="2">
        <f>5.029*PI()^2 *AD16 /(CT84 *AE12^ 2)</f>
        <v>258600895136.97266</v>
      </c>
    </row>
    <row r="84" spans="1:103" ht="17.25" x14ac:dyDescent="0.25">
      <c r="A84" s="17"/>
      <c r="B84" s="39">
        <f>LOG(C40/100)</f>
        <v>-0.42136079003192767</v>
      </c>
      <c r="C84" s="39">
        <f t="shared" si="34"/>
        <v>5.1534752660581449E-4</v>
      </c>
      <c r="D84" s="39">
        <f>LOG(K13)</f>
        <v>-0.97142874730746243</v>
      </c>
      <c r="E84" s="39">
        <f t="shared" si="35"/>
        <v>4.4706776807562946E-4</v>
      </c>
      <c r="F84" s="39">
        <f>B84*I$125+J$125</f>
        <v>-0.99129626090191547</v>
      </c>
      <c r="G84" s="39">
        <f t="shared" si="36"/>
        <v>1.9867513594453046E-2</v>
      </c>
      <c r="H84" s="37">
        <f>B84*I$130+J$130</f>
        <v>-0.99440906410398677</v>
      </c>
      <c r="I84" s="37">
        <f t="shared" si="37"/>
        <v>3.1128032020713015E-3</v>
      </c>
      <c r="K84" s="2">
        <v>-0.46344155742846993</v>
      </c>
      <c r="L84" s="2">
        <v>-1.0777937225609837</v>
      </c>
      <c r="M84" s="43">
        <f>K84*I$130+J$130</f>
        <v>-1.0782087555491513</v>
      </c>
      <c r="N84" s="2">
        <f t="shared" si="38"/>
        <v>4.1503298816758516E-4</v>
      </c>
      <c r="U84" s="2">
        <f>B83</f>
        <v>-0.46344155742846993</v>
      </c>
      <c r="V84" s="2">
        <f>ABS(1/(LN(10)*U84)*G$3)</f>
        <v>4.6855366652167696E-4</v>
      </c>
      <c r="W84" s="2">
        <f>LOG(Q11)</f>
        <v>-1.0736575533743451</v>
      </c>
      <c r="X84" s="2">
        <f>ABS(1/(LN(10)*W84)*J$3)</f>
        <v>4.0450000145607806E-4</v>
      </c>
      <c r="Y84" s="2">
        <f>U84*I$120+J$120</f>
        <v>-1.073911003405859</v>
      </c>
      <c r="Z84" s="2">
        <f t="shared" si="39"/>
        <v>2.5345003151389101E-4</v>
      </c>
      <c r="AR84" s="2">
        <f>U90</f>
        <v>-0.31785492362616818</v>
      </c>
      <c r="AS84" s="2">
        <f t="shared" si="30"/>
        <v>6.8316462892679475E-4</v>
      </c>
      <c r="AT84" s="2">
        <f>LOG(W23)</f>
        <v>-0.78286714269438396</v>
      </c>
      <c r="AU84" s="2">
        <f t="shared" si="31"/>
        <v>5.5474863896899033E-4</v>
      </c>
      <c r="AV84" s="2">
        <f>AR84*I$115+J$115</f>
        <v>-0.78298151330634769</v>
      </c>
      <c r="AW84" s="2">
        <f t="shared" si="32"/>
        <v>1.1437061196373222E-4</v>
      </c>
      <c r="AZ84" s="17"/>
      <c r="CL84" s="18"/>
      <c r="CS84" s="4" t="s">
        <v>18</v>
      </c>
      <c r="CT84" s="13">
        <f t="array" ref="CT84:CU86">LINEST(CU51:CU62,CQ51:CQ62,1,1)</f>
        <v>0.50064358600595182</v>
      </c>
      <c r="CU84" s="23">
        <v>8.6678962927116271E-5</v>
      </c>
      <c r="CV84" s="4" t="s">
        <v>30</v>
      </c>
      <c r="CX84" s="3" t="s">
        <v>37</v>
      </c>
      <c r="CY84" s="9">
        <f>SQRT((PI()^2*5.029/((CT84*AD12^2)^2) * CT84 *AD12^ 2*AD17 )^2+(PI()^2*5.029/((CT84*AD12^2)^2)*AD16*AD12^2*CT85)^2+(PI()^2*5.029/((CT84*AD12^2)^2)*AD16*AD12*CT84*AD13)^2)</f>
        <v>13222.126949542106</v>
      </c>
    </row>
    <row r="85" spans="1:103" x14ac:dyDescent="0.25">
      <c r="A85" s="17"/>
      <c r="B85" s="7">
        <f t="shared" si="33"/>
        <v>-0.3979400086720376</v>
      </c>
      <c r="C85" s="7">
        <f t="shared" si="34"/>
        <v>5.4567833396864578E-4</v>
      </c>
      <c r="D85" s="7">
        <f>LOG(K15)</f>
        <v>-0.94615357314774728</v>
      </c>
      <c r="E85" s="7">
        <f t="shared" si="35"/>
        <v>4.5901056047212556E-4</v>
      </c>
      <c r="F85" s="7">
        <f>B85*I$125+J$125</f>
        <v>-0.94512331976002051</v>
      </c>
      <c r="G85" s="7">
        <f t="shared" si="36"/>
        <v>-1.0302533877267761E-3</v>
      </c>
      <c r="H85" s="41">
        <f>B85*I$130+J$130</f>
        <v>-0.947768891578884</v>
      </c>
      <c r="I85" s="7">
        <f t="shared" si="37"/>
        <v>2.6455718188634902E-3</v>
      </c>
      <c r="K85" s="7" cm="1">
        <f t="array" ref="K85:K92">B85:B92</f>
        <v>-0.3979400086720376</v>
      </c>
      <c r="L85" s="7" cm="1">
        <f t="array" ref="L85:L92">D85:D92</f>
        <v>-0.94615357314774728</v>
      </c>
      <c r="M85" s="43">
        <f>K85*I$130+J$130</f>
        <v>-0.947768891578884</v>
      </c>
      <c r="N85" s="2">
        <f t="shared" si="38"/>
        <v>1.6153184311367141E-3</v>
      </c>
      <c r="U85" s="2">
        <f>B84</f>
        <v>-0.42136079003192767</v>
      </c>
      <c r="V85" s="2">
        <f>ABS(1/(LN(10)*U85)*G$3)</f>
        <v>5.1534752660581449E-4</v>
      </c>
      <c r="W85" s="2">
        <f>LOG(Q13)</f>
        <v>-0.98970004336018802</v>
      </c>
      <c r="X85" s="2">
        <f>ABS(1/(LN(10)*W85)*J$3)</f>
        <v>4.3881424964755322E-4</v>
      </c>
      <c r="Y85" s="2">
        <f>U85*I$120+J$120</f>
        <v>-0.99021146775215807</v>
      </c>
      <c r="Z85" s="2">
        <f t="shared" si="39"/>
        <v>5.1142439197005007E-4</v>
      </c>
      <c r="AR85" s="2">
        <f>U91</f>
        <v>-0.3053948010664313</v>
      </c>
      <c r="AS85" s="2">
        <f t="shared" si="30"/>
        <v>7.1103777861755658E-4</v>
      </c>
      <c r="AT85" s="2">
        <f>LOG(W25)</f>
        <v>-0.75630067294931846</v>
      </c>
      <c r="AU85" s="2">
        <f t="shared" si="31"/>
        <v>5.7423521813044175E-4</v>
      </c>
      <c r="AV85" s="2">
        <f>AR85*I$115+J$115</f>
        <v>-0.75821903617297159</v>
      </c>
      <c r="AW85" s="2">
        <f t="shared" si="32"/>
        <v>1.9183632236531301E-3</v>
      </c>
      <c r="AZ85" s="17"/>
      <c r="CL85" s="18"/>
      <c r="CS85" s="4" t="s">
        <v>28</v>
      </c>
      <c r="CT85" s="13">
        <v>1.7846145846471394E-3</v>
      </c>
      <c r="CU85" s="23">
        <v>7.6732570749230074E-5</v>
      </c>
      <c r="CV85" s="4" t="s">
        <v>31</v>
      </c>
      <c r="CX85" s="3" t="s">
        <v>38</v>
      </c>
      <c r="CY85" s="9">
        <f>CY84/CY83</f>
        <v>5.1129470926768319E-8</v>
      </c>
    </row>
    <row r="86" spans="1:103" ht="18" x14ac:dyDescent="0.25">
      <c r="A86" s="17"/>
      <c r="B86" s="7">
        <f t="shared" si="33"/>
        <v>-0.36855623098682799</v>
      </c>
      <c r="C86" s="7">
        <f t="shared" si="34"/>
        <v>5.8918347512455066E-4</v>
      </c>
      <c r="D86" s="7">
        <f>LOG(K17)</f>
        <v>-0.8880657236673184</v>
      </c>
      <c r="E86" s="7">
        <f t="shared" si="35"/>
        <v>4.8903416754990598E-4</v>
      </c>
      <c r="F86" s="7">
        <f>B86*I$125+J$125</f>
        <v>-0.88719461888801521</v>
      </c>
      <c r="G86" s="7">
        <f t="shared" si="36"/>
        <v>-8.7110477930318897E-4</v>
      </c>
      <c r="H86" s="41">
        <f>B86*I$130+J$130</f>
        <v>-0.88925400090899076</v>
      </c>
      <c r="I86" s="7">
        <f t="shared" si="37"/>
        <v>2.0593820209755531E-3</v>
      </c>
      <c r="K86" s="2">
        <v>-0.36855623098682799</v>
      </c>
      <c r="L86" s="2">
        <v>-0.8880657236673184</v>
      </c>
      <c r="M86" s="43">
        <f>K86*I$130+J$130</f>
        <v>-0.88925400090899076</v>
      </c>
      <c r="N86" s="2">
        <f t="shared" si="38"/>
        <v>1.1882772416723641E-3</v>
      </c>
      <c r="U86" s="2">
        <f>B85</f>
        <v>-0.3979400086720376</v>
      </c>
      <c r="V86" s="2">
        <f>ABS(1/(LN(10)*U86)*G$3)</f>
        <v>5.4567833396864578E-4</v>
      </c>
      <c r="W86" s="2">
        <f>LOG(Q15)</f>
        <v>-0.9415739755429946</v>
      </c>
      <c r="X86" s="2">
        <f>ABS(1/(LN(10)*W86)*J$3)</f>
        <v>4.6124308146133644E-4</v>
      </c>
      <c r="Y86" s="2">
        <f>U86*I$120+J$120</f>
        <v>-0.94362703867088793</v>
      </c>
      <c r="Z86" s="2">
        <f t="shared" si="39"/>
        <v>2.0530631278933287E-3</v>
      </c>
      <c r="AR86" s="2">
        <f>U92</f>
        <v>-0.29670862188133862</v>
      </c>
      <c r="AS86" s="2">
        <f t="shared" si="30"/>
        <v>7.3185349173462391E-4</v>
      </c>
      <c r="AT86" s="2">
        <f>LOG(W27)</f>
        <v>-0.74152235502148256</v>
      </c>
      <c r="AU86" s="2">
        <f t="shared" si="31"/>
        <v>5.8567955364025395E-4</v>
      </c>
      <c r="AV86" s="2">
        <f>AR86*I$115+J$115</f>
        <v>-0.74095666074961086</v>
      </c>
      <c r="AW86" s="2">
        <f t="shared" si="32"/>
        <v>-5.656942718716973E-4</v>
      </c>
      <c r="AZ86" s="17"/>
      <c r="CL86" s="18"/>
      <c r="CS86" s="4" t="s">
        <v>29</v>
      </c>
      <c r="CT86" s="24">
        <v>0.99987294949903482</v>
      </c>
      <c r="CU86" s="7">
        <v>1.3911378346360601E-4</v>
      </c>
      <c r="CV86" s="4" t="s">
        <v>32</v>
      </c>
      <c r="CX86" s="3" t="s">
        <v>48</v>
      </c>
      <c r="CY86" s="9">
        <f>200*10^9</f>
        <v>200000000000</v>
      </c>
    </row>
    <row r="87" spans="1:103" x14ac:dyDescent="0.25">
      <c r="A87" s="17"/>
      <c r="B87" s="7">
        <f t="shared" si="33"/>
        <v>-0.35066514128785814</v>
      </c>
      <c r="C87" s="7">
        <f t="shared" si="34"/>
        <v>6.1924387509442098E-4</v>
      </c>
      <c r="D87" s="7">
        <f>LOG(K19)</f>
        <v>-0.85636076472545675</v>
      </c>
      <c r="E87" s="7">
        <f t="shared" si="35"/>
        <v>5.0713963062341317E-4</v>
      </c>
      <c r="F87" s="7">
        <f>B87*I$125+J$125</f>
        <v>-0.85192319822356077</v>
      </c>
      <c r="G87" s="7">
        <f t="shared" si="36"/>
        <v>-4.4375665018959731E-3</v>
      </c>
      <c r="H87" s="41">
        <f>B87*I$130+J$130</f>
        <v>-0.85362566309225618</v>
      </c>
      <c r="I87" s="7">
        <f t="shared" si="37"/>
        <v>1.702464868695408E-3</v>
      </c>
      <c r="K87" s="2">
        <v>-0.35066514128785814</v>
      </c>
      <c r="L87" s="2">
        <v>-0.85636076472545675</v>
      </c>
      <c r="M87" s="43">
        <f>K87*I$130+J$130</f>
        <v>-0.85362566309225618</v>
      </c>
      <c r="N87" s="2">
        <f t="shared" si="38"/>
        <v>-2.7351016332005651E-3</v>
      </c>
      <c r="U87" s="2">
        <f>B86</f>
        <v>-0.36855623098682799</v>
      </c>
      <c r="V87" s="2">
        <f>ABS(1/(LN(10)*U87)*G$3)</f>
        <v>5.8918347512455066E-4</v>
      </c>
      <c r="W87" s="2">
        <f>LOG(Q17)</f>
        <v>-0.88405682306094491</v>
      </c>
      <c r="X87" s="2">
        <f>ABS(1/(LN(10)*W87)*J$3)</f>
        <v>4.9125177316041422E-4</v>
      </c>
      <c r="Y87" s="2">
        <f>U87*I$120+J$120</f>
        <v>-0.8851820838812634</v>
      </c>
      <c r="Z87" s="2">
        <f t="shared" si="39"/>
        <v>1.1252608203184966E-3</v>
      </c>
      <c r="AR87" s="2">
        <f>U93</f>
        <v>-0.28399665636520083</v>
      </c>
      <c r="AS87" s="2">
        <f t="shared" si="30"/>
        <v>7.6461196315068226E-4</v>
      </c>
      <c r="AT87" s="2">
        <f>LOG(W29)</f>
        <v>-0.71564447517496077</v>
      </c>
      <c r="AU87" s="2">
        <f t="shared" si="31"/>
        <v>6.0685787002977352E-4</v>
      </c>
      <c r="AV87" s="2">
        <f>AR87*I$115+J$115</f>
        <v>-0.71569368649678977</v>
      </c>
      <c r="AW87" s="2">
        <f t="shared" si="32"/>
        <v>4.9211321829001342E-5</v>
      </c>
      <c r="AZ87" s="17"/>
      <c r="CL87" s="18"/>
      <c r="CX87" s="3" t="s">
        <v>49</v>
      </c>
      <c r="CY87" s="6">
        <f>(CY83-CY86)/CY86</f>
        <v>0.29300447568486326</v>
      </c>
    </row>
    <row r="88" spans="1:103" x14ac:dyDescent="0.25">
      <c r="A88" s="17"/>
      <c r="B88" s="7">
        <f t="shared" si="33"/>
        <v>-0.33441900898204691</v>
      </c>
      <c r="C88" s="7">
        <f t="shared" si="34"/>
        <v>6.4932684781469267E-4</v>
      </c>
      <c r="D88" s="7">
        <f>LOG(K21)</f>
        <v>-0.82217502813531829</v>
      </c>
      <c r="E88" s="7">
        <f t="shared" si="35"/>
        <v>5.2822631075067532E-4</v>
      </c>
      <c r="F88" s="7">
        <f>B88*I$125+J$125</f>
        <v>-0.81989473174274896</v>
      </c>
      <c r="G88" s="7">
        <f t="shared" si="36"/>
        <v>-2.2802963925693254E-3</v>
      </c>
      <c r="H88" s="41">
        <f>B88*I$130+J$130</f>
        <v>-0.8212730954317109</v>
      </c>
      <c r="I88" s="7">
        <f t="shared" si="37"/>
        <v>1.3783636889619366E-3</v>
      </c>
      <c r="K88" s="2">
        <v>-0.33441900898204691</v>
      </c>
      <c r="L88" s="2">
        <v>-0.82217502813531829</v>
      </c>
      <c r="M88" s="43">
        <f>K88*I$130+J$130</f>
        <v>-0.8212730954317109</v>
      </c>
      <c r="N88" s="2">
        <f t="shared" si="38"/>
        <v>-9.0193270360738875E-4</v>
      </c>
      <c r="U88" s="2">
        <f>B87</f>
        <v>-0.35066514128785814</v>
      </c>
      <c r="V88" s="2">
        <f>ABS(1/(LN(10)*U88)*G$3)</f>
        <v>6.1924387509442098E-4</v>
      </c>
      <c r="W88" s="2">
        <f>LOG(Q19)</f>
        <v>-0.85232367575890122</v>
      </c>
      <c r="X88" s="2">
        <f>ABS(1/(LN(10)*W88)*J$3)</f>
        <v>5.0954173192075184E-4</v>
      </c>
      <c r="Y88" s="2">
        <f>U88*I$120+J$120</f>
        <v>-0.849596328373736</v>
      </c>
      <c r="Z88" s="2">
        <f t="shared" si="39"/>
        <v>-2.7273473851652241E-3</v>
      </c>
      <c r="AW88" s="18"/>
      <c r="AZ88" s="17"/>
      <c r="CL88" s="18"/>
    </row>
    <row r="89" spans="1:103" x14ac:dyDescent="0.25">
      <c r="A89" s="17"/>
      <c r="B89" s="7">
        <f t="shared" si="33"/>
        <v>-0.31785492362616818</v>
      </c>
      <c r="C89" s="7">
        <f t="shared" si="34"/>
        <v>6.8316462892679475E-4</v>
      </c>
      <c r="D89" s="7">
        <f>LOG(K23)</f>
        <v>-0.78781239559604221</v>
      </c>
      <c r="E89" s="7">
        <f t="shared" si="35"/>
        <v>5.512663729728114E-4</v>
      </c>
      <c r="F89" s="7">
        <f>B89*I$125+J$125</f>
        <v>-0.78723943615486935</v>
      </c>
      <c r="G89" s="7">
        <f t="shared" si="36"/>
        <v>-5.7295944117286002E-4</v>
      </c>
      <c r="H89" s="41">
        <f>B89*I$130+J$130</f>
        <v>-0.78828735568001473</v>
      </c>
      <c r="I89" s="7">
        <f t="shared" si="37"/>
        <v>1.0479195251453799E-3</v>
      </c>
      <c r="K89" s="2">
        <v>-0.31785492362616818</v>
      </c>
      <c r="L89" s="2">
        <v>-0.78781239559604221</v>
      </c>
      <c r="M89" s="43">
        <f>K89*I$130+J$130</f>
        <v>-0.78828735568001473</v>
      </c>
      <c r="N89" s="2">
        <f t="shared" si="38"/>
        <v>4.7496008397251988E-4</v>
      </c>
      <c r="U89" s="2">
        <f>B88</f>
        <v>-0.33441900898204691</v>
      </c>
      <c r="V89" s="2">
        <f>ABS(1/(LN(10)*U89)*G$3)</f>
        <v>6.4932684781469267E-4</v>
      </c>
      <c r="W89" s="2">
        <f>LOG(Q21)</f>
        <v>-0.81844222613721374</v>
      </c>
      <c r="X89" s="2">
        <f>ABS(1/(LN(10)*W89)*J$3)</f>
        <v>5.3063547802632719E-4</v>
      </c>
      <c r="Y89" s="2">
        <f>U89*I$120+J$120</f>
        <v>-0.81728242788444216</v>
      </c>
      <c r="Z89" s="2">
        <f t="shared" si="39"/>
        <v>-1.1597982527715711E-3</v>
      </c>
      <c r="AW89" s="18"/>
      <c r="AZ89" s="17"/>
      <c r="CL89" s="18"/>
      <c r="CS89" s="57" t="s">
        <v>54</v>
      </c>
      <c r="CT89" s="57"/>
      <c r="CU89" s="57"/>
      <c r="CV89" s="57"/>
      <c r="CX89" s="75" t="s">
        <v>46</v>
      </c>
      <c r="CY89" s="74">
        <f>(CT90-2)/2</f>
        <v>-6.1379371571165242E-3</v>
      </c>
    </row>
    <row r="90" spans="1:103" x14ac:dyDescent="0.25">
      <c r="A90" s="17"/>
      <c r="B90" s="7">
        <f t="shared" si="33"/>
        <v>-0.3053948010664313</v>
      </c>
      <c r="C90" s="7">
        <f t="shared" si="34"/>
        <v>7.1103777861755658E-4</v>
      </c>
      <c r="D90" s="7">
        <f>LOG(K25)</f>
        <v>-0.76145211231867216</v>
      </c>
      <c r="E90" s="7">
        <f t="shared" si="35"/>
        <v>5.7035035411589607E-4</v>
      </c>
      <c r="F90" s="7">
        <f>B90*I$125+J$125</f>
        <v>-0.76267490533367266</v>
      </c>
      <c r="G90" s="7">
        <f t="shared" si="36"/>
        <v>1.2227930150005006E-3</v>
      </c>
      <c r="H90" s="41">
        <f>B90*I$130+J$130</f>
        <v>-0.7634742524389202</v>
      </c>
      <c r="I90" s="7">
        <f t="shared" si="37"/>
        <v>7.9934710524753871E-4</v>
      </c>
      <c r="K90" s="2">
        <v>-0.3053948010664313</v>
      </c>
      <c r="L90" s="2">
        <v>-0.76145211231867216</v>
      </c>
      <c r="M90" s="43">
        <f>K90*I$130+J$130</f>
        <v>-0.7634742524389202</v>
      </c>
      <c r="N90" s="2">
        <f t="shared" si="38"/>
        <v>2.0221401202480394E-3</v>
      </c>
      <c r="U90" s="2">
        <f>B89</f>
        <v>-0.31785492362616818</v>
      </c>
      <c r="V90" s="2">
        <f>ABS(1/(LN(10)*U90)*G$3)</f>
        <v>6.8316462892679475E-4</v>
      </c>
      <c r="W90" s="2">
        <f>LOG(Q23)</f>
        <v>-0.78436243656493831</v>
      </c>
      <c r="X90" s="2">
        <f>ABS(1/(LN(10)*W90)*J$3)</f>
        <v>5.5369107654519361E-4</v>
      </c>
      <c r="Y90" s="2">
        <f>U90*I$120+J$120</f>
        <v>-0.7843361120591934</v>
      </c>
      <c r="Z90" s="2">
        <f t="shared" si="39"/>
        <v>-2.6324505744912408E-5</v>
      </c>
      <c r="AW90" s="18"/>
      <c r="AZ90" s="17"/>
      <c r="CL90" s="18"/>
      <c r="CS90" s="4" t="s">
        <v>18</v>
      </c>
      <c r="CT90" s="13">
        <f t="array" ref="CT90:CU92">LINEST(DH51:DH61,DF51:DF61,1,1)</f>
        <v>1.987724125685767</v>
      </c>
      <c r="CU90" s="13">
        <v>-0.15330805245399659</v>
      </c>
      <c r="CV90" s="4" t="s">
        <v>30</v>
      </c>
      <c r="CX90" s="75"/>
      <c r="CY90" s="74"/>
    </row>
    <row r="91" spans="1:103" x14ac:dyDescent="0.25">
      <c r="A91" s="17"/>
      <c r="B91" s="7">
        <f t="shared" si="33"/>
        <v>-0.29670862188133862</v>
      </c>
      <c r="C91" s="7">
        <f t="shared" si="34"/>
        <v>7.3185349173462391E-4</v>
      </c>
      <c r="D91" s="7">
        <f>LOG(K27)</f>
        <v>-0.7471469690201068</v>
      </c>
      <c r="E91" s="7">
        <f t="shared" si="35"/>
        <v>5.812704861438906E-4</v>
      </c>
      <c r="F91" s="7">
        <f>B91*I$125+J$125</f>
        <v>-0.74555052190263582</v>
      </c>
      <c r="G91" s="7">
        <f t="shared" si="36"/>
        <v>-1.5964471174709782E-3</v>
      </c>
      <c r="H91" s="41">
        <f>B91*I$130+J$130</f>
        <v>-0.74617658463051451</v>
      </c>
      <c r="I91" s="7">
        <f t="shared" si="37"/>
        <v>6.2606272787868456E-4</v>
      </c>
      <c r="K91" s="2">
        <v>-0.29670862188133862</v>
      </c>
      <c r="L91" s="2">
        <v>-0.7471469690201068</v>
      </c>
      <c r="M91" s="43">
        <f>K91*I$130+J$130</f>
        <v>-0.74617658463051451</v>
      </c>
      <c r="N91" s="2">
        <f t="shared" si="38"/>
        <v>-9.7038438959229367E-4</v>
      </c>
      <c r="U91" s="2">
        <f>B90</f>
        <v>-0.3053948010664313</v>
      </c>
      <c r="V91" s="2">
        <f>ABS(1/(LN(10)*U91)*G$3)</f>
        <v>7.1103777861755658E-4</v>
      </c>
      <c r="W91" s="2">
        <f>LOG(Q25)</f>
        <v>-0.75745857170161579</v>
      </c>
      <c r="X91" s="2">
        <f>ABS(1/(LN(10)*W91)*J$3)</f>
        <v>5.733574061055482E-4</v>
      </c>
      <c r="Y91" s="2">
        <f>U91*I$120+J$120</f>
        <v>-0.75955266496540597</v>
      </c>
      <c r="Z91" s="2">
        <f t="shared" si="39"/>
        <v>2.0940932637901755E-3</v>
      </c>
      <c r="AW91" s="18"/>
      <c r="AZ91" s="17"/>
      <c r="CL91" s="18"/>
      <c r="CS91" s="4" t="s">
        <v>28</v>
      </c>
      <c r="CT91" s="13">
        <v>6.230426246087481E-3</v>
      </c>
      <c r="CU91" s="13">
        <v>2.3503520325882828E-3</v>
      </c>
      <c r="CV91" s="4" t="s">
        <v>31</v>
      </c>
      <c r="CX91" s="75" t="s">
        <v>47</v>
      </c>
      <c r="CY91" s="74">
        <f>CT91/CT90</f>
        <v>3.1344521936302288E-3</v>
      </c>
    </row>
    <row r="92" spans="1:103" ht="17.25" x14ac:dyDescent="0.25">
      <c r="A92" s="17"/>
      <c r="B92" s="7">
        <f t="shared" si="33"/>
        <v>-0.28399665636520083</v>
      </c>
      <c r="C92" s="7">
        <f t="shared" si="34"/>
        <v>7.6461196315068226E-4</v>
      </c>
      <c r="D92" s="7">
        <f>LOG(K29)</f>
        <v>-0.72124639904717103</v>
      </c>
      <c r="E92" s="7">
        <f t="shared" si="35"/>
        <v>6.0214440235263904E-4</v>
      </c>
      <c r="F92" s="7">
        <f>B92*I$125+J$125</f>
        <v>-0.72048949483632174</v>
      </c>
      <c r="G92" s="7">
        <f t="shared" si="36"/>
        <v>-7.5690421084928516E-4</v>
      </c>
      <c r="H92" s="41">
        <f>B92*I$130+J$130</f>
        <v>-0.72086196101931455</v>
      </c>
      <c r="I92" s="7">
        <f t="shared" si="37"/>
        <v>3.7246618299280332E-4</v>
      </c>
      <c r="K92" s="2">
        <v>-0.28399665636520083</v>
      </c>
      <c r="L92" s="2">
        <v>-0.72124639904717103</v>
      </c>
      <c r="M92" s="43">
        <f>K92*I$130+J$130</f>
        <v>-0.72086196101931455</v>
      </c>
      <c r="N92" s="2">
        <f t="shared" si="38"/>
        <v>-3.8443802785648185E-4</v>
      </c>
      <c r="U92" s="2">
        <f>B91</f>
        <v>-0.29670862188133862</v>
      </c>
      <c r="V92" s="2">
        <f>ABS(1/(LN(10)*U92)*G$3)</f>
        <v>7.3185349173462391E-4</v>
      </c>
      <c r="W92" s="2">
        <f>LOG(Q27)</f>
        <v>-0.74328225402251302</v>
      </c>
      <c r="X92" s="2">
        <f>ABS(1/(LN(10)*W92)*J$3)</f>
        <v>5.8429281683092303E-4</v>
      </c>
      <c r="Y92" s="2">
        <f>U92*I$120+J$120</f>
        <v>-0.74227567099934921</v>
      </c>
      <c r="Z92" s="2">
        <f t="shared" si="39"/>
        <v>-1.0065830231638095E-3</v>
      </c>
      <c r="AW92" s="18"/>
      <c r="AZ92" s="17"/>
      <c r="CL92" s="18"/>
      <c r="CS92" s="4" t="s">
        <v>29</v>
      </c>
      <c r="CT92" s="24">
        <v>0.99991158470296859</v>
      </c>
      <c r="CU92" s="13">
        <v>1.5147745125236312E-3</v>
      </c>
      <c r="CV92" s="4" t="s">
        <v>32</v>
      </c>
      <c r="CX92" s="75"/>
      <c r="CY92" s="74"/>
    </row>
    <row r="93" spans="1:103" x14ac:dyDescent="0.25">
      <c r="A93" s="17"/>
      <c r="U93" s="2">
        <f>B92</f>
        <v>-0.28399665636520083</v>
      </c>
      <c r="V93" s="2">
        <f>ABS(1/(LN(10)*U93)*G$3)</f>
        <v>7.6461196315068226E-4</v>
      </c>
      <c r="W93" s="2">
        <f>LOG(Q29)</f>
        <v>-0.71715139716535525</v>
      </c>
      <c r="X93" s="2">
        <f>ABS(1/(LN(10)*W93)*J$3)</f>
        <v>6.0558270348473641E-4</v>
      </c>
      <c r="Y93" s="2">
        <f>U93*I$120+J$120</f>
        <v>-0.7169913029430286</v>
      </c>
      <c r="Z93" s="2">
        <f t="shared" si="39"/>
        <v>-1.600942223266566E-4</v>
      </c>
      <c r="AW93" s="18"/>
      <c r="AZ93" s="17"/>
      <c r="CL93" s="18"/>
    </row>
    <row r="94" spans="1:103" ht="17.25" x14ac:dyDescent="0.25">
      <c r="A94" s="17"/>
      <c r="AW94" s="18"/>
      <c r="AZ94" s="17"/>
      <c r="BA94" s="93"/>
      <c r="BB94" s="3" t="s">
        <v>36</v>
      </c>
      <c r="BC94" s="9">
        <f>5.029*PI()^2 *AD16 /(BF95^2 * AE12^2)</f>
        <v>266787786654.02713</v>
      </c>
      <c r="BE94" s="76" t="s">
        <v>118</v>
      </c>
      <c r="BF94" s="57"/>
      <c r="BG94" s="57"/>
      <c r="BH94" s="57"/>
      <c r="CL94" s="18"/>
    </row>
    <row r="95" spans="1:103" ht="17.25" x14ac:dyDescent="0.25">
      <c r="A95" s="17"/>
      <c r="AW95" s="18"/>
      <c r="BA95" s="93"/>
      <c r="BB95" s="3" t="s">
        <v>37</v>
      </c>
      <c r="BC95" s="23">
        <f>SQRT((PI()^2*(5.029/2)/(BF95^2*AE12^2)^2 * AD16*AE12^2*BF95*BF96)^2+(PI()^2*(5.029/2)/(BF95^2*AE12^2)^2*AE12^2*BF95^2*AD17)^2+(PI()^2*(5.029/2)/(AE12^2*BF95^2)^2*AD16*AE12*BF95^2*AE13)^2)</f>
        <v>2163095208.9313512</v>
      </c>
      <c r="BE95" s="36" t="s">
        <v>18</v>
      </c>
      <c r="BF95" s="13">
        <f t="array" ref="BF95:BG97">LINEST(BF47:BF58,BD47:BD58,1,1)</f>
        <v>0.69662068857030546</v>
      </c>
      <c r="BG95" s="13">
        <v>1.8877709865426362E-3</v>
      </c>
      <c r="BH95" s="4" t="s">
        <v>30</v>
      </c>
      <c r="CL95" s="18"/>
    </row>
    <row r="96" spans="1:103" x14ac:dyDescent="0.25">
      <c r="A96" s="17"/>
      <c r="AW96" s="18"/>
      <c r="BA96" s="93"/>
      <c r="BB96" s="3" t="s">
        <v>38</v>
      </c>
      <c r="BC96" s="32">
        <f>BC95/BC94</f>
        <v>8.1079244146077534E-3</v>
      </c>
      <c r="BE96" s="36" t="s">
        <v>28</v>
      </c>
      <c r="BF96" s="13">
        <v>6.9956291580131605E-3</v>
      </c>
      <c r="BG96" s="13">
        <v>1.3390377839583804E-3</v>
      </c>
      <c r="BH96" s="4" t="s">
        <v>31</v>
      </c>
      <c r="CL96" s="18"/>
    </row>
    <row r="97" spans="1:90" ht="18" x14ac:dyDescent="0.25">
      <c r="A97" s="17"/>
      <c r="AW97" s="18"/>
      <c r="BA97" s="93"/>
      <c r="BB97" s="3" t="s">
        <v>48</v>
      </c>
      <c r="BC97" s="9">
        <f>200*10^9</f>
        <v>200000000000</v>
      </c>
      <c r="BE97" s="36" t="s">
        <v>29</v>
      </c>
      <c r="BF97" s="7">
        <v>0.99899255099564543</v>
      </c>
      <c r="BG97" s="13">
        <v>1.6867509222187767E-3</v>
      </c>
      <c r="BH97" s="4" t="s">
        <v>32</v>
      </c>
      <c r="CL97" s="18"/>
    </row>
    <row r="98" spans="1:90" x14ac:dyDescent="0.25">
      <c r="A98" s="17"/>
      <c r="AW98" s="18"/>
      <c r="BA98" s="93"/>
      <c r="BB98" s="3" t="s">
        <v>49</v>
      </c>
      <c r="BC98" s="33">
        <f>(BC94-BC97)/BC97</f>
        <v>0.33393893327013563</v>
      </c>
      <c r="CL98" s="18"/>
    </row>
    <row r="99" spans="1:90" ht="17.25" x14ac:dyDescent="0.25">
      <c r="A99" s="17"/>
      <c r="AW99" s="18"/>
      <c r="AZ99" s="17"/>
      <c r="BA99" s="93"/>
      <c r="BB99" s="3" t="s">
        <v>36</v>
      </c>
      <c r="BC99" s="9">
        <f>5.029*PI()^2 *AD16 /(BF100^2 * AE12^2)</f>
        <v>264333169503.97443</v>
      </c>
      <c r="BE99" s="57" t="s">
        <v>139</v>
      </c>
      <c r="BF99" s="57"/>
      <c r="BG99" s="57"/>
      <c r="BH99" s="57"/>
      <c r="CL99" s="18"/>
    </row>
    <row r="100" spans="1:90" ht="17.25" x14ac:dyDescent="0.25">
      <c r="A100" s="17"/>
      <c r="AW100" s="18"/>
      <c r="AZ100" s="17"/>
      <c r="BA100" s="93"/>
      <c r="BB100" s="3" t="s">
        <v>37</v>
      </c>
      <c r="BC100" s="23">
        <f>SQRT((PI()^2*(5.029/2)/(BF100^2*AE12^2)^2 * AD16*AE12^2*BF100*BF101)^2+(PI()^2*(5.029/2)/(BF100^2*AE12^2)^2*AE12^2*BF100^2*AD17)^2+(PI()^2*(5.029/2)/(AE12^2*BF100^2)^2*AD16*AE12*BF100^2*AE13)^2)</f>
        <v>1727945928.8993661</v>
      </c>
      <c r="BE100" s="4" t="s">
        <v>18</v>
      </c>
      <c r="BF100" s="13">
        <f t="array" ref="BF100:BG102">LINEST(BL110:BL120,BK110:BK120,1,1)</f>
        <v>0.69984764977077007</v>
      </c>
      <c r="BG100" s="7">
        <v>8.6139975490018283E-4</v>
      </c>
      <c r="BH100" s="4" t="s">
        <v>30</v>
      </c>
      <c r="CL100" s="18"/>
    </row>
    <row r="101" spans="1:90" x14ac:dyDescent="0.25">
      <c r="A101" s="17"/>
      <c r="AW101" s="18"/>
      <c r="AZ101" s="17"/>
      <c r="BA101" s="93"/>
      <c r="BB101" s="3" t="s">
        <v>38</v>
      </c>
      <c r="BC101" s="32">
        <f>BC100/BC99</f>
        <v>6.5369999994396664E-3</v>
      </c>
      <c r="BE101" s="4" t="s">
        <v>28</v>
      </c>
      <c r="BF101" s="13">
        <v>2.0787031368222127E-3</v>
      </c>
      <c r="BG101" s="7">
        <v>4.0570968765960214E-4</v>
      </c>
      <c r="BH101" s="4" t="s">
        <v>31</v>
      </c>
      <c r="CL101" s="18"/>
    </row>
    <row r="102" spans="1:90" ht="18" x14ac:dyDescent="0.25">
      <c r="A102" s="17"/>
      <c r="AW102" s="18"/>
      <c r="AZ102" s="17"/>
      <c r="BA102" s="93"/>
      <c r="BB102" s="3" t="s">
        <v>48</v>
      </c>
      <c r="BC102" s="9">
        <f>200*10^9</f>
        <v>200000000000</v>
      </c>
      <c r="BE102" s="4" t="s">
        <v>29</v>
      </c>
      <c r="BF102" s="24">
        <v>0.99992060631613255</v>
      </c>
      <c r="BG102" s="7">
        <v>4.9552316176822999E-4</v>
      </c>
      <c r="BH102" s="4" t="s">
        <v>32</v>
      </c>
      <c r="CL102" s="18"/>
    </row>
    <row r="103" spans="1:90" x14ac:dyDescent="0.25">
      <c r="A103" s="17"/>
      <c r="AW103" s="18"/>
      <c r="AZ103" s="17"/>
      <c r="BA103" s="93"/>
      <c r="BB103" s="3" t="s">
        <v>49</v>
      </c>
      <c r="BC103" s="33">
        <f>(BC99-BC102)/BC102</f>
        <v>0.32166584751987215</v>
      </c>
      <c r="CL103" s="18"/>
    </row>
    <row r="104" spans="1:90" ht="17.25" x14ac:dyDescent="0.25">
      <c r="A104" s="17"/>
      <c r="AW104" s="18"/>
      <c r="AZ104" s="17"/>
      <c r="BA104" s="93"/>
      <c r="BB104" s="3" t="s">
        <v>36</v>
      </c>
      <c r="BC104" s="2">
        <f>5.029*PI()^2 *AD16 /(BF105^2 * AE12^2)</f>
        <v>258861648763.75507</v>
      </c>
      <c r="BE104" s="57" t="s">
        <v>140</v>
      </c>
      <c r="BF104" s="57"/>
      <c r="BG104" s="57"/>
      <c r="BH104" s="57"/>
      <c r="CL104" s="18"/>
    </row>
    <row r="105" spans="1:90" ht="18" thickBot="1" x14ac:dyDescent="0.3">
      <c r="A105" s="17"/>
      <c r="AW105" s="18"/>
      <c r="AZ105" s="17"/>
      <c r="BA105" s="93"/>
      <c r="BB105" s="3" t="s">
        <v>37</v>
      </c>
      <c r="BC105" s="23">
        <f>SQRT(((PI()*(5.029/2))/(BF105^2*AE12^2)^2 * AD16*AE12^2*BF105*BF106)^2+(PI()^2*(5.029/2)/(BF105^2*AE12^2)*AE12^2*BF105^2*AD17)^2+(PI()^2*(5.029/2)/(AE12^2*BF105^2)*AD16*AE12*BF105^2*AE13)^2)</f>
        <v>116239905.5530495</v>
      </c>
      <c r="BE105" s="4" t="s">
        <v>18</v>
      </c>
      <c r="BF105" s="13">
        <f t="array" ref="BF105:BG107">LINEST(BL47:BL58,BD47:BD58,1,1)</f>
        <v>0.70720526249227245</v>
      </c>
      <c r="BG105" s="7">
        <v>6.671357950007728E-4</v>
      </c>
      <c r="BH105" s="4" t="s">
        <v>30</v>
      </c>
      <c r="CL105" s="18"/>
    </row>
    <row r="106" spans="1:90" ht="15.75" thickBot="1" x14ac:dyDescent="0.3">
      <c r="A106" s="17"/>
      <c r="AW106" s="18"/>
      <c r="AZ106" s="17"/>
      <c r="BA106" s="93"/>
      <c r="BB106" s="3" t="s">
        <v>38</v>
      </c>
      <c r="BC106" s="6">
        <f>BC105/BC104</f>
        <v>4.490425913153846E-4</v>
      </c>
      <c r="BE106" s="4" t="s">
        <v>28</v>
      </c>
      <c r="BF106" s="13">
        <v>1.9953215237813538E-3</v>
      </c>
      <c r="BG106" s="7">
        <v>3.8192574979881697E-4</v>
      </c>
      <c r="BH106" s="4" t="s">
        <v>31</v>
      </c>
      <c r="BN106" s="35"/>
      <c r="CL106" s="18"/>
    </row>
    <row r="107" spans="1:90" ht="18" x14ac:dyDescent="0.25">
      <c r="A107" s="17"/>
      <c r="AW107" s="18"/>
      <c r="AZ107" s="17"/>
      <c r="BA107" s="93"/>
      <c r="BB107" s="3" t="s">
        <v>48</v>
      </c>
      <c r="BC107" s="9">
        <f>200*10^9</f>
        <v>200000000000</v>
      </c>
      <c r="BE107" s="4" t="s">
        <v>29</v>
      </c>
      <c r="BF107" s="24">
        <v>0.99992040235163548</v>
      </c>
      <c r="BG107" s="7">
        <v>4.8110189152980284E-4</v>
      </c>
      <c r="BH107" s="4" t="s">
        <v>32</v>
      </c>
      <c r="CL107" s="18"/>
    </row>
    <row r="108" spans="1:90" x14ac:dyDescent="0.25">
      <c r="A108" s="17"/>
      <c r="AW108" s="18"/>
      <c r="AZ108" s="17"/>
      <c r="BB108" s="3" t="s">
        <v>49</v>
      </c>
      <c r="BC108" s="33">
        <f>(BC104-BC107)/BC107</f>
        <v>0.29430824381877535</v>
      </c>
      <c r="BK108" s="59" t="s">
        <v>109</v>
      </c>
      <c r="BL108" s="59"/>
      <c r="BM108" s="59"/>
      <c r="BN108" s="59"/>
      <c r="CL108" s="18"/>
    </row>
    <row r="109" spans="1:90" ht="17.25" x14ac:dyDescent="0.25">
      <c r="A109" s="17"/>
      <c r="AW109" s="18"/>
      <c r="AZ109" s="17"/>
      <c r="BB109" s="3" t="s">
        <v>36</v>
      </c>
      <c r="BC109" s="30">
        <f>5.029*PI()^2 *AD16 /(BF110^2 * AE12^2)</f>
        <v>257326890980.46719</v>
      </c>
      <c r="BE109" s="57" t="s">
        <v>141</v>
      </c>
      <c r="BF109" s="57"/>
      <c r="BG109" s="57"/>
      <c r="BH109" s="57"/>
      <c r="BK109" s="1" t="s">
        <v>112</v>
      </c>
      <c r="BL109" s="1" t="s">
        <v>113</v>
      </c>
      <c r="BM109" s="1" t="s">
        <v>110</v>
      </c>
      <c r="BN109" s="1" t="s">
        <v>111</v>
      </c>
      <c r="CL109" s="18"/>
    </row>
    <row r="110" spans="1:90" ht="17.25" x14ac:dyDescent="0.25">
      <c r="A110" s="17"/>
      <c r="AW110" s="18"/>
      <c r="AZ110" s="17"/>
      <c r="BB110" s="3" t="s">
        <v>37</v>
      </c>
      <c r="BC110" s="23">
        <f>SQRT(((PI()*(5.029/2))/(BF110^2*AE12^2)^2 * AD16*AE12^2*BF110*BF111)^2+(PI()^2*(5.029/2)/(BF110^2*AE12^2)*AE12^2*BF110^2*AD17)^2+(PI()^2*(5.029/2)/(AE12^2*BF110^2)*AD16*AE12*BF110^2*AE13)^2)</f>
        <v>96107349.158357099</v>
      </c>
      <c r="BE110" s="4" t="s">
        <v>18</v>
      </c>
      <c r="BF110" s="13">
        <f t="array" ref="BF110:BG112">LINEST(BP47:BP58,BD47:BD58,1,1)</f>
        <v>0.70931109606252618</v>
      </c>
      <c r="BG110" s="7">
        <v>7.138735017840625E-4</v>
      </c>
      <c r="BH110" s="4" t="s">
        <v>30</v>
      </c>
      <c r="BK110" s="1" cm="1">
        <f t="array" ref="BK110:BK112">BD47:BD49</f>
        <v>3.2399999999999998E-2</v>
      </c>
      <c r="BL110" s="1" cm="1">
        <f t="array" ref="BL110:BL112">BF47:BF49</f>
        <v>2.3800000000000002E-2</v>
      </c>
      <c r="BM110" s="1">
        <f>BK110*BF$95+BG$95</f>
        <v>2.4458281296220533E-2</v>
      </c>
      <c r="BN110" s="1">
        <f>BL110-BM110</f>
        <v>-6.5828129622053089E-4</v>
      </c>
      <c r="CL110" s="18"/>
    </row>
    <row r="111" spans="1:90" x14ac:dyDescent="0.25">
      <c r="A111" s="17"/>
      <c r="AW111" s="18"/>
      <c r="AZ111" s="17"/>
      <c r="BB111" s="3" t="s">
        <v>38</v>
      </c>
      <c r="BC111" s="6">
        <f>BC110/BC109</f>
        <v>3.7348350493867461E-4</v>
      </c>
      <c r="BE111" s="4" t="s">
        <v>28</v>
      </c>
      <c r="BF111" s="13">
        <v>1.6645162819838612E-3</v>
      </c>
      <c r="BG111" s="7">
        <v>3.1860611007907273E-4</v>
      </c>
      <c r="BH111" s="4" t="s">
        <v>31</v>
      </c>
      <c r="BK111" s="1">
        <v>8.7024999999999991E-2</v>
      </c>
      <c r="BL111" s="1">
        <v>6.1400000000000003E-2</v>
      </c>
      <c r="BM111" s="1">
        <f>BK111*BF$95+BG$95</f>
        <v>6.2511186409373462E-2</v>
      </c>
      <c r="BN111" s="1">
        <f t="shared" ref="BN111:BN120" si="40">BL111-BM111</f>
        <v>-1.1111864093734589E-3</v>
      </c>
      <c r="CL111" s="18"/>
    </row>
    <row r="112" spans="1:90" ht="18" x14ac:dyDescent="0.25">
      <c r="A112" s="17"/>
      <c r="Z112" s="55"/>
      <c r="AA112" s="55"/>
      <c r="AW112" s="18"/>
      <c r="AZ112" s="17"/>
      <c r="BB112" s="3" t="s">
        <v>48</v>
      </c>
      <c r="BC112" s="9">
        <f>200*10^9</f>
        <v>200000000000</v>
      </c>
      <c r="BE112" s="4" t="s">
        <v>29</v>
      </c>
      <c r="BF112" s="24">
        <v>0.99994493461593725</v>
      </c>
      <c r="BG112" s="2">
        <v>4.0133979521605247E-4</v>
      </c>
      <c r="BH112" s="4" t="s">
        <v>32</v>
      </c>
      <c r="BK112" s="1">
        <v>0.11833599999999998</v>
      </c>
      <c r="BL112" s="1">
        <v>8.3599999999999994E-2</v>
      </c>
      <c r="BM112" s="1">
        <f>BK112*BF$95+BG$95</f>
        <v>8.4323076789198287E-2</v>
      </c>
      <c r="BN112" s="1">
        <f t="shared" si="40"/>
        <v>-7.230767891982931E-4</v>
      </c>
      <c r="CL112" s="18"/>
    </row>
    <row r="113" spans="1:90" x14ac:dyDescent="0.25">
      <c r="A113" s="17"/>
      <c r="Z113" s="55"/>
      <c r="AA113" s="55"/>
      <c r="AW113" s="18"/>
      <c r="AZ113" s="17"/>
      <c r="BB113" s="3" t="s">
        <v>49</v>
      </c>
      <c r="BC113" s="33">
        <f>(BC109-BC112)/BC112</f>
        <v>0.28663445490233597</v>
      </c>
      <c r="BK113" s="1" cm="1">
        <f t="array" ref="BK113:BK120">BD51:BD58</f>
        <v>0.16000000000000003</v>
      </c>
      <c r="BL113" s="1" cm="1">
        <f t="array" ref="BL113:BL120">BF51:BF58</f>
        <v>0.11320000000000001</v>
      </c>
      <c r="BM113" s="1">
        <f>BK113*BF$95+BG$95</f>
        <v>0.11334708115779153</v>
      </c>
      <c r="BN113" s="1">
        <f t="shared" si="40"/>
        <v>-1.470811577915232E-4</v>
      </c>
      <c r="CL113" s="18"/>
    </row>
    <row r="114" spans="1:90" ht="15" customHeight="1" x14ac:dyDescent="0.25">
      <c r="A114" s="17"/>
      <c r="E114" s="75" t="s">
        <v>46</v>
      </c>
      <c r="F114" s="74">
        <f>(I115-2)/2</f>
        <v>-6.3309163028415494E-3</v>
      </c>
      <c r="H114" s="57" t="s">
        <v>45</v>
      </c>
      <c r="I114" s="57"/>
      <c r="J114" s="57"/>
      <c r="K114" s="57"/>
      <c r="Z114" s="55"/>
      <c r="AA114" s="55"/>
      <c r="AW114" s="18"/>
      <c r="AZ114" s="17"/>
      <c r="BK114" s="1">
        <v>0.18318399999999999</v>
      </c>
      <c r="BL114" s="1">
        <v>0.12940000000000002</v>
      </c>
      <c r="BM114" s="1">
        <f>BK114*BF$95+BG$95</f>
        <v>0.12949753520160545</v>
      </c>
      <c r="BN114" s="1">
        <f t="shared" si="40"/>
        <v>-9.7535201605436495E-5</v>
      </c>
      <c r="CL114" s="18"/>
    </row>
    <row r="115" spans="1:90" x14ac:dyDescent="0.25">
      <c r="A115" s="17"/>
      <c r="E115" s="75"/>
      <c r="F115" s="74"/>
      <c r="H115" s="4" t="s">
        <v>18</v>
      </c>
      <c r="I115" s="13">
        <f t="array" ref="I115:J117">LINEST(AT77:AT87,AR77:AR87,1,1)</f>
        <v>1.9873381673943169</v>
      </c>
      <c r="J115" s="13">
        <v>-0.15129629188985805</v>
      </c>
      <c r="K115" s="4" t="s">
        <v>30</v>
      </c>
      <c r="Y115" s="55"/>
      <c r="Z115" s="55"/>
      <c r="AA115" s="55"/>
      <c r="AW115" s="18"/>
      <c r="AZ115" s="17"/>
      <c r="BK115" s="1">
        <v>0.19891600000000001</v>
      </c>
      <c r="BL115" s="1">
        <v>0.13919999999999999</v>
      </c>
      <c r="BM115" s="1">
        <f>BK115*BF$95+BG$95</f>
        <v>0.14045677187419353</v>
      </c>
      <c r="BN115" s="1">
        <f t="shared" si="40"/>
        <v>-1.2567718741935408E-3</v>
      </c>
      <c r="CL115" s="18"/>
    </row>
    <row r="116" spans="1:90" x14ac:dyDescent="0.25">
      <c r="A116" s="17"/>
      <c r="E116" s="75" t="s">
        <v>47</v>
      </c>
      <c r="F116" s="74">
        <f>I116/I115</f>
        <v>2.588555912294324E-3</v>
      </c>
      <c r="H116" s="4" t="s">
        <v>28</v>
      </c>
      <c r="I116" s="13">
        <v>5.1443359629367259E-3</v>
      </c>
      <c r="J116" s="13">
        <v>1.9406377684669837E-3</v>
      </c>
      <c r="K116" s="4" t="s">
        <v>31</v>
      </c>
      <c r="AW116" s="18"/>
      <c r="AZ116" s="17"/>
      <c r="BK116" s="1">
        <v>0.21436899999999998</v>
      </c>
      <c r="BL116" s="1">
        <v>0.15059999999999998</v>
      </c>
      <c r="BM116" s="1">
        <f>BK116*BF$95+BG$95</f>
        <v>0.15122165137467042</v>
      </c>
      <c r="BN116" s="1">
        <f t="shared" si="40"/>
        <v>-6.2165137467043441E-4</v>
      </c>
      <c r="CL116" s="18"/>
    </row>
    <row r="117" spans="1:90" ht="15" customHeight="1" x14ac:dyDescent="0.25">
      <c r="A117" s="17"/>
      <c r="E117" s="75"/>
      <c r="F117" s="74"/>
      <c r="H117" s="4" t="s">
        <v>29</v>
      </c>
      <c r="I117" s="24">
        <v>0.99993969804114591</v>
      </c>
      <c r="J117" s="13">
        <v>1.2507184408785392E-3</v>
      </c>
      <c r="K117" s="4" t="s">
        <v>32</v>
      </c>
      <c r="AW117" s="18"/>
      <c r="AZ117" s="17"/>
      <c r="BK117" s="1">
        <v>0.23136100000000004</v>
      </c>
      <c r="BL117" s="1">
        <v>0.16300000000000001</v>
      </c>
      <c r="BM117" s="1">
        <f>BK117*BF$95+BG$95</f>
        <v>0.16305863011485711</v>
      </c>
      <c r="BN117" s="1">
        <f t="shared" si="40"/>
        <v>-5.8630114857100013E-5</v>
      </c>
      <c r="CL117" s="18"/>
    </row>
    <row r="118" spans="1:90" ht="15" customHeight="1" x14ac:dyDescent="0.25">
      <c r="A118" s="17"/>
      <c r="AW118" s="18"/>
      <c r="AZ118" s="17"/>
      <c r="BK118" s="1">
        <v>0.24502499999999999</v>
      </c>
      <c r="BL118" s="1">
        <v>0.17319999999999999</v>
      </c>
      <c r="BM118" s="1">
        <f>BK118*BF$95+BG$95</f>
        <v>0.17257725520348172</v>
      </c>
      <c r="BN118" s="1">
        <f t="shared" si="40"/>
        <v>6.2274479651827641E-4</v>
      </c>
      <c r="CL118" s="18"/>
    </row>
    <row r="119" spans="1:90" ht="14.45" customHeight="1" x14ac:dyDescent="0.25">
      <c r="A119" s="17"/>
      <c r="E119" s="75" t="s">
        <v>46</v>
      </c>
      <c r="F119" s="74">
        <f>(I120-2)/2</f>
        <v>-5.4894333916274407E-3</v>
      </c>
      <c r="H119" s="57" t="s">
        <v>44</v>
      </c>
      <c r="I119" s="57"/>
      <c r="J119" s="57"/>
      <c r="K119" s="57"/>
      <c r="AW119" s="18"/>
      <c r="AZ119" s="17"/>
      <c r="BK119" s="1">
        <v>0.255025</v>
      </c>
      <c r="BL119" s="1">
        <v>0.17899999999999999</v>
      </c>
      <c r="BM119" s="1">
        <f>BK119*BF$95+BG$95</f>
        <v>0.17954346208918479</v>
      </c>
      <c r="BN119" s="1">
        <f t="shared" si="40"/>
        <v>-5.43462089184793E-4</v>
      </c>
      <c r="CL119" s="18"/>
    </row>
    <row r="120" spans="1:90" ht="14.45" customHeight="1" x14ac:dyDescent="0.25">
      <c r="A120" s="17"/>
      <c r="E120" s="75"/>
      <c r="F120" s="74"/>
      <c r="H120" s="4" t="s">
        <v>18</v>
      </c>
      <c r="I120" s="13">
        <f t="array" ref="I120:J122">LINEST(W83:W93,U83:U93,1,1)</f>
        <v>1.9890211332167451</v>
      </c>
      <c r="J120" s="13">
        <v>-0.15211595166975034</v>
      </c>
      <c r="K120" s="4" t="s">
        <v>30</v>
      </c>
      <c r="AW120" s="18"/>
      <c r="AZ120" s="17"/>
      <c r="BK120" s="1">
        <v>0.27040000000000003</v>
      </c>
      <c r="BL120" s="1">
        <v>0.19</v>
      </c>
      <c r="BM120" s="1">
        <f>BK120*BF$95+BG$95</f>
        <v>0.19025400517595326</v>
      </c>
      <c r="BN120" s="1">
        <f t="shared" si="40"/>
        <v>-2.5400517595325356E-4</v>
      </c>
      <c r="CL120" s="18"/>
    </row>
    <row r="121" spans="1:90" x14ac:dyDescent="0.25">
      <c r="A121" s="17"/>
      <c r="E121" s="75" t="s">
        <v>47</v>
      </c>
      <c r="F121" s="74">
        <f>I121/I120</f>
        <v>3.1536204102635074E-3</v>
      </c>
      <c r="H121" s="4" t="s">
        <v>28</v>
      </c>
      <c r="I121" s="13">
        <v>6.2726176421577778E-3</v>
      </c>
      <c r="J121" s="13">
        <v>2.3662682202766987E-3</v>
      </c>
      <c r="K121" s="4" t="s">
        <v>31</v>
      </c>
      <c r="AW121" s="18"/>
      <c r="AZ121" s="17"/>
      <c r="CL121" s="18"/>
    </row>
    <row r="122" spans="1:90" ht="17.25" x14ac:dyDescent="0.25">
      <c r="A122" s="17"/>
      <c r="E122" s="75"/>
      <c r="F122" s="74"/>
      <c r="H122" s="4" t="s">
        <v>29</v>
      </c>
      <c r="I122" s="24">
        <v>0.99991050011571792</v>
      </c>
      <c r="J122" s="13">
        <v>1.5250323101269989E-3</v>
      </c>
      <c r="K122" s="4" t="s">
        <v>32</v>
      </c>
      <c r="AW122" s="18"/>
      <c r="AZ122" s="17"/>
      <c r="CL122" s="18"/>
    </row>
    <row r="123" spans="1:90" x14ac:dyDescent="0.25">
      <c r="A123" s="17"/>
      <c r="AW123" s="18"/>
      <c r="AZ123" s="17"/>
      <c r="CL123" s="18"/>
    </row>
    <row r="124" spans="1:90" x14ac:dyDescent="0.25">
      <c r="A124" s="17"/>
      <c r="E124" s="75" t="s">
        <v>46</v>
      </c>
      <c r="F124" s="79">
        <f>(I125-2)/2</f>
        <v>-1.427410912580096E-2</v>
      </c>
      <c r="H124" s="57" t="s">
        <v>137</v>
      </c>
      <c r="I124" s="57"/>
      <c r="J124" s="57"/>
      <c r="K124" s="57"/>
      <c r="AW124" s="18"/>
      <c r="AZ124" s="17"/>
      <c r="CL124" s="18"/>
    </row>
    <row r="125" spans="1:90" x14ac:dyDescent="0.25">
      <c r="A125" s="17"/>
      <c r="E125" s="75"/>
      <c r="F125" s="79"/>
      <c r="H125" s="4" t="s">
        <v>18</v>
      </c>
      <c r="I125" s="8">
        <f t="array" ref="I125:J127">LINEST(D82:D92,B82:B92,1,1)</f>
        <v>1.9714517817483981</v>
      </c>
      <c r="J125" s="8">
        <v>-0.16060378063455905</v>
      </c>
      <c r="K125" s="4" t="s">
        <v>30</v>
      </c>
      <c r="AW125" s="18"/>
      <c r="AZ125" s="17"/>
      <c r="CL125" s="18"/>
    </row>
    <row r="126" spans="1:90" x14ac:dyDescent="0.25">
      <c r="A126" s="17"/>
      <c r="E126" s="75" t="s">
        <v>47</v>
      </c>
      <c r="F126" s="74">
        <f>I126/I125</f>
        <v>1.5156499812923377E-2</v>
      </c>
      <c r="H126" s="4" t="s">
        <v>28</v>
      </c>
      <c r="I126" s="8">
        <v>2.9880308561257053E-2</v>
      </c>
      <c r="J126" s="8">
        <v>1.1271980629803204E-2</v>
      </c>
      <c r="K126" s="4" t="s">
        <v>31</v>
      </c>
      <c r="AW126" s="18"/>
      <c r="AZ126" s="17"/>
      <c r="CL126" s="18"/>
    </row>
    <row r="127" spans="1:90" ht="17.25" x14ac:dyDescent="0.25">
      <c r="A127" s="17"/>
      <c r="E127" s="75"/>
      <c r="F127" s="74"/>
      <c r="H127" s="4" t="s">
        <v>29</v>
      </c>
      <c r="I127" s="13">
        <v>0.99793679025613524</v>
      </c>
      <c r="J127" s="13">
        <v>7.2646602410801273E-3</v>
      </c>
      <c r="K127" s="4" t="s">
        <v>32</v>
      </c>
      <c r="AW127" s="18"/>
      <c r="AZ127" s="17"/>
      <c r="CL127" s="18"/>
    </row>
    <row r="128" spans="1:90" ht="15.75" thickBot="1" x14ac:dyDescent="0.3">
      <c r="A128" s="17"/>
      <c r="AW128" s="18"/>
      <c r="AZ128" s="19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1"/>
    </row>
    <row r="129" spans="1:49" x14ac:dyDescent="0.25">
      <c r="A129" s="17"/>
      <c r="E129" s="77" t="s">
        <v>46</v>
      </c>
      <c r="F129" s="74">
        <f>(I130-2)/2</f>
        <v>-4.2993910318951389E-3</v>
      </c>
      <c r="H129" s="57" t="s">
        <v>138</v>
      </c>
      <c r="I129" s="57"/>
      <c r="J129" s="57"/>
      <c r="K129" s="57"/>
      <c r="AW129" s="18"/>
    </row>
    <row r="130" spans="1:49" x14ac:dyDescent="0.25">
      <c r="A130" s="17"/>
      <c r="E130" s="78"/>
      <c r="F130" s="74"/>
      <c r="H130" s="4" t="s">
        <v>18</v>
      </c>
      <c r="I130" s="8">
        <f t="array" ref="I130:J132">LINEST(L83:L92,K83:K92,1,1)</f>
        <v>1.9914012179362097</v>
      </c>
      <c r="J130" s="13">
        <v>-0.15531067364384243</v>
      </c>
      <c r="K130" s="4" t="s">
        <v>30</v>
      </c>
      <c r="AW130" s="18"/>
    </row>
    <row r="131" spans="1:49" x14ac:dyDescent="0.25">
      <c r="A131" s="17"/>
      <c r="E131" s="77" t="s">
        <v>47</v>
      </c>
      <c r="F131" s="74">
        <f>I131/I130</f>
        <v>3.2134509226175224E-3</v>
      </c>
      <c r="H131" s="4" t="s">
        <v>28</v>
      </c>
      <c r="I131" s="8">
        <v>6.3992700810787707E-3</v>
      </c>
      <c r="J131" s="13">
        <v>2.3839721898941909E-3</v>
      </c>
      <c r="K131" s="4" t="s">
        <v>31</v>
      </c>
      <c r="AW131" s="18"/>
    </row>
    <row r="132" spans="1:49" ht="17.25" x14ac:dyDescent="0.25">
      <c r="A132" s="17"/>
      <c r="E132" s="78"/>
      <c r="F132" s="74"/>
      <c r="H132" s="4" t="s">
        <v>29</v>
      </c>
      <c r="I132" s="24">
        <v>0.99991739668921398</v>
      </c>
      <c r="J132" s="13">
        <v>1.5172277105461392E-3</v>
      </c>
      <c r="K132" s="4" t="s">
        <v>32</v>
      </c>
      <c r="AW132" s="18"/>
    </row>
    <row r="133" spans="1:49" x14ac:dyDescent="0.25">
      <c r="A133" s="17"/>
      <c r="AW133" s="18"/>
    </row>
    <row r="134" spans="1:49" x14ac:dyDescent="0.25">
      <c r="A134" s="17"/>
      <c r="AW134" s="18"/>
    </row>
    <row r="135" spans="1:49" ht="15.75" thickBot="1" x14ac:dyDescent="0.3">
      <c r="A135" s="19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1"/>
    </row>
    <row r="142" spans="1:49" ht="14.45" customHeight="1" x14ac:dyDescent="0.25"/>
    <row r="144" spans="1:49" ht="14.45" customHeight="1" x14ac:dyDescent="0.25"/>
  </sheetData>
  <mergeCells count="270">
    <mergeCell ref="AB5:AB11"/>
    <mergeCell ref="H129:K129"/>
    <mergeCell ref="E129:E130"/>
    <mergeCell ref="F129:F130"/>
    <mergeCell ref="E131:E132"/>
    <mergeCell ref="F131:F132"/>
    <mergeCell ref="B79:I79"/>
    <mergeCell ref="CS89:CV89"/>
    <mergeCell ref="CX89:CX90"/>
    <mergeCell ref="E116:E117"/>
    <mergeCell ref="F116:F117"/>
    <mergeCell ref="F126:F127"/>
    <mergeCell ref="F124:F125"/>
    <mergeCell ref="E119:E120"/>
    <mergeCell ref="F119:F120"/>
    <mergeCell ref="E121:E122"/>
    <mergeCell ref="F121:F122"/>
    <mergeCell ref="E114:E115"/>
    <mergeCell ref="E124:E125"/>
    <mergeCell ref="E126:E127"/>
    <mergeCell ref="H124:K124"/>
    <mergeCell ref="H119:K119"/>
    <mergeCell ref="H114:K114"/>
    <mergeCell ref="BA94:BA98"/>
    <mergeCell ref="CY89:CY90"/>
    <mergeCell ref="CX91:CX92"/>
    <mergeCell ref="CY91:CY92"/>
    <mergeCell ref="CP49:CP50"/>
    <mergeCell ref="CQ49:CQ50"/>
    <mergeCell ref="CR49:CR50"/>
    <mergeCell ref="CS83:CV83"/>
    <mergeCell ref="F114:F115"/>
    <mergeCell ref="BL45:BO45"/>
    <mergeCell ref="BP45:BS45"/>
    <mergeCell ref="BE94:BH94"/>
    <mergeCell ref="BE104:BH104"/>
    <mergeCell ref="BE109:BH109"/>
    <mergeCell ref="CS49:CX49"/>
    <mergeCell ref="BA99:BA103"/>
    <mergeCell ref="BA104:BA107"/>
    <mergeCell ref="AC5:AE5"/>
    <mergeCell ref="H5:H6"/>
    <mergeCell ref="W29:W30"/>
    <mergeCell ref="X29:X30"/>
    <mergeCell ref="Y29:Y30"/>
    <mergeCell ref="Z29:Z30"/>
    <mergeCell ref="W25:W26"/>
    <mergeCell ref="X25:X26"/>
    <mergeCell ref="Y25:Y26"/>
    <mergeCell ref="Z25:Z26"/>
    <mergeCell ref="W27:W28"/>
    <mergeCell ref="X27:X28"/>
    <mergeCell ref="Y27:Y28"/>
    <mergeCell ref="Z27:Z28"/>
    <mergeCell ref="W21:W22"/>
    <mergeCell ref="X21:X22"/>
    <mergeCell ref="Y21:Y22"/>
    <mergeCell ref="Z21:Z22"/>
    <mergeCell ref="W23:W24"/>
    <mergeCell ref="X23:X24"/>
    <mergeCell ref="Y23:Y24"/>
    <mergeCell ref="Z23:Z24"/>
    <mergeCell ref="W17:W18"/>
    <mergeCell ref="X17:X18"/>
    <mergeCell ref="Y17:Y18"/>
    <mergeCell ref="Z17:Z18"/>
    <mergeCell ref="W19:W20"/>
    <mergeCell ref="X19:X20"/>
    <mergeCell ref="Y19:Y20"/>
    <mergeCell ref="Z19:Z20"/>
    <mergeCell ref="W13:W14"/>
    <mergeCell ref="X13:X14"/>
    <mergeCell ref="Y13:Y14"/>
    <mergeCell ref="Z13:Z14"/>
    <mergeCell ref="W15:W16"/>
    <mergeCell ref="X15:X16"/>
    <mergeCell ref="Y15:Y16"/>
    <mergeCell ref="Z15:Z16"/>
    <mergeCell ref="W9:W10"/>
    <mergeCell ref="X9:X10"/>
    <mergeCell ref="Y9:Y10"/>
    <mergeCell ref="Z9:Z10"/>
    <mergeCell ref="W11:W12"/>
    <mergeCell ref="X11:X12"/>
    <mergeCell ref="Y11:Y12"/>
    <mergeCell ref="Z11:Z12"/>
    <mergeCell ref="U5:Z5"/>
    <mergeCell ref="W7:W8"/>
    <mergeCell ref="X7:X8"/>
    <mergeCell ref="Y7:Y8"/>
    <mergeCell ref="Z7:Z8"/>
    <mergeCell ref="Q29:Q30"/>
    <mergeCell ref="R29:R30"/>
    <mergeCell ref="S29:S30"/>
    <mergeCell ref="T29:T30"/>
    <mergeCell ref="Q25:Q26"/>
    <mergeCell ref="R25:R26"/>
    <mergeCell ref="S25:S26"/>
    <mergeCell ref="T25:T26"/>
    <mergeCell ref="Q27:Q28"/>
    <mergeCell ref="R27:R28"/>
    <mergeCell ref="S27:S28"/>
    <mergeCell ref="T27:T28"/>
    <mergeCell ref="Q21:Q22"/>
    <mergeCell ref="R21:R22"/>
    <mergeCell ref="S21:S22"/>
    <mergeCell ref="T21:T22"/>
    <mergeCell ref="Q23:Q24"/>
    <mergeCell ref="R23:R24"/>
    <mergeCell ref="S23:S24"/>
    <mergeCell ref="T23:T24"/>
    <mergeCell ref="Q17:Q18"/>
    <mergeCell ref="R17:R18"/>
    <mergeCell ref="S17:S18"/>
    <mergeCell ref="T17:T18"/>
    <mergeCell ref="Q19:Q20"/>
    <mergeCell ref="R19:R20"/>
    <mergeCell ref="S19:S20"/>
    <mergeCell ref="T19:T20"/>
    <mergeCell ref="Q13:Q14"/>
    <mergeCell ref="R13:R14"/>
    <mergeCell ref="S13:S14"/>
    <mergeCell ref="T13:T14"/>
    <mergeCell ref="Q15:Q16"/>
    <mergeCell ref="R15:R16"/>
    <mergeCell ref="S15:S16"/>
    <mergeCell ref="T15:T16"/>
    <mergeCell ref="Q9:Q10"/>
    <mergeCell ref="R9:R10"/>
    <mergeCell ref="S9:S10"/>
    <mergeCell ref="T9:T10"/>
    <mergeCell ref="Q11:Q12"/>
    <mergeCell ref="R11:R12"/>
    <mergeCell ref="S11:S12"/>
    <mergeCell ref="T11:T12"/>
    <mergeCell ref="I5:N5"/>
    <mergeCell ref="O5:T5"/>
    <mergeCell ref="Q7:Q8"/>
    <mergeCell ref="R7:R8"/>
    <mergeCell ref="S7:S8"/>
    <mergeCell ref="T7:T8"/>
    <mergeCell ref="G7:G8"/>
    <mergeCell ref="F7:F8"/>
    <mergeCell ref="F9:F10"/>
    <mergeCell ref="G9:G10"/>
    <mergeCell ref="K7:K8"/>
    <mergeCell ref="K9:K10"/>
    <mergeCell ref="L7:L8"/>
    <mergeCell ref="L9:L10"/>
    <mergeCell ref="M7:M8"/>
    <mergeCell ref="M9:M10"/>
    <mergeCell ref="N7:N8"/>
    <mergeCell ref="N9:N10"/>
    <mergeCell ref="H7:H8"/>
    <mergeCell ref="H9:H10"/>
    <mergeCell ref="G5:G6"/>
    <mergeCell ref="F5:F6"/>
    <mergeCell ref="H11:H12"/>
    <mergeCell ref="H13:H14"/>
    <mergeCell ref="H15:H16"/>
    <mergeCell ref="H17:H18"/>
    <mergeCell ref="H19:H20"/>
    <mergeCell ref="H21:H22"/>
    <mergeCell ref="F25:F26"/>
    <mergeCell ref="G25:G26"/>
    <mergeCell ref="F11:F12"/>
    <mergeCell ref="G11:G12"/>
    <mergeCell ref="F13:F14"/>
    <mergeCell ref="G13:G14"/>
    <mergeCell ref="F15:F16"/>
    <mergeCell ref="G15:G16"/>
    <mergeCell ref="F17:F18"/>
    <mergeCell ref="G17:G18"/>
    <mergeCell ref="F19:F20"/>
    <mergeCell ref="G19:G20"/>
    <mergeCell ref="K25:K26"/>
    <mergeCell ref="K27:K28"/>
    <mergeCell ref="F21:F22"/>
    <mergeCell ref="G21:G22"/>
    <mergeCell ref="F23:F24"/>
    <mergeCell ref="G23:G24"/>
    <mergeCell ref="F27:F28"/>
    <mergeCell ref="G27:G28"/>
    <mergeCell ref="F29:F30"/>
    <mergeCell ref="G29:G30"/>
    <mergeCell ref="K23:K24"/>
    <mergeCell ref="H23:H24"/>
    <mergeCell ref="H25:H26"/>
    <mergeCell ref="H27:H28"/>
    <mergeCell ref="H29:H30"/>
    <mergeCell ref="K29:K30"/>
    <mergeCell ref="L11:L12"/>
    <mergeCell ref="L13:L14"/>
    <mergeCell ref="L15:L16"/>
    <mergeCell ref="L17:L18"/>
    <mergeCell ref="L19:L20"/>
    <mergeCell ref="L21:L22"/>
    <mergeCell ref="K17:K18"/>
    <mergeCell ref="K19:K20"/>
    <mergeCell ref="K21:K22"/>
    <mergeCell ref="K11:K12"/>
    <mergeCell ref="K13:K14"/>
    <mergeCell ref="K15:K16"/>
    <mergeCell ref="N11:N12"/>
    <mergeCell ref="N13:N14"/>
    <mergeCell ref="N15:N16"/>
    <mergeCell ref="N17:N18"/>
    <mergeCell ref="N19:N20"/>
    <mergeCell ref="N21:N22"/>
    <mergeCell ref="M17:M18"/>
    <mergeCell ref="M19:M20"/>
    <mergeCell ref="M21:M22"/>
    <mergeCell ref="M11:M12"/>
    <mergeCell ref="M13:M14"/>
    <mergeCell ref="M15:M16"/>
    <mergeCell ref="D25:D26"/>
    <mergeCell ref="D27:D28"/>
    <mergeCell ref="D29:D30"/>
    <mergeCell ref="E7:E8"/>
    <mergeCell ref="E9:E10"/>
    <mergeCell ref="E11:E12"/>
    <mergeCell ref="E13:E14"/>
    <mergeCell ref="E15:E16"/>
    <mergeCell ref="E17:E18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E19:E20"/>
    <mergeCell ref="E21:E22"/>
    <mergeCell ref="E23:E24"/>
    <mergeCell ref="E25:E26"/>
    <mergeCell ref="E27:E28"/>
    <mergeCell ref="E29:E30"/>
    <mergeCell ref="N23:N24"/>
    <mergeCell ref="N25:N26"/>
    <mergeCell ref="N27:N28"/>
    <mergeCell ref="N29:N30"/>
    <mergeCell ref="L23:L24"/>
    <mergeCell ref="L25:L26"/>
    <mergeCell ref="L27:L28"/>
    <mergeCell ref="L29:L30"/>
    <mergeCell ref="M29:M30"/>
    <mergeCell ref="M23:M24"/>
    <mergeCell ref="M25:M26"/>
    <mergeCell ref="M27:M28"/>
    <mergeCell ref="F35:K35"/>
    <mergeCell ref="N51:Q51"/>
    <mergeCell ref="BK108:BN108"/>
    <mergeCell ref="BF45:BK45"/>
    <mergeCell ref="H73:K73"/>
    <mergeCell ref="BE99:BH99"/>
    <mergeCell ref="BC45:BC46"/>
    <mergeCell ref="BD45:BD46"/>
    <mergeCell ref="BE45:BE46"/>
    <mergeCell ref="E35:E36"/>
    <mergeCell ref="D35:D36"/>
    <mergeCell ref="H68:K68"/>
    <mergeCell ref="V69:Y69"/>
    <mergeCell ref="V74:Y74"/>
    <mergeCell ref="L35:O35"/>
    <mergeCell ref="P35:S35"/>
    <mergeCell ref="U47:Y47"/>
    <mergeCell ref="C35:C36"/>
    <mergeCell ref="K80:N8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1C672-1FC4-4604-8F58-C0ABA41C2E47}">
  <sheetPr codeName="Sheet4"/>
  <dimension ref="C4:AF72"/>
  <sheetViews>
    <sheetView tabSelected="1" zoomScaleNormal="100" workbookViewId="0">
      <selection activeCell="M17" sqref="M17"/>
    </sheetView>
  </sheetViews>
  <sheetFormatPr defaultColWidth="8.85546875" defaultRowHeight="15" x14ac:dyDescent="0.25"/>
  <cols>
    <col min="1" max="6" width="8.85546875" style="1"/>
    <col min="7" max="7" width="12.42578125" style="1" bestFit="1" customWidth="1"/>
    <col min="8" max="9" width="9.7109375" style="1" customWidth="1"/>
    <col min="10" max="10" width="12.42578125" style="1" bestFit="1" customWidth="1"/>
    <col min="11" max="14" width="8.85546875" style="1"/>
    <col min="15" max="15" width="12.28515625" style="1" customWidth="1"/>
    <col min="16" max="16" width="13" style="1" customWidth="1"/>
    <col min="17" max="17" width="11" style="1" customWidth="1"/>
    <col min="18" max="18" width="12.5703125" style="1" customWidth="1"/>
    <col min="19" max="19" width="10.7109375" style="1" customWidth="1"/>
    <col min="20" max="20" width="12" style="1" bestFit="1" customWidth="1"/>
    <col min="21" max="21" width="12.42578125" style="1" bestFit="1" customWidth="1"/>
    <col min="22" max="25" width="8.85546875" style="1"/>
    <col min="26" max="26" width="13.28515625" style="1" bestFit="1" customWidth="1"/>
    <col min="27" max="27" width="8.85546875" style="1"/>
    <col min="28" max="28" width="10.7109375" style="1" customWidth="1"/>
    <col min="29" max="30" width="8.85546875" style="1"/>
    <col min="31" max="31" width="12.7109375" style="1" bestFit="1" customWidth="1"/>
    <col min="32" max="32" width="11.42578125" style="1" customWidth="1"/>
    <col min="33" max="16384" width="8.85546875" style="1"/>
  </cols>
  <sheetData>
    <row r="4" spans="4:21" x14ac:dyDescent="0.25">
      <c r="D4" s="89"/>
      <c r="E4" s="57" t="s">
        <v>55</v>
      </c>
      <c r="F4" s="57"/>
      <c r="G4" s="57" t="s">
        <v>56</v>
      </c>
      <c r="H4" s="57"/>
      <c r="I4" s="57"/>
      <c r="J4" s="83" t="s">
        <v>57</v>
      </c>
      <c r="K4" s="84"/>
      <c r="L4" s="85"/>
      <c r="N4" s="83" t="s">
        <v>143</v>
      </c>
      <c r="O4" s="85"/>
      <c r="P4" s="3" t="s">
        <v>142</v>
      </c>
      <c r="Q4" s="3" t="s">
        <v>92</v>
      </c>
      <c r="S4" s="89"/>
      <c r="T4" s="57" t="s">
        <v>78</v>
      </c>
      <c r="U4" s="57"/>
    </row>
    <row r="5" spans="4:21" x14ac:dyDescent="0.25">
      <c r="D5" s="90"/>
      <c r="E5" s="4" t="s">
        <v>60</v>
      </c>
      <c r="F5" s="4" t="s">
        <v>61</v>
      </c>
      <c r="G5" s="4" t="s">
        <v>60</v>
      </c>
      <c r="H5" s="4" t="s">
        <v>62</v>
      </c>
      <c r="I5" s="4" t="s">
        <v>63</v>
      </c>
      <c r="J5" s="4" t="s">
        <v>59</v>
      </c>
      <c r="K5" s="4" t="s">
        <v>70</v>
      </c>
      <c r="L5" s="4" t="s">
        <v>64</v>
      </c>
      <c r="N5" s="91" t="s">
        <v>55</v>
      </c>
      <c r="O5" s="91"/>
      <c r="P5" s="13">
        <f>E11*F11^2 / 8</f>
        <v>2.6870690275650005E-3</v>
      </c>
      <c r="Q5" s="13">
        <f>SQRT((F11^2/8 * E12)^2+(E11/4*F11*F12)^2)</f>
        <v>1.0551869021747898E-3</v>
      </c>
      <c r="S5" s="90"/>
      <c r="T5" s="4" t="s">
        <v>77</v>
      </c>
      <c r="U5" s="4" t="s">
        <v>79</v>
      </c>
    </row>
    <row r="6" spans="4:21" x14ac:dyDescent="0.25">
      <c r="D6" s="4">
        <v>1</v>
      </c>
      <c r="E6" s="2">
        <v>807.3</v>
      </c>
      <c r="F6" s="2">
        <v>200</v>
      </c>
      <c r="G6" s="2">
        <v>487.1</v>
      </c>
      <c r="H6" s="2">
        <v>197</v>
      </c>
      <c r="I6" s="2">
        <v>179</v>
      </c>
      <c r="J6" s="2">
        <v>683.5</v>
      </c>
      <c r="K6" s="2">
        <v>199</v>
      </c>
      <c r="L6" s="2">
        <v>28</v>
      </c>
      <c r="N6" s="91" t="s">
        <v>56</v>
      </c>
      <c r="O6" s="91"/>
      <c r="P6" s="7">
        <f>G11/8 * (H11^2+I11^2)</f>
        <v>3.7182845975369996E-3</v>
      </c>
      <c r="Q6" s="7">
        <f>SQRT(((H11^2+I11^2)/8*G12)^2+(G11/4*H11*H12)^2+(G11/4*I11*I12)^2)</f>
        <v>5.2134671062553856E-4</v>
      </c>
      <c r="S6" s="4">
        <v>1</v>
      </c>
      <c r="T6" s="11">
        <v>1093.5</v>
      </c>
      <c r="U6" s="8">
        <v>0.753</v>
      </c>
    </row>
    <row r="7" spans="4:21" x14ac:dyDescent="0.25">
      <c r="D7" s="4">
        <v>2</v>
      </c>
      <c r="E7" s="2">
        <v>807.4</v>
      </c>
      <c r="F7" s="2">
        <v>201</v>
      </c>
      <c r="G7" s="2">
        <v>487.2</v>
      </c>
      <c r="H7" s="2">
        <v>199</v>
      </c>
      <c r="I7" s="2">
        <v>181</v>
      </c>
      <c r="J7" s="2">
        <v>683.7</v>
      </c>
      <c r="K7" s="2">
        <v>199</v>
      </c>
      <c r="L7" s="2">
        <v>29</v>
      </c>
      <c r="N7" s="91" t="s">
        <v>68</v>
      </c>
      <c r="O7" s="91"/>
      <c r="P7" s="9">
        <f>J11*L11^2/12</f>
        <v>4.5944346133333332E-5</v>
      </c>
      <c r="Q7" s="23">
        <f>SQRT((L11^2/12*J12)^2+(J11/6*L11*L12)^2)</f>
        <v>5.7151136637459915E-7</v>
      </c>
      <c r="S7" s="4">
        <v>2</v>
      </c>
      <c r="T7" s="11">
        <v>1098</v>
      </c>
      <c r="U7" s="8">
        <v>0.78100000000000003</v>
      </c>
    </row>
    <row r="8" spans="4:21" x14ac:dyDescent="0.25">
      <c r="D8" s="4">
        <v>3</v>
      </c>
      <c r="E8" s="2">
        <v>807.4</v>
      </c>
      <c r="F8" s="2">
        <v>200.5</v>
      </c>
      <c r="G8" s="2">
        <v>487.1</v>
      </c>
      <c r="H8" s="2">
        <v>200</v>
      </c>
      <c r="I8" s="2">
        <v>180</v>
      </c>
      <c r="J8" s="2">
        <v>683.6</v>
      </c>
      <c r="K8" s="2">
        <v>200</v>
      </c>
      <c r="L8" s="2">
        <v>28</v>
      </c>
      <c r="N8" s="91" t="s">
        <v>69</v>
      </c>
      <c r="O8" s="91"/>
      <c r="P8" s="7">
        <f>J11/24 *(2*K11^2+L11^2)</f>
        <v>1.5397754304120005E-3</v>
      </c>
      <c r="Q8" s="7">
        <f>SQRT(((2*K11^2+L11^2)/24*J12)^2+(J11/6*K11*K12)^2+(J11/12*L11*L12)^2)</f>
        <v>5.9563453711150723E-4</v>
      </c>
      <c r="S8" s="4">
        <v>3</v>
      </c>
      <c r="T8" s="11">
        <v>1096.5</v>
      </c>
      <c r="U8" s="8">
        <v>0.75</v>
      </c>
    </row>
    <row r="9" spans="4:21" x14ac:dyDescent="0.25">
      <c r="D9" s="4">
        <v>4</v>
      </c>
      <c r="E9" s="2">
        <v>807.2</v>
      </c>
      <c r="F9" s="2">
        <v>201</v>
      </c>
      <c r="G9" s="2">
        <v>487.2</v>
      </c>
      <c r="H9" s="2">
        <v>198</v>
      </c>
      <c r="I9" s="2">
        <v>180</v>
      </c>
      <c r="J9" s="2">
        <v>683.5</v>
      </c>
      <c r="K9" s="2">
        <v>198</v>
      </c>
      <c r="L9" s="2">
        <v>28.7</v>
      </c>
      <c r="N9" s="91" t="s">
        <v>72</v>
      </c>
      <c r="O9" s="91"/>
      <c r="P9" s="13">
        <f>P5+P7</f>
        <v>2.7330133736983338E-3</v>
      </c>
      <c r="Q9" s="13">
        <f>SQRT(Q5^2+Q7^2)</f>
        <v>1.0551870569460522E-3</v>
      </c>
      <c r="S9" s="4">
        <v>4</v>
      </c>
      <c r="T9" s="11">
        <v>1097.5</v>
      </c>
      <c r="U9" s="8">
        <v>0.77200000000000002</v>
      </c>
    </row>
    <row r="10" spans="4:21" x14ac:dyDescent="0.25">
      <c r="D10" s="4">
        <v>5</v>
      </c>
      <c r="E10" s="2">
        <v>807.2</v>
      </c>
      <c r="F10" s="2">
        <v>200</v>
      </c>
      <c r="G10" s="2">
        <v>487.1</v>
      </c>
      <c r="H10" s="2">
        <v>197</v>
      </c>
      <c r="I10" s="2">
        <v>17.899999999999999</v>
      </c>
      <c r="J10" s="2">
        <v>683.5</v>
      </c>
      <c r="K10" s="2">
        <v>19.899999999999999</v>
      </c>
      <c r="L10" s="2">
        <v>28.3</v>
      </c>
      <c r="N10" s="91" t="s">
        <v>71</v>
      </c>
      <c r="O10" s="91"/>
      <c r="P10" s="13">
        <f>P5+P8</f>
        <v>4.2268444579770005E-3</v>
      </c>
      <c r="Q10" s="13">
        <f>SQRT(Q5^2+Q8^2)</f>
        <v>1.2116929893010312E-3</v>
      </c>
      <c r="S10" s="4">
        <v>5</v>
      </c>
      <c r="T10" s="11">
        <v>1096.4000000000001</v>
      </c>
      <c r="U10" s="8">
        <v>0.77</v>
      </c>
    </row>
    <row r="11" spans="4:21" x14ac:dyDescent="0.25">
      <c r="D11" s="4" t="s">
        <v>65</v>
      </c>
      <c r="E11" s="2">
        <f>AVERAGE(E6:E10)/1000</f>
        <v>0.80729999999999991</v>
      </c>
      <c r="F11" s="2">
        <f>AVERAGE(K6:K10)/1000</f>
        <v>0.16318000000000002</v>
      </c>
      <c r="G11" s="2">
        <f t="shared" ref="G11:L11" si="0">AVERAGE(G6:G10)/1000</f>
        <v>0.48714000000000002</v>
      </c>
      <c r="H11" s="2">
        <f t="shared" si="0"/>
        <v>0.19819999999999999</v>
      </c>
      <c r="I11" s="2">
        <f t="shared" si="0"/>
        <v>0.14757999999999999</v>
      </c>
      <c r="J11" s="2">
        <f t="shared" si="0"/>
        <v>0.68356000000000006</v>
      </c>
      <c r="K11" s="2">
        <f t="shared" si="0"/>
        <v>0.16318000000000002</v>
      </c>
      <c r="L11" s="2">
        <f t="shared" si="0"/>
        <v>2.8399999999999998E-2</v>
      </c>
      <c r="N11" s="91" t="s">
        <v>73</v>
      </c>
      <c r="O11" s="91"/>
      <c r="P11" s="13">
        <f>P5+P6</f>
        <v>6.4053536251020005E-3</v>
      </c>
      <c r="Q11" s="13">
        <f>SQRT(Q5^2+Q6^2)</f>
        <v>1.176954455873845E-3</v>
      </c>
      <c r="S11" s="4" t="s">
        <v>65</v>
      </c>
      <c r="T11" s="7">
        <f>AVERAGE(T6:T10)/1000</f>
        <v>1.0963799999999999</v>
      </c>
      <c r="U11" s="25">
        <f>AVERAGE(U6:U10)/1000</f>
        <v>7.6519999999999995E-4</v>
      </c>
    </row>
    <row r="12" spans="4:21" x14ac:dyDescent="0.25">
      <c r="D12" s="4" t="s">
        <v>66</v>
      </c>
      <c r="E12" s="2">
        <f>_xlfn.STDEV.P(E6:E10)/SQRT(5)/1000</f>
        <v>3.9999999999986356E-5</v>
      </c>
      <c r="F12" s="2">
        <f>_xlfn.STDEV.P(K6:K10)/SQRT(5)/1000</f>
        <v>3.2039630459791517E-2</v>
      </c>
      <c r="G12" s="2">
        <f t="shared" ref="G12:L12" si="1">_xlfn.STDEV.P(G6:G10)/SQRT(5)/1000</f>
        <v>2.1908902300199168E-5</v>
      </c>
      <c r="H12" s="2">
        <f t="shared" si="1"/>
        <v>5.2153619241621194E-4</v>
      </c>
      <c r="I12" s="2">
        <f t="shared" si="1"/>
        <v>2.8998708936778566E-2</v>
      </c>
      <c r="J12" s="2">
        <f t="shared" si="1"/>
        <v>3.5777087640004771E-5</v>
      </c>
      <c r="K12" s="2">
        <f t="shared" si="1"/>
        <v>3.2039630459791517E-2</v>
      </c>
      <c r="L12" s="2">
        <f t="shared" si="1"/>
        <v>1.7663521732655689E-4</v>
      </c>
      <c r="N12" s="91" t="s">
        <v>74</v>
      </c>
      <c r="O12" s="91"/>
      <c r="P12" s="13">
        <f>P5+P6+P8</f>
        <v>7.9451290555140018E-3</v>
      </c>
      <c r="Q12" s="13">
        <f>SQRT(Q5^2+Q6^2+Q8^2)</f>
        <v>1.3190914649869197E-3</v>
      </c>
      <c r="S12" s="4" t="s">
        <v>66</v>
      </c>
      <c r="T12" s="7">
        <f>_xlfn.STDEV.P(T6:T10)/SQRT(5)/1000</f>
        <v>6.9822632433903548E-4</v>
      </c>
      <c r="U12" s="25">
        <f>_xlfn.STDEV.P(U6:U10)/SQRT(5)/1000</f>
        <v>5.2869651029678683E-6</v>
      </c>
    </row>
    <row r="19" spans="3:31" ht="17.25" x14ac:dyDescent="0.3">
      <c r="C19" s="2"/>
      <c r="D19" s="4" t="s">
        <v>75</v>
      </c>
      <c r="E19" s="10" t="s">
        <v>76</v>
      </c>
      <c r="F19" s="4" t="s">
        <v>5</v>
      </c>
      <c r="G19" s="4" t="s">
        <v>6</v>
      </c>
      <c r="H19" s="4" t="s">
        <v>80</v>
      </c>
      <c r="I19" s="4" t="s">
        <v>84</v>
      </c>
      <c r="J19" s="4" t="s">
        <v>85</v>
      </c>
      <c r="K19" s="4" t="s">
        <v>86</v>
      </c>
      <c r="Y19" s="83" t="s">
        <v>97</v>
      </c>
      <c r="Z19" s="85"/>
      <c r="AA19" s="57" t="s">
        <v>98</v>
      </c>
      <c r="AB19" s="57"/>
      <c r="AC19" s="57" t="s">
        <v>135</v>
      </c>
      <c r="AD19" s="57"/>
    </row>
    <row r="20" spans="3:31" ht="17.25" x14ac:dyDescent="0.25">
      <c r="C20" s="92" t="s">
        <v>81</v>
      </c>
      <c r="D20" s="91">
        <f>P9</f>
        <v>2.7330133736983338E-3</v>
      </c>
      <c r="E20" s="2">
        <v>90</v>
      </c>
      <c r="F20" s="2">
        <v>71.05</v>
      </c>
      <c r="G20" s="2">
        <f>F20/10</f>
        <v>7.1049999999999995</v>
      </c>
      <c r="H20" s="71">
        <f>AVERAGE(G20:G22)</f>
        <v>7.1146666666666656</v>
      </c>
      <c r="I20" s="71">
        <f>_xlfn.STDEV.P(G20:G22)/SQRT(3)</f>
        <v>4.4804100341458031E-3</v>
      </c>
      <c r="J20" s="71">
        <f>H20^2</f>
        <v>50.61848177777776</v>
      </c>
      <c r="K20" s="71">
        <f>ABS(2*H20*I20)</f>
        <v>6.375324784587201E-2</v>
      </c>
      <c r="Q20" s="4" t="s">
        <v>67</v>
      </c>
      <c r="R20" s="4" t="s">
        <v>92</v>
      </c>
      <c r="S20" s="4" t="s">
        <v>80</v>
      </c>
      <c r="T20" s="4" t="s">
        <v>84</v>
      </c>
      <c r="U20" s="4" t="s">
        <v>85</v>
      </c>
      <c r="V20" s="4" t="s">
        <v>86</v>
      </c>
      <c r="W20" s="4" t="s">
        <v>87</v>
      </c>
      <c r="X20" s="4" t="s">
        <v>88</v>
      </c>
      <c r="Y20" s="4" t="s">
        <v>93</v>
      </c>
      <c r="Z20" s="4" t="s">
        <v>94</v>
      </c>
      <c r="AA20" s="4" t="s">
        <v>95</v>
      </c>
      <c r="AB20" s="4" t="s">
        <v>96</v>
      </c>
      <c r="AC20" s="4" t="s">
        <v>39</v>
      </c>
      <c r="AD20" s="4" t="s">
        <v>40</v>
      </c>
    </row>
    <row r="21" spans="3:31" x14ac:dyDescent="0.25">
      <c r="C21" s="92"/>
      <c r="D21" s="91"/>
      <c r="E21" s="2">
        <v>180</v>
      </c>
      <c r="F21" s="2">
        <v>71.150000000000006</v>
      </c>
      <c r="G21" s="2">
        <f t="shared" ref="G21:G31" si="2">F21/10</f>
        <v>7.1150000000000002</v>
      </c>
      <c r="H21" s="71"/>
      <c r="I21" s="71"/>
      <c r="J21" s="71"/>
      <c r="K21" s="71"/>
      <c r="Q21" s="2">
        <f>D20</f>
        <v>2.7330133736983338E-3</v>
      </c>
      <c r="R21" s="2">
        <f>Q9</f>
        <v>1.0551870569460522E-3</v>
      </c>
      <c r="S21" s="2">
        <f>H20</f>
        <v>7.1146666666666656</v>
      </c>
      <c r="T21" s="2">
        <f>I20</f>
        <v>4.4804100341458031E-3</v>
      </c>
      <c r="U21" s="2">
        <f>J20</f>
        <v>50.61848177777776</v>
      </c>
      <c r="V21" s="2">
        <f>K20</f>
        <v>6.375324784587201E-2</v>
      </c>
      <c r="W21" s="2">
        <f>LOG(Q21)</f>
        <v>-2.5633582431301791</v>
      </c>
      <c r="X21" s="2">
        <f>LOG(S21)</f>
        <v>0.85215455751679248</v>
      </c>
      <c r="Y21" s="2">
        <f>U21*P$27+Q$27</f>
        <v>2.6488913038728665E-3</v>
      </c>
      <c r="Z21" s="2">
        <f>Q21-Y21</f>
        <v>8.4122069825467299E-5</v>
      </c>
      <c r="AA21" s="2">
        <f>Q21*X$27+Y$27</f>
        <v>52.167025632132166</v>
      </c>
      <c r="AB21" s="2">
        <f>U21-AA21</f>
        <v>-1.5485438543544063</v>
      </c>
      <c r="AC21" s="2">
        <f>X21*P$32+Q$32</f>
        <v>-2.5695796509479383</v>
      </c>
      <c r="AD21" s="2">
        <f>W21-AC21</f>
        <v>6.2214078177591503E-3</v>
      </c>
    </row>
    <row r="22" spans="3:31" x14ac:dyDescent="0.25">
      <c r="C22" s="92"/>
      <c r="D22" s="91"/>
      <c r="E22" s="2">
        <v>270</v>
      </c>
      <c r="F22" s="2">
        <v>71.239999999999995</v>
      </c>
      <c r="G22" s="2">
        <f t="shared" si="2"/>
        <v>7.1239999999999997</v>
      </c>
      <c r="H22" s="71"/>
      <c r="I22" s="71"/>
      <c r="J22" s="71"/>
      <c r="K22" s="71"/>
      <c r="Q22" s="2">
        <f>D23</f>
        <v>4.2268444579770005E-3</v>
      </c>
      <c r="R22" s="2">
        <f>Q10</f>
        <v>1.2116929893010312E-3</v>
      </c>
      <c r="S22" s="2">
        <f>H23</f>
        <v>8.8320000000000007</v>
      </c>
      <c r="T22" s="2">
        <f>I23</f>
        <v>1.2192894105447558E-2</v>
      </c>
      <c r="U22" s="2">
        <f>J23</f>
        <v>78.004224000000008</v>
      </c>
      <c r="V22" s="2">
        <f>K23</f>
        <v>0.21537528147862567</v>
      </c>
      <c r="W22" s="2">
        <f>LOG(Q22)</f>
        <v>-2.3739837333124929</v>
      </c>
      <c r="X22" s="2">
        <f>LOG(S22)</f>
        <v>0.94605906038512377</v>
      </c>
      <c r="Y22" s="2">
        <f>U22*P$27+Q$27</f>
        <v>4.464853791847927E-3</v>
      </c>
      <c r="Z22" s="2">
        <f>Q22-Y22</f>
        <v>-2.3800933387092653E-4</v>
      </c>
      <c r="AA22" s="2">
        <f>Q22*X$27+Y$27</f>
        <v>74.533670436872484</v>
      </c>
      <c r="AB22" s="2">
        <f>U22-AA22</f>
        <v>3.4705535631275239</v>
      </c>
      <c r="AC22" s="2">
        <f>X22*P$32+Q$32</f>
        <v>-2.3545377174618238</v>
      </c>
      <c r="AD22" s="2">
        <f>W22-AC22</f>
        <v>-1.9446015850669074E-2</v>
      </c>
    </row>
    <row r="23" spans="3:31" x14ac:dyDescent="0.25">
      <c r="C23" s="92" t="s">
        <v>82</v>
      </c>
      <c r="D23" s="91">
        <f>P10</f>
        <v>4.2268444579770005E-3</v>
      </c>
      <c r="E23" s="2">
        <v>90</v>
      </c>
      <c r="F23" s="2">
        <v>88.09</v>
      </c>
      <c r="G23" s="2">
        <f>F23/10</f>
        <v>8.8090000000000011</v>
      </c>
      <c r="H23" s="71">
        <f>AVERAGE(G23:G25)</f>
        <v>8.8320000000000007</v>
      </c>
      <c r="I23" s="71">
        <f>_xlfn.STDEV.P(G23:G25)/SQRT(3)</f>
        <v>1.2192894105447558E-2</v>
      </c>
      <c r="J23" s="71">
        <f>H23^2</f>
        <v>78.004224000000008</v>
      </c>
      <c r="K23" s="71">
        <f>ABS(2*H23*I23)</f>
        <v>0.21537528147862567</v>
      </c>
      <c r="Q23" s="2">
        <f>D26</f>
        <v>6.4053536251020005E-3</v>
      </c>
      <c r="R23" s="2">
        <f>Q11</f>
        <v>1.176954455873845E-3</v>
      </c>
      <c r="S23" s="2">
        <f>H26</f>
        <v>10.198666666666666</v>
      </c>
      <c r="T23" s="2">
        <f>I26</f>
        <v>3.6004114991152187E-3</v>
      </c>
      <c r="U23" s="2">
        <f>J26</f>
        <v>104.01280177777777</v>
      </c>
      <c r="V23" s="2">
        <f>K26</f>
        <v>7.3438793484619486E-2</v>
      </c>
      <c r="W23" s="2">
        <f>LOG(Q23)</f>
        <v>-2.1934568888402861</v>
      </c>
      <c r="X23" s="2">
        <f>LOG(S23)</f>
        <v>1.0085433975305924</v>
      </c>
      <c r="Y23" s="2">
        <f>U23*P$27+Q$27</f>
        <v>6.1894958054465486E-3</v>
      </c>
      <c r="Z23" s="2">
        <f>Q23-Y23</f>
        <v>2.1585781965545187E-4</v>
      </c>
      <c r="AA23" s="2">
        <f>Q23*X$27+Y$27</f>
        <v>107.15177649836477</v>
      </c>
      <c r="AB23" s="2">
        <f>U23-AA23</f>
        <v>-3.1389747205870009</v>
      </c>
      <c r="AC23" s="2">
        <f>X23*P$32+Q$32</f>
        <v>-2.2114481715728447</v>
      </c>
      <c r="AD23" s="2">
        <f>W23-AC23</f>
        <v>1.7991282732558567E-2</v>
      </c>
    </row>
    <row r="24" spans="3:31" x14ac:dyDescent="0.25">
      <c r="C24" s="92"/>
      <c r="D24" s="91"/>
      <c r="E24" s="2">
        <v>180</v>
      </c>
      <c r="F24" s="2">
        <v>88.6</v>
      </c>
      <c r="G24" s="2">
        <f t="shared" si="2"/>
        <v>8.86</v>
      </c>
      <c r="H24" s="71"/>
      <c r="I24" s="71"/>
      <c r="J24" s="71"/>
      <c r="K24" s="71"/>
      <c r="Q24" s="2">
        <f>D29</f>
        <v>7.9451290555140018E-3</v>
      </c>
      <c r="R24" s="2">
        <f>Q12</f>
        <v>1.3190914649869197E-3</v>
      </c>
      <c r="S24" s="2">
        <f>H29</f>
        <v>11.464</v>
      </c>
      <c r="T24" s="2">
        <f>I29</f>
        <v>6.8475461947251261E-3</v>
      </c>
      <c r="U24" s="2">
        <f>J29</f>
        <v>131.42329600000002</v>
      </c>
      <c r="V24" s="2">
        <f>K29</f>
        <v>0.15700053915265769</v>
      </c>
      <c r="W24" s="2">
        <f>LOG(Q24)</f>
        <v>-2.0998990440019281</v>
      </c>
      <c r="X24" s="2">
        <f>LOG(S24)</f>
        <v>1.059336177389288</v>
      </c>
      <c r="Y24" s="2">
        <f>U24*P$27+Q$27</f>
        <v>8.0070996111239988E-3</v>
      </c>
      <c r="Z24" s="2">
        <f>Q24-Y24</f>
        <v>-6.197055560999698E-5</v>
      </c>
      <c r="AA24" s="2">
        <f>Q24*X$27+Y$27</f>
        <v>130.2063309881861</v>
      </c>
      <c r="AB24" s="2">
        <f>U24-AA24</f>
        <v>1.2169650118139259</v>
      </c>
      <c r="AC24" s="2">
        <f>X24*P$32+Q$32</f>
        <v>-2.0951323693022803</v>
      </c>
      <c r="AD24" s="2">
        <f>W24-AC24</f>
        <v>-4.7666746996477549E-3</v>
      </c>
    </row>
    <row r="25" spans="3:31" x14ac:dyDescent="0.25">
      <c r="C25" s="92"/>
      <c r="D25" s="91"/>
      <c r="E25" s="2">
        <v>270</v>
      </c>
      <c r="F25" s="2">
        <v>88.27</v>
      </c>
      <c r="G25" s="2">
        <f t="shared" si="2"/>
        <v>8.827</v>
      </c>
      <c r="H25" s="71"/>
      <c r="I25" s="71"/>
      <c r="J25" s="71"/>
      <c r="K25" s="71"/>
    </row>
    <row r="26" spans="3:31" ht="17.25" x14ac:dyDescent="0.25">
      <c r="C26" s="92" t="s">
        <v>83</v>
      </c>
      <c r="D26" s="91">
        <f>P11</f>
        <v>6.4053536251020005E-3</v>
      </c>
      <c r="E26" s="2">
        <v>90</v>
      </c>
      <c r="F26" s="2">
        <v>101.92</v>
      </c>
      <c r="G26" s="2">
        <f>F26/10</f>
        <v>10.192</v>
      </c>
      <c r="H26" s="71">
        <f>AVERAGE(G26:G28)</f>
        <v>10.198666666666666</v>
      </c>
      <c r="I26" s="71">
        <f>_xlfn.STDEV.P(G26:G28)/SQRT(3)</f>
        <v>3.6004114991152187E-3</v>
      </c>
      <c r="J26" s="71">
        <f>H26^2</f>
        <v>104.01280177777777</v>
      </c>
      <c r="K26" s="71">
        <f>ABS(2*H26*I26)</f>
        <v>7.3438793484619486E-2</v>
      </c>
      <c r="O26" s="57" t="s">
        <v>97</v>
      </c>
      <c r="P26" s="57"/>
      <c r="Q26" s="57"/>
      <c r="R26" s="57"/>
      <c r="W26" s="57" t="s">
        <v>98</v>
      </c>
      <c r="X26" s="57"/>
      <c r="Y26" s="57"/>
      <c r="Z26" s="57"/>
    </row>
    <row r="27" spans="3:31" x14ac:dyDescent="0.25">
      <c r="C27" s="92"/>
      <c r="D27" s="91"/>
      <c r="E27" s="2">
        <v>180</v>
      </c>
      <c r="F27" s="2">
        <v>101.97</v>
      </c>
      <c r="G27" s="2">
        <f t="shared" si="2"/>
        <v>10.196999999999999</v>
      </c>
      <c r="H27" s="71"/>
      <c r="I27" s="71"/>
      <c r="J27" s="71"/>
      <c r="K27" s="71"/>
      <c r="O27" s="4" t="s">
        <v>18</v>
      </c>
      <c r="P27" s="94">
        <f t="array" ref="P27:Q29">LINEST(Q21:Q24,U21:U24,1,1)</f>
        <v>6.631050833822177E-5</v>
      </c>
      <c r="Q27" s="7">
        <v>-7.0764595412059223E-4</v>
      </c>
      <c r="R27" s="4" t="s">
        <v>30</v>
      </c>
      <c r="W27" s="4" t="s">
        <v>18</v>
      </c>
      <c r="X27" s="2">
        <f t="array" ref="X27:Y29">LINEST(U21:U24,Q21:Q24,1,1)</f>
        <v>14972.673309673843</v>
      </c>
      <c r="Y27" s="2">
        <v>11.246509236777456</v>
      </c>
      <c r="Z27" s="4" t="s">
        <v>30</v>
      </c>
    </row>
    <row r="28" spans="3:31" x14ac:dyDescent="0.25">
      <c r="C28" s="92"/>
      <c r="D28" s="91"/>
      <c r="E28" s="2">
        <v>270</v>
      </c>
      <c r="F28" s="2">
        <v>102.07</v>
      </c>
      <c r="G28" s="2">
        <f t="shared" si="2"/>
        <v>10.206999999999999</v>
      </c>
      <c r="H28" s="71"/>
      <c r="I28" s="71"/>
      <c r="J28" s="71"/>
      <c r="K28" s="71"/>
      <c r="O28" s="4" t="s">
        <v>28</v>
      </c>
      <c r="P28" s="23">
        <v>3.9802813573928012E-6</v>
      </c>
      <c r="Q28" s="7">
        <v>3.8145154321633838E-4</v>
      </c>
      <c r="R28" s="4" t="s">
        <v>31</v>
      </c>
      <c r="W28" s="4" t="s">
        <v>28</v>
      </c>
      <c r="X28" s="2">
        <v>898.73315615160857</v>
      </c>
      <c r="Y28" s="2">
        <v>5.1134916825896992</v>
      </c>
      <c r="Z28" s="4" t="s">
        <v>31</v>
      </c>
    </row>
    <row r="29" spans="3:31" ht="17.25" x14ac:dyDescent="0.25">
      <c r="C29" s="92" t="s">
        <v>58</v>
      </c>
      <c r="D29" s="91">
        <f>P12</f>
        <v>7.9451290555140018E-3</v>
      </c>
      <c r="E29" s="2">
        <v>90</v>
      </c>
      <c r="F29" s="2">
        <v>114.79</v>
      </c>
      <c r="G29" s="2">
        <f>F29/10</f>
        <v>11.479000000000001</v>
      </c>
      <c r="H29" s="71">
        <f>AVERAGE(G29:G31)</f>
        <v>11.464</v>
      </c>
      <c r="I29" s="71">
        <f>_xlfn.STDEV.P(G29:G31)/SQRT(3)</f>
        <v>6.8475461947251261E-3</v>
      </c>
      <c r="J29" s="71">
        <f>H29^2</f>
        <v>131.42329600000002</v>
      </c>
      <c r="K29" s="71">
        <f>ABS(2*H29*I29)</f>
        <v>0.15700053915265769</v>
      </c>
      <c r="O29" s="4" t="s">
        <v>29</v>
      </c>
      <c r="P29" s="13">
        <v>0.99284557834659792</v>
      </c>
      <c r="Q29" s="7">
        <v>2.3891412025079233E-4</v>
      </c>
      <c r="R29" s="4" t="s">
        <v>32</v>
      </c>
      <c r="W29" s="4" t="s">
        <v>29</v>
      </c>
      <c r="X29" s="2">
        <v>0.99284557834659792</v>
      </c>
      <c r="Y29" s="2">
        <v>3.5900484843424798</v>
      </c>
      <c r="Z29" s="4" t="s">
        <v>32</v>
      </c>
    </row>
    <row r="30" spans="3:31" x14ac:dyDescent="0.25">
      <c r="C30" s="92"/>
      <c r="D30" s="91"/>
      <c r="E30" s="2">
        <v>180</v>
      </c>
      <c r="F30" s="2">
        <v>114.5</v>
      </c>
      <c r="G30" s="2">
        <f t="shared" si="2"/>
        <v>11.45</v>
      </c>
      <c r="H30" s="71"/>
      <c r="I30" s="71"/>
      <c r="J30" s="71"/>
      <c r="K30" s="71"/>
    </row>
    <row r="31" spans="3:31" x14ac:dyDescent="0.25">
      <c r="C31" s="92"/>
      <c r="D31" s="91"/>
      <c r="E31" s="2">
        <v>270</v>
      </c>
      <c r="F31" s="2">
        <v>114.63</v>
      </c>
      <c r="G31" s="2">
        <f t="shared" si="2"/>
        <v>11.462999999999999</v>
      </c>
      <c r="H31" s="71"/>
      <c r="I31" s="71"/>
      <c r="J31" s="71"/>
      <c r="K31" s="71"/>
      <c r="O31" s="57" t="s">
        <v>89</v>
      </c>
      <c r="P31" s="57"/>
      <c r="Q31" s="57"/>
      <c r="R31" s="57"/>
      <c r="AE31" s="1" t="s">
        <v>145</v>
      </c>
    </row>
    <row r="32" spans="3:31" x14ac:dyDescent="0.25">
      <c r="O32" s="4" t="s">
        <v>18</v>
      </c>
      <c r="P32" s="11">
        <f t="array" ref="P32:Q34">LINEST(W21:W24,X21:X24,1,1)</f>
        <v>2.2900066228734204</v>
      </c>
      <c r="Q32" s="11">
        <v>-4.5210192313731623</v>
      </c>
      <c r="R32" s="4" t="s">
        <v>30</v>
      </c>
      <c r="AE32" s="1">
        <f>1/LN(10)/W21*'Barra #1'!$G$3</f>
        <v>-8.4712014613479112E-5</v>
      </c>
    </row>
    <row r="33" spans="4:32" x14ac:dyDescent="0.25">
      <c r="D33" s="59" t="s">
        <v>104</v>
      </c>
      <c r="E33" s="59"/>
      <c r="F33" s="59"/>
      <c r="O33" s="4" t="s">
        <v>28</v>
      </c>
      <c r="P33" s="11">
        <v>0.12641954667657784</v>
      </c>
      <c r="Q33" s="11">
        <v>0.1225772304448489</v>
      </c>
      <c r="R33" s="4" t="s">
        <v>31</v>
      </c>
      <c r="AE33" s="1">
        <f>1/LN(10)/W22*'Barra #1'!$G$3</f>
        <v>-9.1469557227603091E-5</v>
      </c>
    </row>
    <row r="34" spans="4:32" ht="17.25" x14ac:dyDescent="0.25">
      <c r="O34" s="4" t="s">
        <v>29</v>
      </c>
      <c r="P34" s="13">
        <v>0.99394176776651932</v>
      </c>
      <c r="Q34" s="8">
        <v>1.9535363955586835E-2</v>
      </c>
      <c r="R34" s="4" t="s">
        <v>32</v>
      </c>
      <c r="AE34" s="1">
        <f>1/LN(10)/W23*'Barra #1'!$G$3</f>
        <v>-9.8997724576403652E-5</v>
      </c>
    </row>
    <row r="35" spans="4:32" x14ac:dyDescent="0.25">
      <c r="AE35" s="1">
        <f>1/LN(10)/W24*'Barra #1'!$G$3</f>
        <v>-1.0340841935800534E-4</v>
      </c>
    </row>
    <row r="47" spans="4:32" x14ac:dyDescent="0.25">
      <c r="AE47" s="95" t="s">
        <v>144</v>
      </c>
      <c r="AF47" s="95"/>
    </row>
    <row r="48" spans="4:32" x14ac:dyDescent="0.25">
      <c r="AE48" s="95"/>
      <c r="AF48" s="95"/>
    </row>
    <row r="49" spans="31:32" x14ac:dyDescent="0.25">
      <c r="AE49" s="95"/>
      <c r="AF49" s="95"/>
    </row>
    <row r="50" spans="31:32" x14ac:dyDescent="0.25">
      <c r="AE50" s="95"/>
      <c r="AF50" s="95"/>
    </row>
    <row r="51" spans="31:32" x14ac:dyDescent="0.25">
      <c r="AE51" s="95"/>
      <c r="AF51" s="95"/>
    </row>
    <row r="52" spans="31:32" x14ac:dyDescent="0.25">
      <c r="AE52" s="95"/>
      <c r="AF52" s="95"/>
    </row>
    <row r="53" spans="31:32" x14ac:dyDescent="0.25">
      <c r="AE53" s="95"/>
      <c r="AF53" s="95"/>
    </row>
    <row r="57" spans="31:32" x14ac:dyDescent="0.25">
      <c r="AE57" s="3" t="s">
        <v>99</v>
      </c>
      <c r="AF57" s="94">
        <f>128*PI()*T11/(X27*U11^4)</f>
        <v>85885876617.008728</v>
      </c>
    </row>
    <row r="58" spans="31:32" x14ac:dyDescent="0.25">
      <c r="AE58" s="3" t="s">
        <v>133</v>
      </c>
      <c r="AF58" s="23">
        <f>SQRT((PI()*128/(X27*U11^4)^2*T11*U11^4*X28)^2+(PI()*128/(X27*U11^4)^2*X27*U11^4*T12)^2+(PI()*512/(X27*U11^4)^2*T11*X27*U11^3*U12)^2)</f>
        <v>5675750133.2914858</v>
      </c>
    </row>
    <row r="59" spans="31:32" x14ac:dyDescent="0.25">
      <c r="AE59" s="3" t="s">
        <v>134</v>
      </c>
      <c r="AF59" s="33">
        <f>AF58/AF57</f>
        <v>6.6084790152417999E-2</v>
      </c>
    </row>
    <row r="60" spans="31:32" x14ac:dyDescent="0.25">
      <c r="AE60" s="3" t="s">
        <v>132</v>
      </c>
      <c r="AF60" s="33">
        <f>(AF57-U68)/U68</f>
        <v>8.3050146494435415E-2</v>
      </c>
    </row>
    <row r="65" spans="16:26" x14ac:dyDescent="0.25">
      <c r="W65" s="91" t="s">
        <v>91</v>
      </c>
      <c r="X65" s="91"/>
      <c r="Y65" s="91"/>
      <c r="Z65" s="6">
        <f>(P32-2)/2</f>
        <v>0.14500331143671019</v>
      </c>
    </row>
    <row r="66" spans="16:26" x14ac:dyDescent="0.25">
      <c r="W66" s="91" t="s">
        <v>90</v>
      </c>
      <c r="X66" s="91"/>
      <c r="Y66" s="91"/>
      <c r="Z66" s="6">
        <f>P33/P32</f>
        <v>5.5204882559663083E-2</v>
      </c>
    </row>
    <row r="68" spans="16:26" x14ac:dyDescent="0.25">
      <c r="U68" s="1">
        <f>79.3*10^9</f>
        <v>79300000000</v>
      </c>
    </row>
    <row r="69" spans="16:26" x14ac:dyDescent="0.25">
      <c r="P69" s="3" t="s">
        <v>99</v>
      </c>
      <c r="Q69" s="94">
        <f>128*PI()*T11*P27/U11^4</f>
        <v>85271412841.618576</v>
      </c>
      <c r="U69" s="3" t="s">
        <v>100</v>
      </c>
      <c r="V69" s="2" t="s">
        <v>101</v>
      </c>
    </row>
    <row r="70" spans="16:26" x14ac:dyDescent="0.25">
      <c r="P70" s="3" t="s">
        <v>133</v>
      </c>
      <c r="Q70" s="23">
        <f>SQRT((PI()*128/(U11^4)*T11*P28)^2+(P27*128/(U11^4)*PI()*T12)^2+(PI()*512/(U11^5)*T11*P27*U12)^2)</f>
        <v>5635143423.6385622</v>
      </c>
    </row>
    <row r="71" spans="16:26" x14ac:dyDescent="0.25">
      <c r="P71" s="3" t="s">
        <v>134</v>
      </c>
      <c r="Q71" s="33">
        <f>Q70/Q69</f>
        <v>6.6084790152417971E-2</v>
      </c>
    </row>
    <row r="72" spans="16:26" x14ac:dyDescent="0.25">
      <c r="P72" s="3" t="s">
        <v>132</v>
      </c>
      <c r="Q72" s="33">
        <f>(Q69-U68)/U68</f>
        <v>7.5301549074635266E-2</v>
      </c>
    </row>
  </sheetData>
  <mergeCells count="49">
    <mergeCell ref="N4:O4"/>
    <mergeCell ref="AE47:AF53"/>
    <mergeCell ref="J4:L4"/>
    <mergeCell ref="O31:R31"/>
    <mergeCell ref="W66:Y66"/>
    <mergeCell ref="W65:Y65"/>
    <mergeCell ref="N12:O12"/>
    <mergeCell ref="N11:O11"/>
    <mergeCell ref="N10:O10"/>
    <mergeCell ref="N9:O9"/>
    <mergeCell ref="T4:U4"/>
    <mergeCell ref="S4:S5"/>
    <mergeCell ref="AC19:AD19"/>
    <mergeCell ref="W26:Z26"/>
    <mergeCell ref="Y19:Z19"/>
    <mergeCell ref="J29:J31"/>
    <mergeCell ref="J26:J28"/>
    <mergeCell ref="J23:J25"/>
    <mergeCell ref="AA19:AB19"/>
    <mergeCell ref="I23:I25"/>
    <mergeCell ref="I20:I22"/>
    <mergeCell ref="H29:H31"/>
    <mergeCell ref="H26:H28"/>
    <mergeCell ref="O26:R26"/>
    <mergeCell ref="J20:J22"/>
    <mergeCell ref="K29:K31"/>
    <mergeCell ref="K26:K28"/>
    <mergeCell ref="K23:K25"/>
    <mergeCell ref="K20:K22"/>
    <mergeCell ref="C20:C22"/>
    <mergeCell ref="C23:C25"/>
    <mergeCell ref="C26:C28"/>
    <mergeCell ref="C29:C31"/>
    <mergeCell ref="D20:D22"/>
    <mergeCell ref="D33:F33"/>
    <mergeCell ref="E4:F4"/>
    <mergeCell ref="G4:I4"/>
    <mergeCell ref="D4:D5"/>
    <mergeCell ref="N8:O8"/>
    <mergeCell ref="N7:O7"/>
    <mergeCell ref="N6:O6"/>
    <mergeCell ref="N5:O5"/>
    <mergeCell ref="D23:D25"/>
    <mergeCell ref="D26:D28"/>
    <mergeCell ref="D29:D31"/>
    <mergeCell ref="H23:H25"/>
    <mergeCell ref="H20:H22"/>
    <mergeCell ref="I29:I31"/>
    <mergeCell ref="I26:I2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4A75E-572E-4E01-967D-8DF202F1359D}">
  <sheetPr codeName="Sheet1"/>
  <dimension ref="A1:EF142"/>
  <sheetViews>
    <sheetView topLeftCell="BN81" zoomScaleNormal="100" workbookViewId="0">
      <selection activeCell="DB64" sqref="DB64"/>
    </sheetView>
  </sheetViews>
  <sheetFormatPr defaultColWidth="8.85546875" defaultRowHeight="15" x14ac:dyDescent="0.25"/>
  <cols>
    <col min="1" max="1" width="8.85546875" style="1"/>
    <col min="2" max="2" width="9.7109375" style="1" bestFit="1" customWidth="1"/>
    <col min="3" max="3" width="11.28515625" style="1" customWidth="1"/>
    <col min="4" max="4" width="17.85546875" style="1" bestFit="1" customWidth="1"/>
    <col min="5" max="5" width="11.85546875" style="1" customWidth="1"/>
    <col min="6" max="6" width="12.5703125" style="1" bestFit="1" customWidth="1"/>
    <col min="7" max="7" width="17.7109375" style="1" customWidth="1"/>
    <col min="8" max="8" width="12.5703125" style="1" bestFit="1" customWidth="1"/>
    <col min="9" max="9" width="13.7109375" style="1" customWidth="1"/>
    <col min="10" max="10" width="13.28515625" style="1" customWidth="1"/>
    <col min="11" max="11" width="12.85546875" style="1" customWidth="1"/>
    <col min="12" max="12" width="12.140625" style="1" customWidth="1"/>
    <col min="13" max="13" width="14.28515625" style="1" customWidth="1"/>
    <col min="14" max="14" width="13.42578125" style="1" customWidth="1"/>
    <col min="15" max="15" width="14.5703125" style="1" customWidth="1"/>
    <col min="16" max="16" width="13.42578125" style="1" customWidth="1"/>
    <col min="17" max="17" width="13.5703125" style="1" customWidth="1"/>
    <col min="18" max="18" width="12" style="1" customWidth="1"/>
    <col min="19" max="19" width="11.85546875" style="1" customWidth="1"/>
    <col min="20" max="20" width="13.42578125" style="1" customWidth="1"/>
    <col min="21" max="21" width="15.85546875" style="1" customWidth="1"/>
    <col min="22" max="22" width="9.140625" style="1" customWidth="1"/>
    <col min="23" max="23" width="10.28515625" style="1" customWidth="1"/>
    <col min="24" max="24" width="11.85546875" style="1" customWidth="1"/>
    <col min="25" max="25" width="12.5703125" style="1" customWidth="1"/>
    <col min="26" max="26" width="14.140625" style="1" customWidth="1"/>
    <col min="27" max="27" width="10.42578125" style="1" customWidth="1"/>
    <col min="28" max="28" width="14.7109375" style="1" customWidth="1"/>
    <col min="29" max="31" width="13.140625" style="1" bestFit="1" customWidth="1"/>
    <col min="32" max="32" width="18" style="1" bestFit="1" customWidth="1"/>
    <col min="33" max="33" width="11.7109375" style="1" customWidth="1"/>
    <col min="34" max="34" width="11.85546875" style="1" customWidth="1"/>
    <col min="35" max="35" width="11.7109375" style="1" customWidth="1"/>
    <col min="36" max="36" width="12.85546875" style="1" customWidth="1"/>
    <col min="37" max="37" width="13.28515625" style="1" customWidth="1"/>
    <col min="38" max="38" width="11.85546875" style="1" customWidth="1"/>
    <col min="39" max="39" width="14.7109375" style="1" customWidth="1"/>
    <col min="40" max="41" width="13" style="1" customWidth="1"/>
    <col min="42" max="42" width="11.42578125" style="1" customWidth="1"/>
    <col min="43" max="43" width="14.28515625" style="1" customWidth="1"/>
    <col min="44" max="44" width="10.7109375" style="1" customWidth="1"/>
    <col min="45" max="45" width="11.28515625" style="1" customWidth="1"/>
    <col min="46" max="46" width="14.140625" style="1" bestFit="1" customWidth="1"/>
    <col min="47" max="47" width="11.7109375" style="1" customWidth="1"/>
    <col min="48" max="48" width="11.28515625" style="1" customWidth="1"/>
    <col min="49" max="49" width="12.42578125" style="1" bestFit="1" customWidth="1"/>
    <col min="50" max="50" width="8.85546875" style="1"/>
    <col min="51" max="52" width="13.140625" style="1" bestFit="1" customWidth="1"/>
    <col min="53" max="53" width="9" style="1" bestFit="1" customWidth="1"/>
    <col min="54" max="54" width="12.7109375" style="1" bestFit="1" customWidth="1"/>
    <col min="55" max="57" width="9" style="1" bestFit="1" customWidth="1"/>
    <col min="58" max="58" width="11.28515625" style="1" bestFit="1" customWidth="1"/>
    <col min="59" max="59" width="12.7109375" style="1" bestFit="1" customWidth="1"/>
    <col min="60" max="60" width="9.7109375" style="1" bestFit="1" customWidth="1"/>
    <col min="61" max="61" width="12.7109375" style="1" bestFit="1" customWidth="1"/>
    <col min="62" max="62" width="9.7109375" style="1" bestFit="1" customWidth="1"/>
    <col min="63" max="63" width="9" style="1" bestFit="1" customWidth="1"/>
    <col min="64" max="64" width="11.28515625" style="1" bestFit="1" customWidth="1"/>
    <col min="65" max="65" width="14.28515625" style="1" customWidth="1"/>
    <col min="66" max="66" width="9.7109375" style="1" bestFit="1" customWidth="1"/>
    <col min="67" max="67" width="9" style="1" bestFit="1" customWidth="1"/>
    <col min="68" max="68" width="11.28515625" style="1" bestFit="1" customWidth="1"/>
    <col min="69" max="69" width="9" style="1" bestFit="1" customWidth="1"/>
    <col min="70" max="70" width="11.28515625" style="1" bestFit="1" customWidth="1"/>
    <col min="71" max="71" width="14.28515625" style="1" bestFit="1" customWidth="1"/>
    <col min="72" max="72" width="9" style="1" bestFit="1" customWidth="1"/>
    <col min="73" max="93" width="8.85546875" style="1"/>
    <col min="94" max="94" width="9" style="1" bestFit="1" customWidth="1"/>
    <col min="95" max="95" width="16.140625" style="1" customWidth="1"/>
    <col min="96" max="96" width="9" style="1" bestFit="1" customWidth="1"/>
    <col min="97" max="97" width="9.7109375" style="1" bestFit="1" customWidth="1"/>
    <col min="98" max="98" width="9" style="1" bestFit="1" customWidth="1"/>
    <col min="99" max="99" width="12" style="1" bestFit="1" customWidth="1"/>
    <col min="100" max="100" width="9" style="1" bestFit="1" customWidth="1"/>
    <col min="101" max="101" width="10.42578125" style="1" bestFit="1" customWidth="1"/>
    <col min="102" max="102" width="11" style="1" customWidth="1"/>
    <col min="103" max="103" width="18.7109375" style="1" bestFit="1" customWidth="1"/>
    <col min="104" max="109" width="8.85546875" style="1"/>
    <col min="110" max="111" width="9" style="1" bestFit="1" customWidth="1"/>
    <col min="112" max="112" width="12" style="1" bestFit="1" customWidth="1"/>
    <col min="113" max="113" width="9" style="1" bestFit="1" customWidth="1"/>
    <col min="114" max="114" width="15.7109375" style="1" bestFit="1" customWidth="1"/>
    <col min="115" max="115" width="12.7109375" style="1" bestFit="1" customWidth="1"/>
    <col min="116" max="116" width="10.42578125" style="1" customWidth="1"/>
    <col min="117" max="117" width="9.140625" style="1" bestFit="1" customWidth="1"/>
    <col min="118" max="118" width="12.42578125" style="1" bestFit="1" customWidth="1"/>
    <col min="119" max="120" width="8.85546875" style="1"/>
    <col min="121" max="121" width="11.28515625" style="1" customWidth="1"/>
    <col min="122" max="134" width="8.85546875" style="1"/>
    <col min="135" max="135" width="14" style="1" customWidth="1"/>
    <col min="136" max="16384" width="8.85546875" style="1"/>
  </cols>
  <sheetData>
    <row r="1" spans="4:72" x14ac:dyDescent="0.25"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</row>
    <row r="2" spans="4:72" x14ac:dyDescent="0.25">
      <c r="F2" s="4" t="s">
        <v>3</v>
      </c>
      <c r="G2" s="2">
        <v>0.05</v>
      </c>
      <c r="I2" s="4" t="s">
        <v>11</v>
      </c>
      <c r="J2" s="2">
        <v>0.01</v>
      </c>
      <c r="L2" s="4" t="s">
        <v>16</v>
      </c>
      <c r="M2" s="2">
        <v>1.0000000000000001E-5</v>
      </c>
      <c r="O2" s="4" t="s">
        <v>15</v>
      </c>
      <c r="P2" s="2">
        <v>1E-4</v>
      </c>
    </row>
    <row r="3" spans="4:72" ht="17.25" x14ac:dyDescent="0.25">
      <c r="F3" s="4" t="s">
        <v>4</v>
      </c>
      <c r="G3" s="2">
        <f>G2*0.01</f>
        <v>5.0000000000000001E-4</v>
      </c>
      <c r="I3" s="4" t="s">
        <v>120</v>
      </c>
      <c r="J3" s="2">
        <f>J2/10</f>
        <v>1E-3</v>
      </c>
      <c r="L3" s="4" t="s">
        <v>19</v>
      </c>
      <c r="M3" s="2">
        <v>5.0000000000000001E-4</v>
      </c>
      <c r="O3" s="4" t="s">
        <v>26</v>
      </c>
      <c r="P3" s="2">
        <f>SQRT((PI()*(AE12/2)^2*AD13)^2+(AD12/2*PI()*AE12*AE13)^2)</f>
        <v>2.7404613087652397E-8</v>
      </c>
    </row>
    <row r="5" spans="4:72" ht="16.149999999999999" customHeight="1" x14ac:dyDescent="0.25">
      <c r="F5" s="60" t="s">
        <v>0</v>
      </c>
      <c r="G5" s="60" t="s">
        <v>1</v>
      </c>
      <c r="H5" s="60" t="s">
        <v>2</v>
      </c>
      <c r="I5" s="57" t="s">
        <v>12</v>
      </c>
      <c r="J5" s="57"/>
      <c r="K5" s="57"/>
      <c r="L5" s="57"/>
      <c r="M5" s="57"/>
      <c r="N5" s="57"/>
      <c r="O5" s="57" t="s">
        <v>13</v>
      </c>
      <c r="P5" s="57"/>
      <c r="Q5" s="57"/>
      <c r="R5" s="57"/>
      <c r="S5" s="57"/>
      <c r="T5" s="57"/>
      <c r="U5" s="57" t="s">
        <v>14</v>
      </c>
      <c r="V5" s="57"/>
      <c r="W5" s="57"/>
      <c r="X5" s="57"/>
      <c r="Y5" s="57"/>
      <c r="Z5" s="57"/>
      <c r="AC5" s="57" t="s">
        <v>17</v>
      </c>
      <c r="AD5" s="57"/>
      <c r="AE5" s="57"/>
    </row>
    <row r="6" spans="4:72" ht="14.45" customHeight="1" x14ac:dyDescent="0.25">
      <c r="F6" s="60"/>
      <c r="G6" s="60"/>
      <c r="H6" s="60"/>
      <c r="I6" s="4" t="s">
        <v>5</v>
      </c>
      <c r="J6" s="4" t="s">
        <v>6</v>
      </c>
      <c r="K6" s="4" t="s">
        <v>9</v>
      </c>
      <c r="L6" s="4" t="s">
        <v>8</v>
      </c>
      <c r="M6" s="4" t="s">
        <v>7</v>
      </c>
      <c r="N6" s="4" t="s">
        <v>10</v>
      </c>
      <c r="O6" s="4" t="s">
        <v>5</v>
      </c>
      <c r="P6" s="4" t="s">
        <v>6</v>
      </c>
      <c r="Q6" s="4" t="s">
        <v>9</v>
      </c>
      <c r="R6" s="4" t="s">
        <v>8</v>
      </c>
      <c r="S6" s="4" t="s">
        <v>7</v>
      </c>
      <c r="T6" s="4" t="s">
        <v>10</v>
      </c>
      <c r="U6" s="4" t="s">
        <v>5</v>
      </c>
      <c r="V6" s="4" t="s">
        <v>6</v>
      </c>
      <c r="W6" s="4" t="s">
        <v>9</v>
      </c>
      <c r="X6" s="4" t="s">
        <v>8</v>
      </c>
      <c r="Y6" s="4" t="s">
        <v>7</v>
      </c>
      <c r="Z6" s="4" t="s">
        <v>10</v>
      </c>
      <c r="AC6" s="4" t="s">
        <v>103</v>
      </c>
      <c r="AD6" s="4" t="s">
        <v>102</v>
      </c>
      <c r="AE6" s="4" t="s">
        <v>79</v>
      </c>
      <c r="AG6" s="4" t="s">
        <v>23</v>
      </c>
      <c r="AH6" s="2">
        <f>PI()*(AE12/2)^2 * AD12</f>
        <v>2.4115617186045466E-6</v>
      </c>
    </row>
    <row r="7" spans="4:72" ht="17.25" x14ac:dyDescent="0.25">
      <c r="D7" s="63">
        <v>0</v>
      </c>
      <c r="E7" s="80">
        <f>(D7/12*(35^4-18^4)+18^4)^(0.25)</f>
        <v>17.999999999999996</v>
      </c>
      <c r="F7" s="80">
        <v>18</v>
      </c>
      <c r="G7" s="72">
        <f>(F7*10^-2)^4</f>
        <v>1.0497599999999998E-3</v>
      </c>
      <c r="H7" s="68">
        <f>ABS(4*G7^3*G$3)</f>
        <v>2.3136627628523507E-12</v>
      </c>
      <c r="I7" s="8">
        <v>0.59</v>
      </c>
      <c r="J7" s="13">
        <f>I7/25</f>
        <v>2.3599999999999999E-2</v>
      </c>
      <c r="K7" s="62">
        <f>AVERAGE(J7:J8)</f>
        <v>2.3800000000000002E-2</v>
      </c>
      <c r="L7" s="62">
        <f>SQRT(2)/50 * J$2</f>
        <v>2.8284271247461902E-4</v>
      </c>
      <c r="M7" s="66">
        <f>K7^2</f>
        <v>5.6644000000000009E-4</v>
      </c>
      <c r="N7" s="66">
        <f>ABS(2*K7*L7)</f>
        <v>1.3463313113791866E-5</v>
      </c>
      <c r="O7" s="8">
        <v>1.17</v>
      </c>
      <c r="P7" s="13">
        <f>O7/50</f>
        <v>2.3399999999999997E-2</v>
      </c>
      <c r="Q7" s="71">
        <f>AVERAGE(P7:P8)</f>
        <v>2.35E-2</v>
      </c>
      <c r="R7" s="62">
        <f>SQRT(2)/100 * J$2</f>
        <v>1.4142135623730951E-4</v>
      </c>
      <c r="S7" s="66">
        <f>Q7^2</f>
        <v>5.5225000000000001E-4</v>
      </c>
      <c r="T7" s="66">
        <f>ABS(2*Q7*R7)</f>
        <v>6.6468037431535469E-6</v>
      </c>
      <c r="U7" s="8">
        <v>1.77</v>
      </c>
      <c r="V7" s="13">
        <f>U7/75</f>
        <v>2.3599999999999999E-2</v>
      </c>
      <c r="W7" s="62">
        <f>AVERAGE(V7:V8)</f>
        <v>2.3666666666666666E-2</v>
      </c>
      <c r="X7" s="62">
        <f>SQRT(2)/150 * J$2</f>
        <v>9.4280904158206352E-5</v>
      </c>
      <c r="Y7" s="73">
        <f>W7^2</f>
        <v>5.6011111111111105E-4</v>
      </c>
      <c r="Z7" s="73">
        <f>ABS(2*W7*X7)</f>
        <v>4.462629463488434E-6</v>
      </c>
      <c r="AC7" s="2">
        <v>21.6</v>
      </c>
      <c r="AD7" s="11">
        <v>895</v>
      </c>
      <c r="AE7" s="8">
        <v>1.85</v>
      </c>
      <c r="AG7" s="5" t="s">
        <v>22</v>
      </c>
      <c r="AH7" s="2">
        <f>AC12/AH6</f>
        <v>8948.5580375223817</v>
      </c>
    </row>
    <row r="8" spans="4:72" ht="17.25" x14ac:dyDescent="0.25">
      <c r="D8" s="63"/>
      <c r="E8" s="80"/>
      <c r="F8" s="80"/>
      <c r="G8" s="72"/>
      <c r="H8" s="68"/>
      <c r="I8" s="8">
        <v>0.6</v>
      </c>
      <c r="J8" s="13">
        <f t="shared" ref="J8:J24" si="0">I8/25</f>
        <v>2.4E-2</v>
      </c>
      <c r="K8" s="62"/>
      <c r="L8" s="62"/>
      <c r="M8" s="66"/>
      <c r="N8" s="66"/>
      <c r="O8" s="8">
        <v>1.18</v>
      </c>
      <c r="P8" s="13">
        <f t="shared" ref="P8:P24" si="1">O8/50</f>
        <v>2.3599999999999999E-2</v>
      </c>
      <c r="Q8" s="71"/>
      <c r="R8" s="62"/>
      <c r="S8" s="66"/>
      <c r="T8" s="66"/>
      <c r="U8" s="2">
        <v>1.78</v>
      </c>
      <c r="V8" s="13">
        <f t="shared" ref="V8:V24" si="2">U8/75</f>
        <v>2.3733333333333332E-2</v>
      </c>
      <c r="W8" s="62"/>
      <c r="X8" s="62"/>
      <c r="Y8" s="73"/>
      <c r="Z8" s="73"/>
      <c r="AC8" s="2">
        <v>21.6</v>
      </c>
      <c r="AD8" s="11">
        <v>895.2</v>
      </c>
      <c r="AE8" s="8">
        <v>1.825</v>
      </c>
      <c r="AG8" s="5" t="s">
        <v>24</v>
      </c>
      <c r="AH8" s="2">
        <f>SQRT((1/AH6 * AC13)^2+(AC12/AH6^2*P3)^2)</f>
        <v>101.9602140827115</v>
      </c>
    </row>
    <row r="9" spans="4:72" x14ac:dyDescent="0.25">
      <c r="D9" s="63">
        <v>1</v>
      </c>
      <c r="E9" s="80">
        <f>(D9/12*(35^4-18^4)+18^4)^(0.25)</f>
        <v>21.688802875937288</v>
      </c>
      <c r="F9" s="80">
        <v>21.7</v>
      </c>
      <c r="G9" s="69">
        <f>(F9*10^-2)^4</f>
        <v>2.2173739209999997E-3</v>
      </c>
      <c r="H9" s="68">
        <f>ABS(4*G9^3*G$3)</f>
        <v>2.180453361591296E-11</v>
      </c>
      <c r="I9" s="8">
        <v>0.85</v>
      </c>
      <c r="J9" s="13">
        <f t="shared" si="0"/>
        <v>3.4000000000000002E-2</v>
      </c>
      <c r="K9" s="62">
        <f>AVERAGE(J9:J10)</f>
        <v>3.4000000000000002E-2</v>
      </c>
      <c r="L9" s="62">
        <f>SQRT(2)/50 * J$2</f>
        <v>2.8284271247461902E-4</v>
      </c>
      <c r="M9" s="66">
        <f>K9^2</f>
        <v>1.1560000000000001E-3</v>
      </c>
      <c r="N9" s="66">
        <f>ABS(2*K9*L9)</f>
        <v>1.9233304448274093E-5</v>
      </c>
      <c r="O9" s="8">
        <v>1.72</v>
      </c>
      <c r="P9" s="13">
        <f t="shared" si="1"/>
        <v>3.44E-2</v>
      </c>
      <c r="Q9" s="71">
        <f>AVERAGE(P9:P10)</f>
        <v>3.44E-2</v>
      </c>
      <c r="R9" s="62">
        <f>SQRT(2)/100 * J$2</f>
        <v>1.4142135623730951E-4</v>
      </c>
      <c r="S9" s="66">
        <f>Q9^2</f>
        <v>1.1833600000000001E-3</v>
      </c>
      <c r="T9" s="66">
        <f>ABS(2*Q9*R9)</f>
        <v>9.7297893091268945E-6</v>
      </c>
      <c r="U9" s="8">
        <v>2.58</v>
      </c>
      <c r="V9" s="13">
        <f t="shared" si="2"/>
        <v>3.44E-2</v>
      </c>
      <c r="W9" s="62">
        <f>AVERAGE(V9:V10)</f>
        <v>3.44E-2</v>
      </c>
      <c r="X9" s="62">
        <f>SQRT(2)/150 * J$2</f>
        <v>9.4280904158206352E-5</v>
      </c>
      <c r="Y9" s="66">
        <f>W9^2</f>
        <v>1.1833600000000001E-3</v>
      </c>
      <c r="Z9" s="66">
        <f>ABS(2*W9*X9)</f>
        <v>6.4865262060845966E-6</v>
      </c>
      <c r="AC9" s="2">
        <v>21.6</v>
      </c>
      <c r="AD9" s="11">
        <v>894.8</v>
      </c>
      <c r="AE9" s="8">
        <v>1.8280000000000001</v>
      </c>
      <c r="AG9" s="5" t="s">
        <v>25</v>
      </c>
      <c r="AH9" s="6">
        <f>AH8/AH7</f>
        <v>1.1394038419953253E-2</v>
      </c>
    </row>
    <row r="10" spans="4:72" x14ac:dyDescent="0.25">
      <c r="D10" s="63"/>
      <c r="E10" s="80"/>
      <c r="F10" s="80"/>
      <c r="G10" s="69"/>
      <c r="H10" s="68"/>
      <c r="I10" s="8">
        <v>0.85</v>
      </c>
      <c r="J10" s="13">
        <f t="shared" si="0"/>
        <v>3.4000000000000002E-2</v>
      </c>
      <c r="K10" s="62"/>
      <c r="L10" s="62"/>
      <c r="M10" s="66"/>
      <c r="N10" s="66"/>
      <c r="O10" s="8">
        <v>1.72</v>
      </c>
      <c r="P10" s="13">
        <f t="shared" si="1"/>
        <v>3.44E-2</v>
      </c>
      <c r="Q10" s="71"/>
      <c r="R10" s="62"/>
      <c r="S10" s="66"/>
      <c r="T10" s="66"/>
      <c r="U10" s="47">
        <v>2.58</v>
      </c>
      <c r="V10" s="13">
        <f t="shared" si="2"/>
        <v>3.44E-2</v>
      </c>
      <c r="W10" s="62"/>
      <c r="X10" s="62"/>
      <c r="Y10" s="66"/>
      <c r="Z10" s="66"/>
      <c r="AC10" s="2">
        <v>21.5</v>
      </c>
      <c r="AD10" s="11">
        <v>895.1</v>
      </c>
      <c r="AE10" s="8">
        <v>1.8779999999999999</v>
      </c>
    </row>
    <row r="11" spans="4:72" x14ac:dyDescent="0.25">
      <c r="D11" s="63">
        <v>2</v>
      </c>
      <c r="E11" s="80">
        <f>(D11/12*(35^4-18^4)+18^4)^(0.25)</f>
        <v>24.104355136538413</v>
      </c>
      <c r="F11" s="80">
        <v>24.1</v>
      </c>
      <c r="G11" s="69">
        <f>(F11*10^-2)^4</f>
        <v>3.373402561000001E-3</v>
      </c>
      <c r="H11" s="68">
        <f>ABS(4*G11^3*G$3)</f>
        <v>7.6777595444371099E-11</v>
      </c>
      <c r="I11" s="8">
        <v>1.05</v>
      </c>
      <c r="J11" s="13">
        <f t="shared" si="0"/>
        <v>4.2000000000000003E-2</v>
      </c>
      <c r="K11" s="62">
        <f>AVERAGE(J11:J12)</f>
        <v>4.1800000000000004E-2</v>
      </c>
      <c r="L11" s="62">
        <f>SQRT(2)/50 * J$2</f>
        <v>2.8284271247461902E-4</v>
      </c>
      <c r="M11" s="66">
        <f>K11^2</f>
        <v>1.7472400000000004E-3</v>
      </c>
      <c r="N11" s="66">
        <f>ABS(2*K11*L11)</f>
        <v>2.3645650762878153E-5</v>
      </c>
      <c r="O11" s="8">
        <v>2.1</v>
      </c>
      <c r="P11" s="13">
        <f t="shared" si="1"/>
        <v>4.2000000000000003E-2</v>
      </c>
      <c r="Q11" s="71">
        <f>AVERAGE(P11:P12)</f>
        <v>4.2099999999999999E-2</v>
      </c>
      <c r="R11" s="62">
        <f>SQRT(2)/100 * J$2</f>
        <v>1.4142135623730951E-4</v>
      </c>
      <c r="S11" s="66">
        <f>Q11^2</f>
        <v>1.7724099999999999E-3</v>
      </c>
      <c r="T11" s="66">
        <f>ABS(2*Q11*R11)</f>
        <v>1.1907678195181461E-5</v>
      </c>
      <c r="U11" s="8">
        <v>3.17</v>
      </c>
      <c r="V11" s="13">
        <f t="shared" si="2"/>
        <v>4.2266666666666668E-2</v>
      </c>
      <c r="W11" s="62">
        <f>AVERAGE(V11:V12)</f>
        <v>4.2266666666666668E-2</v>
      </c>
      <c r="X11" s="62">
        <f>SQRT(2)/150 * J$2</f>
        <v>9.4280904158206352E-5</v>
      </c>
      <c r="Y11" s="66">
        <f>W11^2</f>
        <v>1.7864711111111112E-3</v>
      </c>
      <c r="Z11" s="66">
        <f>ABS(2*W11*X11)</f>
        <v>7.9698790981737111E-6</v>
      </c>
      <c r="AC11" s="2">
        <v>21.6</v>
      </c>
      <c r="AD11" s="11">
        <v>895</v>
      </c>
      <c r="AE11" s="8">
        <v>1.88</v>
      </c>
    </row>
    <row r="12" spans="4:72" x14ac:dyDescent="0.25">
      <c r="D12" s="63"/>
      <c r="E12" s="80"/>
      <c r="F12" s="80"/>
      <c r="G12" s="69"/>
      <c r="H12" s="68"/>
      <c r="I12" s="8">
        <v>1.04</v>
      </c>
      <c r="J12" s="13">
        <f t="shared" si="0"/>
        <v>4.1599999999999998E-2</v>
      </c>
      <c r="K12" s="62"/>
      <c r="L12" s="62"/>
      <c r="M12" s="66"/>
      <c r="N12" s="66"/>
      <c r="O12" s="8">
        <v>2.11</v>
      </c>
      <c r="P12" s="13">
        <f t="shared" si="1"/>
        <v>4.2199999999999994E-2</v>
      </c>
      <c r="Q12" s="71"/>
      <c r="R12" s="62"/>
      <c r="S12" s="66"/>
      <c r="T12" s="66"/>
      <c r="U12" s="8">
        <v>3.17</v>
      </c>
      <c r="V12" s="13">
        <f t="shared" si="2"/>
        <v>4.2266666666666668E-2</v>
      </c>
      <c r="W12" s="62"/>
      <c r="X12" s="62"/>
      <c r="Y12" s="66"/>
      <c r="Z12" s="66"/>
      <c r="AB12" s="4" t="s">
        <v>20</v>
      </c>
      <c r="AC12" s="24">
        <f>AVERAGE(AC7:AC11)/1000</f>
        <v>2.1580000000000002E-2</v>
      </c>
      <c r="AD12" s="24">
        <f>AVERAGE(AD7:AD11)/1000</f>
        <v>0.89502000000000015</v>
      </c>
      <c r="AE12" s="24">
        <f>AVERAGE(AE7:AE11)/1000</f>
        <v>1.8521999999999998E-3</v>
      </c>
    </row>
    <row r="13" spans="4:72" x14ac:dyDescent="0.25">
      <c r="D13" s="63">
        <v>3</v>
      </c>
      <c r="E13" s="80">
        <f>(D13/12*(35^4-18^4)+18^4)^(0.25)</f>
        <v>25.955968296806816</v>
      </c>
      <c r="F13" s="80">
        <v>26</v>
      </c>
      <c r="G13" s="70">
        <f>(F13*10^-2)^4</f>
        <v>4.5697600000000008E-3</v>
      </c>
      <c r="H13" s="68">
        <f>ABS(4*G13^3*G$3)</f>
        <v>1.9085791332336447E-10</v>
      </c>
      <c r="I13" s="8">
        <v>1.19</v>
      </c>
      <c r="J13" s="13">
        <f t="shared" si="0"/>
        <v>4.7599999999999996E-2</v>
      </c>
      <c r="K13" s="62">
        <f>AVERAGE(J13:J14)</f>
        <v>4.7599999999999996E-2</v>
      </c>
      <c r="L13" s="62">
        <f>SQRT(2)/50 * J$2</f>
        <v>2.8284271247461902E-4</v>
      </c>
      <c r="M13" s="62">
        <f>K13^2</f>
        <v>2.2657599999999995E-3</v>
      </c>
      <c r="N13" s="62">
        <f>ABS(2*K13*L13)</f>
        <v>2.6926626227583728E-5</v>
      </c>
      <c r="O13" s="8">
        <v>2.39</v>
      </c>
      <c r="P13" s="13">
        <f t="shared" si="1"/>
        <v>4.7800000000000002E-2</v>
      </c>
      <c r="Q13" s="71">
        <f>AVERAGE(P13:P14)</f>
        <v>4.7899999999999998E-2</v>
      </c>
      <c r="R13" s="62">
        <f>SQRT(2)/100 * J$2</f>
        <v>1.4142135623730951E-4</v>
      </c>
      <c r="S13" s="66">
        <f>Q13^2</f>
        <v>2.2944099999999998E-3</v>
      </c>
      <c r="T13" s="66">
        <f>ABS(2*Q13*R13)</f>
        <v>1.354816592753425E-5</v>
      </c>
      <c r="U13" s="8">
        <v>3.81</v>
      </c>
      <c r="V13" s="13">
        <f t="shared" si="2"/>
        <v>5.0799999999999998E-2</v>
      </c>
      <c r="W13" s="62">
        <f>AVERAGE(V13:V14)</f>
        <v>5.1133333333333336E-2</v>
      </c>
      <c r="X13" s="62">
        <f>SQRT(2)/150 * J$2</f>
        <v>9.4280904158206352E-5</v>
      </c>
      <c r="Y13" s="66">
        <f>W13^2</f>
        <v>2.614617777777778E-3</v>
      </c>
      <c r="Z13" s="66">
        <f>ABS(2*W13*X13)</f>
        <v>9.6417937985792362E-6</v>
      </c>
      <c r="AB13" s="4" t="s">
        <v>21</v>
      </c>
      <c r="AC13" s="24">
        <f>_xlfn.STDEV.P(AC7:AC11)/SQRT(5)/1000</f>
        <v>1.7888543819998574E-5</v>
      </c>
      <c r="AD13" s="24">
        <f>_xlfn.STDEV.P(AD7:AD11)/SQRT(5)/1000</f>
        <v>5.9329587896778792E-5</v>
      </c>
      <c r="AE13" s="24">
        <f>_xlfn.STDEV.P(AE7:AE11)/SQRT(5)/1000</f>
        <v>1.0523877612363202E-5</v>
      </c>
    </row>
    <row r="14" spans="4:72" x14ac:dyDescent="0.25">
      <c r="D14" s="63"/>
      <c r="E14" s="80"/>
      <c r="F14" s="80"/>
      <c r="G14" s="70"/>
      <c r="H14" s="68"/>
      <c r="I14" s="8">
        <v>1.19</v>
      </c>
      <c r="J14" s="13">
        <f t="shared" si="0"/>
        <v>4.7599999999999996E-2</v>
      </c>
      <c r="K14" s="62"/>
      <c r="L14" s="62"/>
      <c r="M14" s="62"/>
      <c r="N14" s="62"/>
      <c r="O14" s="8">
        <v>2.4</v>
      </c>
      <c r="P14" s="13">
        <f t="shared" si="1"/>
        <v>4.8000000000000001E-2</v>
      </c>
      <c r="Q14" s="71"/>
      <c r="R14" s="62"/>
      <c r="S14" s="66"/>
      <c r="T14" s="66"/>
      <c r="U14" s="8">
        <v>3.86</v>
      </c>
      <c r="V14" s="13">
        <f t="shared" si="2"/>
        <v>5.1466666666666668E-2</v>
      </c>
      <c r="W14" s="62"/>
      <c r="X14" s="62"/>
      <c r="Y14" s="66"/>
      <c r="Z14" s="66"/>
    </row>
    <row r="15" spans="4:72" x14ac:dyDescent="0.25">
      <c r="D15" s="63">
        <v>4</v>
      </c>
      <c r="E15" s="80">
        <f>(D15/12*(35^4-18^4)+18^4)^(0.25)</f>
        <v>27.479279623846551</v>
      </c>
      <c r="F15" s="80">
        <v>27.5</v>
      </c>
      <c r="G15" s="70">
        <f>(F15*10^-2)^4</f>
        <v>5.7191406250000016E-3</v>
      </c>
      <c r="H15" s="68">
        <f>ABS(4*G15^3*G$3)</f>
        <v>3.7412981709492241E-10</v>
      </c>
      <c r="I15" s="8">
        <v>1.35</v>
      </c>
      <c r="J15" s="13">
        <f t="shared" si="0"/>
        <v>5.4000000000000006E-2</v>
      </c>
      <c r="K15" s="62">
        <f>AVERAGE(J15:J16)</f>
        <v>5.3800000000000001E-2</v>
      </c>
      <c r="L15" s="62">
        <f>SQRT(2)/50 * J$2</f>
        <v>2.8284271247461902E-4</v>
      </c>
      <c r="M15" s="62">
        <f>K15^2</f>
        <v>2.8944399999999999E-3</v>
      </c>
      <c r="N15" s="62">
        <f>ABS(2*K15*L15)</f>
        <v>3.0433875862269005E-5</v>
      </c>
      <c r="O15" s="8">
        <v>2.71</v>
      </c>
      <c r="P15" s="13">
        <f t="shared" si="1"/>
        <v>5.4199999999999998E-2</v>
      </c>
      <c r="Q15" s="71">
        <f>AVERAGE(P15:P16)</f>
        <v>5.4300000000000001E-2</v>
      </c>
      <c r="R15" s="62">
        <f>SQRT(2)/100 * J$2</f>
        <v>1.4142135623730951E-4</v>
      </c>
      <c r="S15" s="66">
        <f>Q15^2</f>
        <v>2.9484900000000002E-3</v>
      </c>
      <c r="T15" s="66">
        <f>ABS(2*Q15*R15)</f>
        <v>1.5358359287371814E-5</v>
      </c>
      <c r="U15" s="8">
        <v>4.09</v>
      </c>
      <c r="V15" s="13">
        <f t="shared" si="2"/>
        <v>5.4533333333333329E-2</v>
      </c>
      <c r="W15" s="62">
        <f>AVERAGE(V15:V16)</f>
        <v>5.4533333333333329E-2</v>
      </c>
      <c r="X15" s="62">
        <f>SQRT(2)/150 * J$2</f>
        <v>9.4280904158206352E-5</v>
      </c>
      <c r="Y15" s="66">
        <f>W15^2</f>
        <v>2.9738844444444439E-3</v>
      </c>
      <c r="Z15" s="66">
        <f>ABS(2*W15*X15)</f>
        <v>1.0282903946855039E-5</v>
      </c>
    </row>
    <row r="16" spans="4:72" x14ac:dyDescent="0.25">
      <c r="D16" s="63"/>
      <c r="E16" s="80"/>
      <c r="F16" s="80"/>
      <c r="G16" s="70"/>
      <c r="H16" s="68"/>
      <c r="I16" s="8">
        <v>1.34</v>
      </c>
      <c r="J16" s="13">
        <f t="shared" si="0"/>
        <v>5.3600000000000002E-2</v>
      </c>
      <c r="K16" s="62"/>
      <c r="L16" s="62"/>
      <c r="M16" s="62"/>
      <c r="N16" s="62"/>
      <c r="O16" s="8">
        <v>2.72</v>
      </c>
      <c r="P16" s="13">
        <f t="shared" si="1"/>
        <v>5.4400000000000004E-2</v>
      </c>
      <c r="Q16" s="71"/>
      <c r="R16" s="62"/>
      <c r="S16" s="66"/>
      <c r="T16" s="66"/>
      <c r="U16" s="8">
        <v>4.09</v>
      </c>
      <c r="V16" s="13">
        <f t="shared" si="2"/>
        <v>5.4533333333333329E-2</v>
      </c>
      <c r="W16" s="62"/>
      <c r="X16" s="62"/>
      <c r="Y16" s="66"/>
      <c r="Z16" s="66"/>
    </row>
    <row r="17" spans="1:62" x14ac:dyDescent="0.25">
      <c r="D17" s="63">
        <v>5</v>
      </c>
      <c r="E17" s="80">
        <f>(D17/12*(35^4-18^4)+18^4)^(0.25)</f>
        <v>28.784558239648899</v>
      </c>
      <c r="F17" s="80">
        <v>28.8</v>
      </c>
      <c r="G17" s="70">
        <f>(F17*10^-2)^4</f>
        <v>6.8797071360000026E-3</v>
      </c>
      <c r="H17" s="68">
        <f>ABS(4*G17^3*G$3)</f>
        <v>6.512381722901786E-10</v>
      </c>
      <c r="I17" s="8">
        <v>1.46</v>
      </c>
      <c r="J17" s="13">
        <f t="shared" si="0"/>
        <v>5.8400000000000001E-2</v>
      </c>
      <c r="K17" s="62">
        <f>AVERAGE(J17:J18)</f>
        <v>5.8599999999999999E-2</v>
      </c>
      <c r="L17" s="62">
        <f>SQRT(2)/50 * J$2</f>
        <v>2.8284271247461902E-4</v>
      </c>
      <c r="M17" s="62">
        <f>K17^2</f>
        <v>3.4339599999999998E-3</v>
      </c>
      <c r="N17" s="62">
        <f>ABS(2*K17*L17)</f>
        <v>3.314916590202535E-5</v>
      </c>
      <c r="O17" s="8">
        <v>2.97</v>
      </c>
      <c r="P17" s="13">
        <f t="shared" si="1"/>
        <v>5.9400000000000001E-2</v>
      </c>
      <c r="Q17" s="71">
        <f>AVERAGE(P17:P18)</f>
        <v>5.9300000000000005E-2</v>
      </c>
      <c r="R17" s="62">
        <f>SQRT(2)/100 * J$2</f>
        <v>1.4142135623730951E-4</v>
      </c>
      <c r="S17" s="66">
        <f>Q17^2</f>
        <v>3.5164900000000006E-3</v>
      </c>
      <c r="T17" s="66">
        <f>ABS(2*Q17*R17)</f>
        <v>1.6772572849744909E-5</v>
      </c>
      <c r="U17" s="8">
        <v>4.47</v>
      </c>
      <c r="V17" s="13">
        <f t="shared" si="2"/>
        <v>5.9599999999999993E-2</v>
      </c>
      <c r="W17" s="62">
        <f>AVERAGE(V17:V18)</f>
        <v>5.9533333333333327E-2</v>
      </c>
      <c r="X17" s="62">
        <f>SQRT(2)/150 * J$2</f>
        <v>9.4280904158206352E-5</v>
      </c>
      <c r="Y17" s="66">
        <f>W17^2</f>
        <v>3.5442177777777772E-3</v>
      </c>
      <c r="Z17" s="66">
        <f>ABS(2*W17*X17)</f>
        <v>1.1225712988437101E-5</v>
      </c>
    </row>
    <row r="18" spans="1:62" x14ac:dyDescent="0.25">
      <c r="D18" s="63"/>
      <c r="E18" s="80"/>
      <c r="F18" s="80"/>
      <c r="G18" s="70"/>
      <c r="H18" s="68"/>
      <c r="I18" s="8">
        <v>1.47</v>
      </c>
      <c r="J18" s="13">
        <f t="shared" si="0"/>
        <v>5.8799999999999998E-2</v>
      </c>
      <c r="K18" s="62"/>
      <c r="L18" s="62"/>
      <c r="M18" s="62"/>
      <c r="N18" s="62"/>
      <c r="O18" s="8">
        <v>2.96</v>
      </c>
      <c r="P18" s="13">
        <f t="shared" si="1"/>
        <v>5.9200000000000003E-2</v>
      </c>
      <c r="Q18" s="71"/>
      <c r="R18" s="62"/>
      <c r="S18" s="66"/>
      <c r="T18" s="66"/>
      <c r="U18" s="8">
        <v>4.46</v>
      </c>
      <c r="V18" s="13">
        <f t="shared" si="2"/>
        <v>5.9466666666666668E-2</v>
      </c>
      <c r="W18" s="62"/>
      <c r="X18" s="62"/>
      <c r="Y18" s="66"/>
      <c r="Z18" s="66"/>
    </row>
    <row r="19" spans="1:62" x14ac:dyDescent="0.25">
      <c r="D19" s="63">
        <v>6</v>
      </c>
      <c r="E19" s="80">
        <f>(D19/12*(35^4-18^4)+18^4)^(0.25)</f>
        <v>29.933114612493615</v>
      </c>
      <c r="F19" s="80">
        <v>30</v>
      </c>
      <c r="G19" s="67">
        <f>(F19*10^-2)^4</f>
        <v>8.0999999999999996E-3</v>
      </c>
      <c r="H19" s="68">
        <f>ABS(4*G19^3*G$3)</f>
        <v>1.0628819999999998E-9</v>
      </c>
      <c r="I19" s="8">
        <v>1.57</v>
      </c>
      <c r="J19" s="13">
        <f t="shared" si="0"/>
        <v>6.2800000000000009E-2</v>
      </c>
      <c r="K19" s="62">
        <f>AVERAGE(J19:J20)</f>
        <v>6.2800000000000009E-2</v>
      </c>
      <c r="L19" s="62">
        <f>SQRT(2)/50 * J$2</f>
        <v>2.8284271247461902E-4</v>
      </c>
      <c r="M19" s="62">
        <f>K19^2</f>
        <v>3.9438400000000014E-3</v>
      </c>
      <c r="N19" s="62">
        <f>ABS(2*K19*L19)</f>
        <v>3.5525044686812156E-5</v>
      </c>
      <c r="O19" s="8">
        <v>3.16</v>
      </c>
      <c r="P19" s="13">
        <f t="shared" si="1"/>
        <v>6.3200000000000006E-2</v>
      </c>
      <c r="Q19" s="71">
        <f>AVERAGE(P19:P20)</f>
        <v>6.3299999999999995E-2</v>
      </c>
      <c r="R19" s="62">
        <f>SQRT(2)/100 * J$2</f>
        <v>1.4142135623730951E-4</v>
      </c>
      <c r="S19" s="66">
        <f>Q19^2</f>
        <v>4.0068899999999991E-3</v>
      </c>
      <c r="T19" s="66">
        <f>ABS(2*Q19*R19)</f>
        <v>1.7903943699643381E-5</v>
      </c>
      <c r="U19" s="8">
        <v>4.79</v>
      </c>
      <c r="V19" s="13">
        <f t="shared" si="2"/>
        <v>6.3866666666666669E-2</v>
      </c>
      <c r="W19" s="62">
        <f>AVERAGE(V19:V20)</f>
        <v>6.3799999999999996E-2</v>
      </c>
      <c r="X19" s="62">
        <f>SQRT(2)/150 * J$2</f>
        <v>9.4280904158206352E-5</v>
      </c>
      <c r="Y19" s="66">
        <f>W19^2</f>
        <v>4.0704399999999998E-3</v>
      </c>
      <c r="Z19" s="66">
        <f>ABS(2*W19*X19)</f>
        <v>1.2030243370587129E-5</v>
      </c>
    </row>
    <row r="20" spans="1:62" x14ac:dyDescent="0.25">
      <c r="D20" s="63"/>
      <c r="E20" s="80"/>
      <c r="F20" s="80"/>
      <c r="G20" s="67"/>
      <c r="H20" s="68"/>
      <c r="I20" s="8">
        <v>1.57</v>
      </c>
      <c r="J20" s="13">
        <f t="shared" si="0"/>
        <v>6.2800000000000009E-2</v>
      </c>
      <c r="K20" s="62"/>
      <c r="L20" s="62"/>
      <c r="M20" s="62"/>
      <c r="N20" s="62"/>
      <c r="O20" s="8">
        <v>3.17</v>
      </c>
      <c r="P20" s="13">
        <f t="shared" si="1"/>
        <v>6.3399999999999998E-2</v>
      </c>
      <c r="Q20" s="71"/>
      <c r="R20" s="62"/>
      <c r="S20" s="66"/>
      <c r="T20" s="66"/>
      <c r="U20" s="8">
        <v>4.78</v>
      </c>
      <c r="V20" s="13">
        <f t="shared" si="2"/>
        <v>6.3733333333333336E-2</v>
      </c>
      <c r="W20" s="62"/>
      <c r="X20" s="62"/>
      <c r="Y20" s="66"/>
      <c r="Z20" s="66"/>
    </row>
    <row r="21" spans="1:62" x14ac:dyDescent="0.25">
      <c r="D21" s="63">
        <v>7</v>
      </c>
      <c r="E21" s="80">
        <f>(D21/12*(35^4-18^4)+18^4)^(0.25)</f>
        <v>30.962871682538633</v>
      </c>
      <c r="F21" s="80">
        <v>31</v>
      </c>
      <c r="G21" s="67">
        <f>(F21*10^-2)^4</f>
        <v>9.2352100000000006E-3</v>
      </c>
      <c r="H21" s="68">
        <f>ABS(4*G21^3*G$3)</f>
        <v>1.5753255675771E-9</v>
      </c>
      <c r="I21" s="8">
        <v>1.7</v>
      </c>
      <c r="J21" s="13">
        <f t="shared" si="0"/>
        <v>6.8000000000000005E-2</v>
      </c>
      <c r="K21" s="62">
        <f>AVERAGE(J21:J22)</f>
        <v>6.8000000000000005E-2</v>
      </c>
      <c r="L21" s="62">
        <f>SQRT(2)/50 * J$2</f>
        <v>2.8284271247461902E-4</v>
      </c>
      <c r="M21" s="62">
        <f>K21^2</f>
        <v>4.6240000000000005E-3</v>
      </c>
      <c r="N21" s="62">
        <f>ABS(2*K21*L21)</f>
        <v>3.8466608896548187E-5</v>
      </c>
      <c r="O21" s="8">
        <v>3.43</v>
      </c>
      <c r="P21" s="13">
        <f t="shared" si="1"/>
        <v>6.8600000000000008E-2</v>
      </c>
      <c r="Q21" s="71">
        <f>AVERAGE(P21:P22)</f>
        <v>6.8600000000000008E-2</v>
      </c>
      <c r="R21" s="62">
        <f>SQRT(2)/100 * J$2</f>
        <v>1.4142135623730951E-4</v>
      </c>
      <c r="S21" s="66">
        <f>Q21^2</f>
        <v>4.7059600000000012E-3</v>
      </c>
      <c r="T21" s="66">
        <f>ABS(2*Q21*R21)</f>
        <v>1.9403010075758868E-5</v>
      </c>
      <c r="U21" s="8">
        <v>5.16</v>
      </c>
      <c r="V21" s="13">
        <f t="shared" si="2"/>
        <v>6.88E-2</v>
      </c>
      <c r="W21" s="62">
        <f>AVERAGE(V21:V22)</f>
        <v>6.88E-2</v>
      </c>
      <c r="X21" s="62">
        <f>SQRT(2)/150 * J$2</f>
        <v>9.4280904158206352E-5</v>
      </c>
      <c r="Y21" s="66">
        <f>W21^2</f>
        <v>4.7334400000000002E-3</v>
      </c>
      <c r="Z21" s="66">
        <f>ABS(2*W21*X21)</f>
        <v>1.2973052412169193E-5</v>
      </c>
    </row>
    <row r="22" spans="1:62" x14ac:dyDescent="0.25">
      <c r="D22" s="63"/>
      <c r="E22" s="80"/>
      <c r="F22" s="80"/>
      <c r="G22" s="67"/>
      <c r="H22" s="68"/>
      <c r="I22" s="8">
        <v>1.7</v>
      </c>
      <c r="J22" s="13">
        <f t="shared" si="0"/>
        <v>6.8000000000000005E-2</v>
      </c>
      <c r="K22" s="62"/>
      <c r="L22" s="62"/>
      <c r="M22" s="62"/>
      <c r="N22" s="62"/>
      <c r="O22" s="8">
        <v>3.43</v>
      </c>
      <c r="P22" s="13">
        <f t="shared" si="1"/>
        <v>6.8600000000000008E-2</v>
      </c>
      <c r="Q22" s="71"/>
      <c r="R22" s="62"/>
      <c r="S22" s="66"/>
      <c r="T22" s="66"/>
      <c r="U22" s="8">
        <v>5.16</v>
      </c>
      <c r="V22" s="13">
        <f t="shared" si="2"/>
        <v>6.88E-2</v>
      </c>
      <c r="W22" s="62"/>
      <c r="X22" s="62"/>
      <c r="Y22" s="66"/>
      <c r="Z22" s="66"/>
    </row>
    <row r="23" spans="1:62" x14ac:dyDescent="0.25">
      <c r="D23" s="63">
        <v>8</v>
      </c>
      <c r="E23" s="80">
        <f>(D23/12*(35^4-18^4)+18^4)^(0.25)</f>
        <v>31.899064662709737</v>
      </c>
      <c r="F23" s="80">
        <v>31.9</v>
      </c>
      <c r="G23" s="67">
        <f>(F23*10^-2)^4</f>
        <v>1.0355301121000001E-2</v>
      </c>
      <c r="H23" s="68">
        <f>ABS(4*G23^3*G$3)</f>
        <v>2.2208447114308658E-9</v>
      </c>
      <c r="I23" s="8">
        <v>1.8</v>
      </c>
      <c r="J23" s="13">
        <f t="shared" si="0"/>
        <v>7.2000000000000008E-2</v>
      </c>
      <c r="K23" s="62">
        <f>AVERAGE(J23:J24)</f>
        <v>7.2000000000000008E-2</v>
      </c>
      <c r="L23" s="62">
        <f>SQRT(2)/50 * J$2</f>
        <v>2.8284271247461902E-4</v>
      </c>
      <c r="M23" s="62">
        <f>K23^2</f>
        <v>5.1840000000000011E-3</v>
      </c>
      <c r="N23" s="62">
        <f>ABS(2*K23*L23)</f>
        <v>4.0729350596345144E-5</v>
      </c>
      <c r="O23" s="8">
        <v>3.63</v>
      </c>
      <c r="P23" s="13">
        <f t="shared" si="1"/>
        <v>7.2599999999999998E-2</v>
      </c>
      <c r="Q23" s="71">
        <f>AVERAGE(P23:P24)</f>
        <v>7.2500000000000009E-2</v>
      </c>
      <c r="R23" s="62">
        <f>SQRT(2)/100 * J$2</f>
        <v>1.4142135623730951E-4</v>
      </c>
      <c r="S23" s="66">
        <f>Q23^2</f>
        <v>5.2562500000000014E-3</v>
      </c>
      <c r="T23" s="66">
        <f>ABS(2*Q23*R23)</f>
        <v>2.0506096654409882E-5</v>
      </c>
      <c r="U23" s="8">
        <v>5.45</v>
      </c>
      <c r="V23" s="13">
        <f t="shared" si="2"/>
        <v>7.2666666666666671E-2</v>
      </c>
      <c r="W23" s="62">
        <f>AVERAGE(V23:V24)</f>
        <v>7.2666666666666671E-2</v>
      </c>
      <c r="X23" s="62">
        <f>SQRT(2)/150 * J$2</f>
        <v>9.4280904158206352E-5</v>
      </c>
      <c r="Y23" s="66">
        <f>W23^2</f>
        <v>5.2804444444444452E-3</v>
      </c>
      <c r="Z23" s="66">
        <f>ABS(2*W23*X23)</f>
        <v>1.3702158070992658E-5</v>
      </c>
    </row>
    <row r="24" spans="1:62" x14ac:dyDescent="0.25">
      <c r="D24" s="63"/>
      <c r="E24" s="80"/>
      <c r="F24" s="80"/>
      <c r="G24" s="67"/>
      <c r="H24" s="68"/>
      <c r="I24" s="8">
        <v>1.8</v>
      </c>
      <c r="J24" s="13">
        <f t="shared" si="0"/>
        <v>7.2000000000000008E-2</v>
      </c>
      <c r="K24" s="62"/>
      <c r="L24" s="62"/>
      <c r="M24" s="62"/>
      <c r="N24" s="62"/>
      <c r="O24" s="8">
        <v>3.62</v>
      </c>
      <c r="P24" s="13">
        <f t="shared" si="1"/>
        <v>7.2400000000000006E-2</v>
      </c>
      <c r="Q24" s="71"/>
      <c r="R24" s="62"/>
      <c r="S24" s="66"/>
      <c r="T24" s="66"/>
      <c r="U24" s="8">
        <v>5.45</v>
      </c>
      <c r="V24" s="13">
        <f t="shared" si="2"/>
        <v>7.2666666666666671E-2</v>
      </c>
      <c r="W24" s="62"/>
      <c r="X24" s="62"/>
      <c r="Y24" s="66"/>
      <c r="Z24" s="66"/>
    </row>
    <row r="30" spans="1:62" ht="15.75" thickBot="1" x14ac:dyDescent="0.3"/>
    <row r="31" spans="1:62" x14ac:dyDescent="0.25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6"/>
    </row>
    <row r="32" spans="1:62" x14ac:dyDescent="0.25">
      <c r="A32" s="17"/>
      <c r="BJ32" s="18"/>
    </row>
    <row r="33" spans="1:134" ht="16.149999999999999" customHeight="1" x14ac:dyDescent="0.25">
      <c r="A33" s="17"/>
      <c r="C33" s="60" t="s">
        <v>0</v>
      </c>
      <c r="D33" s="60" t="s">
        <v>1</v>
      </c>
      <c r="E33" s="60" t="s">
        <v>2</v>
      </c>
      <c r="F33" s="57" t="s">
        <v>12</v>
      </c>
      <c r="G33" s="57"/>
      <c r="H33" s="57"/>
      <c r="I33" s="57"/>
      <c r="J33" s="57"/>
      <c r="K33" s="57"/>
      <c r="L33" s="57" t="s">
        <v>13</v>
      </c>
      <c r="M33" s="57"/>
      <c r="N33" s="57"/>
      <c r="O33" s="57"/>
      <c r="P33" s="81" t="s">
        <v>14</v>
      </c>
      <c r="Q33" s="82"/>
      <c r="R33" s="82"/>
      <c r="S33" s="82"/>
      <c r="T33" s="82"/>
      <c r="U33" s="82"/>
      <c r="BJ33" s="18"/>
    </row>
    <row r="34" spans="1:134" ht="18" x14ac:dyDescent="0.25">
      <c r="A34" s="17"/>
      <c r="C34" s="60"/>
      <c r="D34" s="60"/>
      <c r="E34" s="60"/>
      <c r="F34" s="4" t="s">
        <v>7</v>
      </c>
      <c r="G34" s="4" t="s">
        <v>10</v>
      </c>
      <c r="H34" s="4" t="s">
        <v>93</v>
      </c>
      <c r="I34" s="4" t="s">
        <v>94</v>
      </c>
      <c r="J34" s="4" t="s">
        <v>95</v>
      </c>
      <c r="K34" s="4" t="s">
        <v>96</v>
      </c>
      <c r="L34" s="4" t="s">
        <v>7</v>
      </c>
      <c r="M34" s="4" t="s">
        <v>10</v>
      </c>
      <c r="N34" s="4" t="s">
        <v>39</v>
      </c>
      <c r="O34" s="4" t="s">
        <v>40</v>
      </c>
      <c r="P34" s="4" t="s">
        <v>7</v>
      </c>
      <c r="Q34" s="4" t="s">
        <v>10</v>
      </c>
      <c r="R34" s="4" t="s">
        <v>93</v>
      </c>
      <c r="S34" s="4" t="s">
        <v>94</v>
      </c>
      <c r="T34" s="4" t="s">
        <v>95</v>
      </c>
      <c r="U34" s="4" t="s">
        <v>96</v>
      </c>
      <c r="AB34" s="1" t="str">
        <f>"log(T)[log(ℓ)]"</f>
        <v>log(T)[log(ℓ)]</v>
      </c>
      <c r="BJ34" s="18"/>
    </row>
    <row r="35" spans="1:134" x14ac:dyDescent="0.25">
      <c r="A35" s="17"/>
      <c r="C35" s="8">
        <f>F7</f>
        <v>18</v>
      </c>
      <c r="D35" s="31">
        <f>G7</f>
        <v>1.0497599999999998E-3</v>
      </c>
      <c r="E35" s="23">
        <f>H7</f>
        <v>2.3136627628523507E-12</v>
      </c>
      <c r="F35" s="24">
        <f>M7</f>
        <v>5.6644000000000009E-4</v>
      </c>
      <c r="G35" s="24">
        <f>N7</f>
        <v>1.3463313113791866E-5</v>
      </c>
      <c r="H35" s="24">
        <f t="shared" ref="H35:H43" si="3">D35*D$67+E$68</f>
        <v>5.4841632603294004E-4</v>
      </c>
      <c r="I35" s="24">
        <f t="shared" ref="I35:I43" si="4">F35-H35</f>
        <v>1.8023673967060044E-5</v>
      </c>
      <c r="J35" s="2">
        <f t="shared" ref="J35:J43" si="5">D35*I$67+J$67</f>
        <v>5.6866853488678356E-4</v>
      </c>
      <c r="K35" s="2">
        <f>F35-J35</f>
        <v>-2.2285348867834721E-6</v>
      </c>
      <c r="L35" s="24">
        <f>S7</f>
        <v>5.5225000000000001E-4</v>
      </c>
      <c r="M35" s="24">
        <f>T7</f>
        <v>6.6468037431535469E-6</v>
      </c>
      <c r="N35" s="24">
        <f t="shared" ref="N35:N43" si="6">D35*W$68+X$68</f>
        <v>5.7560747898994537E-4</v>
      </c>
      <c r="O35" s="24">
        <f>L35-N35</f>
        <v>-2.3357478989945364E-5</v>
      </c>
      <c r="P35" s="25">
        <f>Y7</f>
        <v>5.6011111111111105E-4</v>
      </c>
      <c r="Q35" s="25">
        <f>Z7</f>
        <v>4.462629463488434E-6</v>
      </c>
      <c r="R35" s="25">
        <f>D35*AL$68+AM$68</f>
        <v>6.3501359611430476E-4</v>
      </c>
      <c r="S35" s="25">
        <f>P35-R35</f>
        <v>-7.4902485003193703E-5</v>
      </c>
      <c r="T35" s="25">
        <f>D35*AS$68+AT$68</f>
        <v>5.9057986454838041E-4</v>
      </c>
      <c r="U35" s="25">
        <f>R35-T35</f>
        <v>4.4433731565924348E-5</v>
      </c>
      <c r="BJ35" s="18"/>
    </row>
    <row r="36" spans="1:134" ht="15.75" thickBot="1" x14ac:dyDescent="0.3">
      <c r="A36" s="17"/>
      <c r="C36" s="8">
        <f>F9</f>
        <v>21.7</v>
      </c>
      <c r="D36" s="28">
        <f>G9</f>
        <v>2.2173739209999997E-3</v>
      </c>
      <c r="E36" s="23">
        <f>H9</f>
        <v>2.180453361591296E-11</v>
      </c>
      <c r="F36" s="24">
        <f>M9</f>
        <v>1.1560000000000001E-3</v>
      </c>
      <c r="G36" s="24">
        <f>N9</f>
        <v>1.9233304448274093E-5</v>
      </c>
      <c r="H36" s="24">
        <f t="shared" si="3"/>
        <v>1.1224032293585384E-3</v>
      </c>
      <c r="I36" s="24">
        <f t="shared" si="4"/>
        <v>3.3596770641461772E-5</v>
      </c>
      <c r="J36" s="2">
        <f t="shared" si="5"/>
        <v>1.1465277389196313E-3</v>
      </c>
      <c r="K36" s="2">
        <f t="shared" ref="K36:K43" si="7">F36-J36</f>
        <v>9.4722610803688653E-6</v>
      </c>
      <c r="L36" s="24">
        <f>S9</f>
        <v>1.1833600000000001E-3</v>
      </c>
      <c r="M36" s="24">
        <f>T9</f>
        <v>9.7297893091268945E-6</v>
      </c>
      <c r="N36" s="24">
        <f t="shared" si="6"/>
        <v>1.1602511704011727E-3</v>
      </c>
      <c r="O36" s="24">
        <f t="shared" ref="O36:O43" si="8">L36-N36</f>
        <v>2.3108829598827334E-5</v>
      </c>
      <c r="P36" s="24">
        <f>Y9</f>
        <v>1.1833600000000001E-3</v>
      </c>
      <c r="Q36" s="24">
        <f>Z9</f>
        <v>6.4865262060845966E-6</v>
      </c>
      <c r="R36" s="24">
        <f t="shared" ref="R36:R43" si="9">D36*AL$68+AM$68</f>
        <v>1.2189859485706599E-3</v>
      </c>
      <c r="S36" s="24">
        <f t="shared" ref="S36:S43" si="10">P36-R36</f>
        <v>-3.5625948570659803E-5</v>
      </c>
      <c r="T36" s="25">
        <f t="shared" ref="T36:T43" si="11">D36*AS$68+AT$68</f>
        <v>1.1786844082048898E-3</v>
      </c>
      <c r="U36" s="24">
        <f t="shared" ref="U36:U43" si="12">R36-T36</f>
        <v>4.0301540365770107E-5</v>
      </c>
      <c r="BJ36" s="18"/>
    </row>
    <row r="37" spans="1:134" x14ac:dyDescent="0.25">
      <c r="A37" s="17"/>
      <c r="C37" s="8">
        <f>F11</f>
        <v>24.1</v>
      </c>
      <c r="D37" s="28">
        <f>G11</f>
        <v>3.373402561000001E-3</v>
      </c>
      <c r="E37" s="23">
        <f>H11</f>
        <v>7.6777595444371099E-11</v>
      </c>
      <c r="F37" s="24">
        <f>M11</f>
        <v>1.7472400000000004E-3</v>
      </c>
      <c r="G37" s="24">
        <f>N11</f>
        <v>2.3645650762878153E-5</v>
      </c>
      <c r="H37" s="24">
        <f t="shared" si="3"/>
        <v>1.6906949286053341E-3</v>
      </c>
      <c r="I37" s="24">
        <f t="shared" si="4"/>
        <v>5.6545071394666297E-5</v>
      </c>
      <c r="J37" s="2">
        <f t="shared" si="5"/>
        <v>1.7186533171907868E-3</v>
      </c>
      <c r="K37" s="2">
        <f t="shared" si="7"/>
        <v>2.8586682809213617E-5</v>
      </c>
      <c r="L37" s="24">
        <f>S11</f>
        <v>1.7724099999999999E-3</v>
      </c>
      <c r="M37" s="24">
        <f>T11</f>
        <v>1.1907678195181461E-5</v>
      </c>
      <c r="N37" s="24">
        <f t="shared" si="6"/>
        <v>1.7390939191137427E-3</v>
      </c>
      <c r="O37" s="24">
        <f t="shared" si="8"/>
        <v>3.3316080886257142E-5</v>
      </c>
      <c r="P37" s="24">
        <f>Y11</f>
        <v>1.7864711111111112E-3</v>
      </c>
      <c r="Q37" s="24">
        <f>Z11</f>
        <v>7.9698790981737111E-6</v>
      </c>
      <c r="R37" s="24">
        <f t="shared" si="9"/>
        <v>1.7971640194774741E-3</v>
      </c>
      <c r="S37" s="24">
        <f t="shared" si="10"/>
        <v>-1.0692908366362894E-5</v>
      </c>
      <c r="T37" s="25">
        <f t="shared" si="11"/>
        <v>1.7609536699474929E-3</v>
      </c>
      <c r="U37" s="24">
        <f t="shared" si="12"/>
        <v>3.6210349529981192E-5</v>
      </c>
      <c r="BJ37" s="18"/>
      <c r="BS37" s="14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6"/>
    </row>
    <row r="38" spans="1:134" x14ac:dyDescent="0.25">
      <c r="A38" s="17"/>
      <c r="C38" s="8">
        <f>F13</f>
        <v>26</v>
      </c>
      <c r="D38" s="27">
        <f>G13</f>
        <v>4.5697600000000008E-3</v>
      </c>
      <c r="E38" s="23">
        <f>H13</f>
        <v>1.9085791332336447E-10</v>
      </c>
      <c r="F38" s="45">
        <f>M13</f>
        <v>2.2657599999999995E-3</v>
      </c>
      <c r="G38" s="45">
        <f>N13</f>
        <v>2.6926626227583728E-5</v>
      </c>
      <c r="H38" s="41">
        <f t="shared" si="3"/>
        <v>2.2788118475043796E-3</v>
      </c>
      <c r="I38" s="45">
        <f t="shared" si="4"/>
        <v>-1.3051847504380078E-5</v>
      </c>
      <c r="J38" s="43">
        <f t="shared" si="5"/>
        <v>2.3107378624377564E-3</v>
      </c>
      <c r="K38" s="43">
        <f t="shared" si="7"/>
        <v>-4.4977862437756925E-5</v>
      </c>
      <c r="L38" s="24">
        <f>S13</f>
        <v>2.2944099999999998E-3</v>
      </c>
      <c r="M38" s="24">
        <f>T13</f>
        <v>1.354816592753425E-5</v>
      </c>
      <c r="N38" s="24">
        <f t="shared" si="6"/>
        <v>2.33812996759217E-3</v>
      </c>
      <c r="O38" s="24">
        <f t="shared" si="8"/>
        <v>-4.3719967592170238E-5</v>
      </c>
      <c r="P38" s="24">
        <f>Y13</f>
        <v>2.614617777777778E-3</v>
      </c>
      <c r="Q38" s="24">
        <f>Z13</f>
        <v>9.6417937985792362E-6</v>
      </c>
      <c r="R38" s="24">
        <f t="shared" si="9"/>
        <v>2.3955122024394778E-3</v>
      </c>
      <c r="S38" s="24">
        <f t="shared" si="10"/>
        <v>2.1910557533830026E-4</v>
      </c>
      <c r="T38" s="51">
        <f t="shared" si="11"/>
        <v>2.3635357675560785E-3</v>
      </c>
      <c r="U38" s="52">
        <f t="shared" si="12"/>
        <v>3.1976434883399223E-5</v>
      </c>
      <c r="BJ38" s="18"/>
      <c r="BS38" s="17"/>
      <c r="DE38" s="18"/>
    </row>
    <row r="39" spans="1:134" x14ac:dyDescent="0.25">
      <c r="A39" s="17"/>
      <c r="C39" s="8">
        <f>F15</f>
        <v>27.5</v>
      </c>
      <c r="D39" s="27">
        <f>G15</f>
        <v>5.7191406250000016E-3</v>
      </c>
      <c r="E39" s="23">
        <f>H15</f>
        <v>3.7412981709492241E-10</v>
      </c>
      <c r="F39" s="24">
        <f>M15</f>
        <v>2.8944399999999999E-3</v>
      </c>
      <c r="G39" s="24">
        <f>N15</f>
        <v>3.0433875862269005E-5</v>
      </c>
      <c r="H39" s="7">
        <f t="shared" si="3"/>
        <v>2.8438354514720063E-3</v>
      </c>
      <c r="I39" s="24">
        <f t="shared" si="4"/>
        <v>5.0604548527993527E-5</v>
      </c>
      <c r="J39" s="2">
        <f t="shared" si="5"/>
        <v>2.8795732978053323E-3</v>
      </c>
      <c r="K39" s="2">
        <f t="shared" si="7"/>
        <v>1.4866702194667528E-5</v>
      </c>
      <c r="L39" s="24">
        <f>S15</f>
        <v>2.9484900000000002E-3</v>
      </c>
      <c r="M39" s="24">
        <f>T15</f>
        <v>1.5358359287371814E-5</v>
      </c>
      <c r="N39" s="24">
        <f t="shared" si="6"/>
        <v>2.9136439447302893E-3</v>
      </c>
      <c r="O39" s="24">
        <f t="shared" si="8"/>
        <v>3.4846055269710952E-5</v>
      </c>
      <c r="P39" s="24">
        <f>Y15</f>
        <v>2.9738844444444439E-3</v>
      </c>
      <c r="Q39" s="24">
        <f>Z15</f>
        <v>1.0282903946855039E-5</v>
      </c>
      <c r="R39" s="24">
        <f t="shared" si="9"/>
        <v>2.97036532415813E-3</v>
      </c>
      <c r="S39" s="24">
        <f t="shared" si="10"/>
        <v>3.5191202863139003E-6</v>
      </c>
      <c r="T39" s="25">
        <f t="shared" si="11"/>
        <v>2.9424565527539272E-3</v>
      </c>
      <c r="U39" s="24">
        <f t="shared" si="12"/>
        <v>2.7908771404202767E-5</v>
      </c>
      <c r="BJ39" s="18"/>
      <c r="BS39" s="17"/>
      <c r="DE39" s="18"/>
    </row>
    <row r="40" spans="1:134" x14ac:dyDescent="0.25">
      <c r="A40" s="17"/>
      <c r="C40" s="8">
        <f>F17</f>
        <v>28.8</v>
      </c>
      <c r="D40" s="27">
        <f>G17</f>
        <v>6.8797071360000026E-3</v>
      </c>
      <c r="E40" s="23">
        <f>H17</f>
        <v>6.512381722901786E-10</v>
      </c>
      <c r="F40" s="24">
        <f>M17</f>
        <v>3.4339599999999998E-3</v>
      </c>
      <c r="G40" s="24">
        <f>N17</f>
        <v>3.314916590202535E-5</v>
      </c>
      <c r="H40" s="7">
        <f t="shared" si="3"/>
        <v>3.414357921075454E-3</v>
      </c>
      <c r="I40" s="24">
        <f t="shared" si="4"/>
        <v>1.9602078924545793E-5</v>
      </c>
      <c r="J40" s="2">
        <f t="shared" si="5"/>
        <v>3.4539446959291819E-3</v>
      </c>
      <c r="K40" s="2">
        <f t="shared" si="7"/>
        <v>-1.9984695929182138E-5</v>
      </c>
      <c r="L40" s="24">
        <f>S17</f>
        <v>3.5164900000000006E-3</v>
      </c>
      <c r="M40" s="24">
        <f>T17</f>
        <v>1.6772572849744909E-5</v>
      </c>
      <c r="N40" s="24">
        <f t="shared" si="6"/>
        <v>3.4947588808541879E-3</v>
      </c>
      <c r="O40" s="24">
        <f t="shared" si="8"/>
        <v>2.1731119145812668E-5</v>
      </c>
      <c r="P40" s="24">
        <f>Y17</f>
        <v>3.5442177777777772E-3</v>
      </c>
      <c r="Q40" s="24">
        <f>Z17</f>
        <v>1.1225712988437101E-5</v>
      </c>
      <c r="R40" s="24">
        <f t="shared" si="9"/>
        <v>3.5508129733522126E-3</v>
      </c>
      <c r="S40" s="24">
        <f t="shared" si="10"/>
        <v>-6.5951955744354175E-6</v>
      </c>
      <c r="T40" s="25">
        <f t="shared" si="11"/>
        <v>3.527011452330774E-3</v>
      </c>
      <c r="U40" s="24">
        <f t="shared" si="12"/>
        <v>2.380152102143861E-5</v>
      </c>
      <c r="BJ40" s="18"/>
      <c r="BS40" s="17"/>
      <c r="DE40" s="18"/>
    </row>
    <row r="41" spans="1:134" x14ac:dyDescent="0.25">
      <c r="A41" s="17"/>
      <c r="C41" s="47">
        <f>F19</f>
        <v>30</v>
      </c>
      <c r="D41" s="48">
        <f>G19</f>
        <v>8.0999999999999996E-3</v>
      </c>
      <c r="E41" s="49">
        <f>H19</f>
        <v>1.0628819999999998E-9</v>
      </c>
      <c r="F41" s="45">
        <f>M19</f>
        <v>3.9438400000000014E-3</v>
      </c>
      <c r="G41" s="45">
        <f>N19</f>
        <v>3.5525044686812156E-5</v>
      </c>
      <c r="H41" s="41">
        <f t="shared" si="3"/>
        <v>4.0142412468564632E-3</v>
      </c>
      <c r="I41" s="45">
        <f t="shared" si="4"/>
        <v>-7.0401246856461805E-5</v>
      </c>
      <c r="J41" s="22">
        <f t="shared" si="5"/>
        <v>4.0578750280325128E-3</v>
      </c>
      <c r="K41" s="22">
        <f t="shared" si="7"/>
        <v>-1.1403502803251139E-4</v>
      </c>
      <c r="L41" s="45">
        <f>S19</f>
        <v>4.0068899999999991E-3</v>
      </c>
      <c r="M41" s="45">
        <f>T19</f>
        <v>1.7903943699643381E-5</v>
      </c>
      <c r="N41" s="45">
        <f t="shared" si="6"/>
        <v>4.1057797943430544E-3</v>
      </c>
      <c r="O41" s="45">
        <f t="shared" si="8"/>
        <v>-9.8889794343055316E-5</v>
      </c>
      <c r="P41" s="45">
        <f>Y19</f>
        <v>4.0704399999999998E-3</v>
      </c>
      <c r="Q41" s="45">
        <f>Z19</f>
        <v>1.2030243370587129E-5</v>
      </c>
      <c r="R41" s="45">
        <f t="shared" si="9"/>
        <v>4.1611322592557771E-3</v>
      </c>
      <c r="S41" s="45">
        <f t="shared" si="10"/>
        <v>-9.0692259255777292E-5</v>
      </c>
      <c r="T41" s="25">
        <f t="shared" si="11"/>
        <v>4.1416493604634341E-3</v>
      </c>
      <c r="U41" s="45">
        <f t="shared" si="12"/>
        <v>1.9482898792342988E-5</v>
      </c>
      <c r="BJ41" s="18"/>
      <c r="BS41" s="17"/>
      <c r="DE41" s="18"/>
    </row>
    <row r="42" spans="1:134" x14ac:dyDescent="0.25">
      <c r="A42" s="17"/>
      <c r="C42" s="8">
        <f>F21</f>
        <v>31</v>
      </c>
      <c r="D42" s="26">
        <f>G21</f>
        <v>9.2352100000000006E-3</v>
      </c>
      <c r="E42" s="23">
        <f>H21</f>
        <v>1.5753255675771E-9</v>
      </c>
      <c r="F42" s="24">
        <f>M21</f>
        <v>4.6240000000000005E-3</v>
      </c>
      <c r="G42" s="24">
        <f>N21</f>
        <v>3.8466608896548187E-5</v>
      </c>
      <c r="H42" s="7">
        <f t="shared" si="3"/>
        <v>4.5722987184273704E-3</v>
      </c>
      <c r="I42" s="24">
        <f t="shared" si="4"/>
        <v>5.1701281572630146E-5</v>
      </c>
      <c r="J42" s="2">
        <f t="shared" si="5"/>
        <v>4.619697335228292E-3</v>
      </c>
      <c r="K42" s="2">
        <f t="shared" si="7"/>
        <v>4.3026647717084657E-6</v>
      </c>
      <c r="L42" s="24">
        <f>S21</f>
        <v>4.7059600000000012E-3</v>
      </c>
      <c r="M42" s="24">
        <f>T21</f>
        <v>1.9403010075758868E-5</v>
      </c>
      <c r="N42" s="24">
        <f t="shared" si="6"/>
        <v>4.674198304083433E-3</v>
      </c>
      <c r="O42" s="24">
        <f t="shared" si="8"/>
        <v>3.1761695916568237E-5</v>
      </c>
      <c r="P42" s="24">
        <f>Y21</f>
        <v>4.7334400000000002E-3</v>
      </c>
      <c r="Q42" s="24">
        <f>Z21</f>
        <v>1.2973052412169193E-5</v>
      </c>
      <c r="R42" s="24">
        <f t="shared" si="9"/>
        <v>4.7288980612121409E-3</v>
      </c>
      <c r="S42" s="24">
        <f t="shared" si="10"/>
        <v>4.5419387878593495E-6</v>
      </c>
      <c r="T42" s="25">
        <f t="shared" si="11"/>
        <v>4.7134326759899602E-3</v>
      </c>
      <c r="U42" s="24">
        <f t="shared" si="12"/>
        <v>1.546538522218064E-5</v>
      </c>
      <c r="BJ42" s="18"/>
      <c r="BS42" s="17"/>
      <c r="BV42" s="60" t="s">
        <v>0</v>
      </c>
      <c r="BW42" s="60" t="s">
        <v>106</v>
      </c>
      <c r="BX42" s="60" t="s">
        <v>107</v>
      </c>
      <c r="BY42" s="57" t="s">
        <v>12</v>
      </c>
      <c r="BZ42" s="57"/>
      <c r="CA42" s="57"/>
      <c r="CB42" s="57"/>
      <c r="CC42" s="57"/>
      <c r="CD42" s="57"/>
      <c r="CE42" s="57" t="s">
        <v>13</v>
      </c>
      <c r="CF42" s="57"/>
      <c r="CG42" s="57"/>
      <c r="CH42" s="57"/>
      <c r="CI42" s="57" t="s">
        <v>14</v>
      </c>
      <c r="CJ42" s="57"/>
      <c r="CK42" s="57"/>
      <c r="CL42" s="57"/>
      <c r="DE42" s="18"/>
    </row>
    <row r="43" spans="1:134" ht="18" x14ac:dyDescent="0.25">
      <c r="A43" s="17"/>
      <c r="C43" s="8">
        <f>F23</f>
        <v>31.9</v>
      </c>
      <c r="D43" s="26">
        <f>G23</f>
        <v>1.0355301121000001E-2</v>
      </c>
      <c r="E43" s="23">
        <f>H23</f>
        <v>2.2208447114308658E-9</v>
      </c>
      <c r="F43" s="24">
        <f>M23</f>
        <v>5.1840000000000011E-3</v>
      </c>
      <c r="G43" s="24">
        <f>N23</f>
        <v>4.0729350596345144E-5</v>
      </c>
      <c r="H43" s="7">
        <f t="shared" si="3"/>
        <v>5.1229239057621221E-3</v>
      </c>
      <c r="I43" s="24">
        <f t="shared" si="4"/>
        <v>6.1076094237878971E-5</v>
      </c>
      <c r="J43" s="2">
        <f t="shared" si="5"/>
        <v>5.174037217602236E-3</v>
      </c>
      <c r="K43" s="2">
        <f t="shared" si="7"/>
        <v>9.9627823977651436E-6</v>
      </c>
      <c r="L43" s="24">
        <f>S23</f>
        <v>5.2562500000000014E-3</v>
      </c>
      <c r="M43" s="24">
        <f>T23</f>
        <v>2.0506096654409882E-5</v>
      </c>
      <c r="N43" s="24">
        <f t="shared" si="6"/>
        <v>5.2350465398920054E-3</v>
      </c>
      <c r="O43" s="24">
        <f t="shared" si="8"/>
        <v>2.1203460107995994E-5</v>
      </c>
      <c r="P43" s="24">
        <f>Y23</f>
        <v>5.2804444444444452E-3</v>
      </c>
      <c r="Q43" s="24">
        <f>Z23</f>
        <v>1.3702158070992658E-5</v>
      </c>
      <c r="R43" s="24">
        <f t="shared" si="9"/>
        <v>5.2891022820864874E-3</v>
      </c>
      <c r="S43" s="24">
        <f t="shared" si="10"/>
        <v>-8.6578376420421224E-6</v>
      </c>
      <c r="T43" s="25">
        <f t="shared" si="11"/>
        <v>5.277600904650034E-3</v>
      </c>
      <c r="U43" s="24">
        <f t="shared" si="12"/>
        <v>1.1501377436453318E-5</v>
      </c>
      <c r="BJ43" s="18"/>
      <c r="BS43" s="17"/>
      <c r="BV43" s="60"/>
      <c r="BW43" s="60"/>
      <c r="BX43" s="60"/>
      <c r="BY43" s="4" t="s">
        <v>108</v>
      </c>
      <c r="BZ43" s="4" t="s">
        <v>8</v>
      </c>
      <c r="CA43" s="4" t="s">
        <v>114</v>
      </c>
      <c r="CB43" s="4" t="s">
        <v>115</v>
      </c>
      <c r="CC43" s="4" t="s">
        <v>116</v>
      </c>
      <c r="CD43" s="4" t="s">
        <v>117</v>
      </c>
      <c r="CE43" s="4" t="s">
        <v>108</v>
      </c>
      <c r="CF43" s="4" t="s">
        <v>8</v>
      </c>
      <c r="CG43" s="4" t="s">
        <v>39</v>
      </c>
      <c r="CH43" s="4" t="s">
        <v>40</v>
      </c>
      <c r="CI43" s="4" t="s">
        <v>108</v>
      </c>
      <c r="CJ43" s="4" t="s">
        <v>8</v>
      </c>
      <c r="CK43" s="4" t="s">
        <v>39</v>
      </c>
      <c r="CL43" s="4" t="s">
        <v>40</v>
      </c>
      <c r="DE43" s="18"/>
    </row>
    <row r="44" spans="1:134" x14ac:dyDescent="0.25">
      <c r="A44" s="17"/>
      <c r="BJ44" s="18"/>
      <c r="BS44" s="17"/>
      <c r="BV44" s="8">
        <f t="shared" ref="BV44:BV55" si="13">C35</f>
        <v>18</v>
      </c>
      <c r="BW44" s="8">
        <f>(BV44/100)^2</f>
        <v>3.2399999999999998E-2</v>
      </c>
      <c r="BX44" s="8">
        <f t="shared" ref="BX44:BX55" si="14">ABS(2*BV44*G$3)</f>
        <v>1.8000000000000002E-2</v>
      </c>
      <c r="BY44" s="7">
        <f>K7</f>
        <v>2.3800000000000002E-2</v>
      </c>
      <c r="BZ44" s="7">
        <f>L7</f>
        <v>2.8284271247461902E-4</v>
      </c>
      <c r="CA44" s="7">
        <f t="shared" ref="CA44:CA55" si="15">BW44*BT$93+BU$93</f>
        <v>2.3108676886309781E-2</v>
      </c>
      <c r="CB44" s="7">
        <f>BY44-CA44</f>
        <v>6.9132311369022106E-4</v>
      </c>
      <c r="CC44" s="7">
        <f t="shared" ref="CC44:CC55" si="16">BY44*BY$93+BZ$93</f>
        <v>1.707082508590653E-2</v>
      </c>
      <c r="CD44" s="7">
        <f>CA44-CC44</f>
        <v>6.037851800403251E-3</v>
      </c>
      <c r="CE44" s="7">
        <f>Q7</f>
        <v>2.35E-2</v>
      </c>
      <c r="CF44" s="7">
        <f>R7</f>
        <v>1.4142135623730951E-4</v>
      </c>
      <c r="CG44" s="7">
        <f t="shared" ref="CG44:CG55" si="17">BW44*CE$93+CF$93</f>
        <v>2.3256066630294305E-2</v>
      </c>
      <c r="CH44" s="7">
        <f>CE44-CG44</f>
        <v>2.4393336970569487E-4</v>
      </c>
      <c r="CI44" s="24">
        <f>W7</f>
        <v>2.3666666666666666E-2</v>
      </c>
      <c r="CJ44" s="24">
        <f>X7</f>
        <v>9.4280904158206352E-5</v>
      </c>
      <c r="CK44" s="24">
        <f t="shared" ref="CK44:CK55" si="18">BW44*CL$93+CM$93</f>
        <v>2.3547869496638053E-2</v>
      </c>
      <c r="CL44" s="24">
        <f>CI44-CK44</f>
        <v>1.1879717002861306E-4</v>
      </c>
      <c r="DE44" s="18"/>
    </row>
    <row r="45" spans="1:134" x14ac:dyDescent="0.25">
      <c r="A45" s="17"/>
      <c r="AB45" s="61" t="s">
        <v>35</v>
      </c>
      <c r="AC45" s="61"/>
      <c r="AD45" s="61"/>
      <c r="AE45" s="61"/>
      <c r="AF45" s="61"/>
      <c r="BJ45" s="18"/>
      <c r="BS45" s="17"/>
      <c r="BV45" s="8">
        <f t="shared" si="13"/>
        <v>21.7</v>
      </c>
      <c r="BW45" s="8">
        <f t="shared" ref="BW45:BW55" si="19">(BV45/100)^2</f>
        <v>4.7088999999999999E-2</v>
      </c>
      <c r="BX45" s="8">
        <f t="shared" si="14"/>
        <v>2.1700000000000001E-2</v>
      </c>
      <c r="BY45" s="7">
        <f>K9</f>
        <v>3.4000000000000002E-2</v>
      </c>
      <c r="BZ45" s="7">
        <f>L9</f>
        <v>2.8284271247461902E-4</v>
      </c>
      <c r="CA45" s="7">
        <f t="shared" si="15"/>
        <v>3.3454465861210654E-2</v>
      </c>
      <c r="CB45" s="7">
        <f t="shared" ref="CB45:CB55" si="20">BY45-CA45</f>
        <v>5.4553413878934837E-4</v>
      </c>
      <c r="CC45" s="7">
        <f t="shared" si="16"/>
        <v>2.4257707225451182E-2</v>
      </c>
      <c r="CD45" s="7">
        <f t="shared" ref="CD45:CD55" si="21">CA45-CC45</f>
        <v>9.1967586357594722E-3</v>
      </c>
      <c r="CE45" s="7">
        <f>Q9</f>
        <v>3.44E-2</v>
      </c>
      <c r="CF45" s="7">
        <f>R9</f>
        <v>1.4142135623730951E-4</v>
      </c>
      <c r="CG45" s="7">
        <f t="shared" si="17"/>
        <v>3.3698626551189603E-2</v>
      </c>
      <c r="CH45" s="7">
        <f t="shared" ref="CH45:CH55" si="22">CE45-CG45</f>
        <v>7.0137344881039676E-4</v>
      </c>
      <c r="CI45" s="24">
        <f>W9</f>
        <v>3.44E-2</v>
      </c>
      <c r="CJ45" s="24">
        <f>X9</f>
        <v>9.4280904158206352E-5</v>
      </c>
      <c r="CK45" s="24">
        <f t="shared" si="18"/>
        <v>3.4068589966830605E-2</v>
      </c>
      <c r="CL45" s="24">
        <f t="shared" ref="CL45:CL55" si="23">CI45-CK45</f>
        <v>3.3141003316939505E-4</v>
      </c>
      <c r="DE45" s="18"/>
    </row>
    <row r="46" spans="1:134" x14ac:dyDescent="0.25">
      <c r="A46" s="17"/>
      <c r="BJ46" s="18"/>
      <c r="BS46" s="17"/>
      <c r="BV46" s="8">
        <f t="shared" si="13"/>
        <v>24.1</v>
      </c>
      <c r="BW46" s="8">
        <f t="shared" si="19"/>
        <v>5.8081000000000008E-2</v>
      </c>
      <c r="BX46" s="8">
        <f t="shared" si="14"/>
        <v>2.4100000000000003E-2</v>
      </c>
      <c r="BY46" s="7">
        <f>K11</f>
        <v>4.1800000000000004E-2</v>
      </c>
      <c r="BZ46" s="7">
        <f>L11</f>
        <v>2.8284271247461902E-4</v>
      </c>
      <c r="CA46" s="7">
        <f t="shared" si="15"/>
        <v>4.1196375617634534E-2</v>
      </c>
      <c r="CB46" s="7">
        <f t="shared" si="20"/>
        <v>6.0362438236546967E-4</v>
      </c>
      <c r="CC46" s="7">
        <f t="shared" si="16"/>
        <v>2.9753558273338272E-2</v>
      </c>
      <c r="CD46" s="7">
        <f t="shared" si="21"/>
        <v>1.1442817344296263E-2</v>
      </c>
      <c r="CE46" s="7">
        <f>Q11</f>
        <v>4.2099999999999999E-2</v>
      </c>
      <c r="CF46" s="7">
        <f>R11</f>
        <v>1.4142135623730951E-4</v>
      </c>
      <c r="CG46" s="7">
        <f t="shared" si="17"/>
        <v>4.1512951464422715E-2</v>
      </c>
      <c r="CH46" s="7">
        <f t="shared" si="22"/>
        <v>5.8704853557728365E-4</v>
      </c>
      <c r="CI46" s="24">
        <f>W11</f>
        <v>4.2266666666666668E-2</v>
      </c>
      <c r="CJ46" s="24">
        <f>X11</f>
        <v>9.4280904158206352E-5</v>
      </c>
      <c r="CK46" s="24">
        <f t="shared" si="18"/>
        <v>4.1941403596645881E-2</v>
      </c>
      <c r="CL46" s="24">
        <f t="shared" si="23"/>
        <v>3.2526307002078703E-4</v>
      </c>
      <c r="DE46" s="18"/>
      <c r="DI46" s="60" t="s">
        <v>0</v>
      </c>
      <c r="DJ46" s="60" t="s">
        <v>1</v>
      </c>
      <c r="DK46" s="60" t="s">
        <v>2</v>
      </c>
      <c r="DL46" s="57" t="s">
        <v>50</v>
      </c>
      <c r="DM46" s="57"/>
      <c r="DN46" s="57"/>
      <c r="DO46" s="57"/>
      <c r="DP46" s="57"/>
      <c r="DQ46" s="57"/>
      <c r="DY46" s="4" t="s">
        <v>52</v>
      </c>
      <c r="DZ46" s="4" t="s">
        <v>123</v>
      </c>
      <c r="EA46" s="4" t="s">
        <v>42</v>
      </c>
      <c r="EB46" s="4" t="s">
        <v>124</v>
      </c>
      <c r="EC46" s="4" t="s">
        <v>121</v>
      </c>
      <c r="ED46" s="4" t="s">
        <v>122</v>
      </c>
    </row>
    <row r="47" spans="1:134" ht="18" x14ac:dyDescent="0.25">
      <c r="A47" s="17"/>
      <c r="BJ47" s="18"/>
      <c r="BS47" s="17"/>
      <c r="BV47" s="8">
        <f t="shared" si="13"/>
        <v>26</v>
      </c>
      <c r="BW47" s="8">
        <f t="shared" si="19"/>
        <v>6.7600000000000007E-2</v>
      </c>
      <c r="BX47" s="8">
        <f t="shared" si="14"/>
        <v>2.6000000000000002E-2</v>
      </c>
      <c r="BY47" s="7">
        <f>K13</f>
        <v>4.7599999999999996E-2</v>
      </c>
      <c r="BZ47" s="7">
        <f>L13</f>
        <v>2.8284271247461902E-4</v>
      </c>
      <c r="CA47" s="7">
        <f t="shared" si="15"/>
        <v>4.7900818755498335E-2</v>
      </c>
      <c r="CB47" s="7">
        <f t="shared" si="20"/>
        <v>-3.0081875549833881E-4</v>
      </c>
      <c r="CC47" s="37">
        <f t="shared" si="16"/>
        <v>3.3840216744844047E-2</v>
      </c>
      <c r="CD47" s="37">
        <f t="shared" si="21"/>
        <v>1.4060602010654288E-2</v>
      </c>
      <c r="CE47" s="7">
        <f>Q13</f>
        <v>4.7899999999999998E-2</v>
      </c>
      <c r="CF47" s="7">
        <f>R13</f>
        <v>1.4142135623730951E-4</v>
      </c>
      <c r="CG47" s="7">
        <f t="shared" si="17"/>
        <v>4.8280105653748219E-2</v>
      </c>
      <c r="CH47" s="7">
        <f t="shared" si="22"/>
        <v>-3.8010565374822086E-4</v>
      </c>
      <c r="CI47" s="24">
        <f>W13</f>
        <v>5.1133333333333336E-2</v>
      </c>
      <c r="CJ47" s="24">
        <f>X13</f>
        <v>9.4280904158206352E-5</v>
      </c>
      <c r="CK47" s="24">
        <f t="shared" si="18"/>
        <v>4.875920863141768E-2</v>
      </c>
      <c r="CL47" s="24">
        <f t="shared" si="23"/>
        <v>2.3741247019156558E-3</v>
      </c>
      <c r="DE47" s="18"/>
      <c r="DI47" s="60"/>
      <c r="DJ47" s="60"/>
      <c r="DK47" s="60"/>
      <c r="DL47" s="4" t="s">
        <v>9</v>
      </c>
      <c r="DM47" s="4" t="s">
        <v>8</v>
      </c>
      <c r="DN47" s="4" t="s">
        <v>7</v>
      </c>
      <c r="DO47" s="4" t="s">
        <v>10</v>
      </c>
      <c r="DP47" s="4" t="s">
        <v>39</v>
      </c>
      <c r="DQ47" s="4" t="s">
        <v>40</v>
      </c>
      <c r="DY47" s="2">
        <f t="shared" ref="DY47:DY55" si="24">LOG(DI48/100)</f>
        <v>-0.74472749489669399</v>
      </c>
      <c r="DZ47" s="2">
        <f t="shared" ref="DZ47:DZ55" si="25">ABS(1/(LN(10)*DY47)*G$3)</f>
        <v>2.9157946019133858E-4</v>
      </c>
      <c r="EA47" s="2">
        <f t="shared" ref="EA47:EA55" si="26">LOG(DL48)</f>
        <v>-1.6260668480010023</v>
      </c>
      <c r="EB47" s="2">
        <f t="shared" ref="EB47:EB55" si="27">ABS(1/(LN(10)*EA47)*J$3)</f>
        <v>2.670827970185541E-4</v>
      </c>
      <c r="EC47" s="2">
        <f t="shared" ref="EC47:EC55" si="28">DY47*EA$78+EB$78</f>
        <v>-1.6192086259038834</v>
      </c>
      <c r="ED47" s="2">
        <f>EA47-EC47</f>
        <v>-6.8582220971189489E-3</v>
      </c>
    </row>
    <row r="48" spans="1:134" x14ac:dyDescent="0.25">
      <c r="A48" s="17"/>
      <c r="BJ48" s="18"/>
      <c r="BS48" s="17"/>
      <c r="BV48" s="8">
        <f t="shared" si="13"/>
        <v>27.5</v>
      </c>
      <c r="BW48" s="8">
        <f t="shared" si="19"/>
        <v>7.5625000000000012E-2</v>
      </c>
      <c r="BX48" s="8">
        <f t="shared" si="14"/>
        <v>2.75E-2</v>
      </c>
      <c r="BY48" s="7">
        <f>K15</f>
        <v>5.3800000000000001E-2</v>
      </c>
      <c r="BZ48" s="7">
        <f>L15</f>
        <v>2.8284271247461902E-4</v>
      </c>
      <c r="CA48" s="7">
        <f t="shared" si="15"/>
        <v>5.3553004508346012E-2</v>
      </c>
      <c r="CB48" s="7">
        <f t="shared" si="20"/>
        <v>2.4699549165398821E-4</v>
      </c>
      <c r="CC48" s="7">
        <f t="shared" si="16"/>
        <v>3.8208713731626098E-2</v>
      </c>
      <c r="CD48" s="7">
        <f t="shared" si="21"/>
        <v>1.5344290776719914E-2</v>
      </c>
      <c r="CE48" s="7">
        <f>Q15</f>
        <v>5.4300000000000001E-2</v>
      </c>
      <c r="CF48" s="7">
        <f>R15</f>
        <v>1.4142135623730951E-4</v>
      </c>
      <c r="CG48" s="7">
        <f t="shared" si="17"/>
        <v>5.3985160004975996E-2</v>
      </c>
      <c r="CH48" s="7">
        <f t="shared" si="22"/>
        <v>3.1483999502400495E-4</v>
      </c>
      <c r="CI48" s="24">
        <f>W15</f>
        <v>5.4533333333333329E-2</v>
      </c>
      <c r="CJ48" s="24">
        <f>X15</f>
        <v>9.4280904158206352E-5</v>
      </c>
      <c r="CK48" s="24">
        <f t="shared" si="18"/>
        <v>5.4506964215412186E-2</v>
      </c>
      <c r="CL48" s="24">
        <f t="shared" si="23"/>
        <v>2.6369117921143381E-5</v>
      </c>
      <c r="DE48" s="18"/>
      <c r="DI48" s="8">
        <f t="shared" ref="DI48:DI56" si="29">C35</f>
        <v>18</v>
      </c>
      <c r="DJ48" s="29">
        <f>D35</f>
        <v>1.0497599999999998E-3</v>
      </c>
      <c r="DK48" s="23">
        <f t="shared" ref="DK48:DK56" si="30">E35</f>
        <v>2.3136627628523507E-12</v>
      </c>
      <c r="DL48" s="7">
        <f>AVERAGE(K7,Q7,W7)</f>
        <v>2.3655555555555555E-2</v>
      </c>
      <c r="DM48" s="7">
        <f>_xlfn.STDEV.P(K7,Q7,W7)/SQRT(3)</f>
        <v>7.0856023961885523E-5</v>
      </c>
      <c r="DN48" s="25">
        <f>DL48^2</f>
        <v>5.5958530864197529E-4</v>
      </c>
      <c r="DO48" s="25">
        <f>_xlfn.STDEV.P(F35,L35,P35)/SQRT(3)</f>
        <v>3.3511081775101674E-6</v>
      </c>
      <c r="DP48" s="25">
        <f t="shared" ref="DP48:DP56" si="31">DJ48*DM$81+DN$81</f>
        <v>5.7351550489721575E-4</v>
      </c>
      <c r="DQ48" s="25">
        <f>DN48-DP48</f>
        <v>-1.3930196255240463E-5</v>
      </c>
      <c r="DY48" s="2">
        <f t="shared" si="24"/>
        <v>-0.66354026615147055</v>
      </c>
      <c r="DZ48" s="2">
        <f t="shared" si="25"/>
        <v>3.2725555935147473E-4</v>
      </c>
      <c r="EA48" s="2">
        <f t="shared" si="26"/>
        <v>-1.4651281400604055</v>
      </c>
      <c r="EB48" s="2">
        <f t="shared" si="27"/>
        <v>2.9642081810355944E-4</v>
      </c>
      <c r="EC48" s="2">
        <f t="shared" si="28"/>
        <v>-1.463116595401929</v>
      </c>
      <c r="ED48" s="2">
        <f t="shared" ref="ED48:ED55" si="32">EA48-EC48</f>
        <v>-2.0115446584765273E-3</v>
      </c>
    </row>
    <row r="49" spans="1:134" x14ac:dyDescent="0.25">
      <c r="A49" s="17"/>
      <c r="N49" s="58" t="s">
        <v>109</v>
      </c>
      <c r="O49" s="58"/>
      <c r="P49" s="58"/>
      <c r="Q49" s="58"/>
      <c r="BJ49" s="18"/>
      <c r="BS49" s="17"/>
      <c r="BV49" s="8">
        <f t="shared" si="13"/>
        <v>28.8</v>
      </c>
      <c r="BW49" s="8">
        <f t="shared" si="19"/>
        <v>8.2944000000000018E-2</v>
      </c>
      <c r="BX49" s="8">
        <f t="shared" si="14"/>
        <v>2.8800000000000003E-2</v>
      </c>
      <c r="BY49" s="7">
        <f>K17</f>
        <v>5.8599999999999999E-2</v>
      </c>
      <c r="BZ49" s="7">
        <f>L17</f>
        <v>2.8284271247461902E-4</v>
      </c>
      <c r="CA49" s="7">
        <f t="shared" si="15"/>
        <v>5.8707938779385536E-2</v>
      </c>
      <c r="CB49" s="7">
        <f t="shared" si="20"/>
        <v>-1.0793877938553714E-4</v>
      </c>
      <c r="CC49" s="7">
        <f t="shared" si="16"/>
        <v>4.1590775914941223E-2</v>
      </c>
      <c r="CD49" s="7">
        <f t="shared" si="21"/>
        <v>1.7117162864444313E-2</v>
      </c>
      <c r="CE49" s="7">
        <f>Q17</f>
        <v>5.9300000000000005E-2</v>
      </c>
      <c r="CF49" s="7">
        <f>R17</f>
        <v>1.4142135623730951E-4</v>
      </c>
      <c r="CG49" s="7">
        <f t="shared" si="17"/>
        <v>5.9188311755335635E-2</v>
      </c>
      <c r="CH49" s="7">
        <f t="shared" si="22"/>
        <v>1.1168824466437077E-4</v>
      </c>
      <c r="CI49" s="24">
        <f>W17</f>
        <v>5.9533333333333327E-2</v>
      </c>
      <c r="CJ49" s="24">
        <f>X17</f>
        <v>9.4280904158206352E-5</v>
      </c>
      <c r="CK49" s="24">
        <f t="shared" si="18"/>
        <v>5.9749060554260255E-2</v>
      </c>
      <c r="CL49" s="24">
        <f t="shared" si="23"/>
        <v>-2.1572722092692842E-4</v>
      </c>
      <c r="DE49" s="18"/>
      <c r="DI49" s="8">
        <f t="shared" si="29"/>
        <v>21.7</v>
      </c>
      <c r="DJ49" s="28">
        <f t="shared" ref="DJ49:DJ56" si="33">D36</f>
        <v>2.2173739209999997E-3</v>
      </c>
      <c r="DK49" s="23">
        <f t="shared" si="30"/>
        <v>2.180453361591296E-11</v>
      </c>
      <c r="DL49" s="7">
        <f>AVERAGE(K9,Q9,W9)</f>
        <v>3.4266666666666667E-2</v>
      </c>
      <c r="DM49" s="7">
        <f>_xlfn.STDEV.P(K9,Q9,W9)/SQRT(3)</f>
        <v>1.0886621079036282E-4</v>
      </c>
      <c r="DN49" s="24">
        <f>AVERAGE(F36,L36,P36)</f>
        <v>1.1742400000000002E-3</v>
      </c>
      <c r="DO49" s="24">
        <f>_xlfn.STDEV.P(F36,L36,P36)/SQRT(3)</f>
        <v>7.4464488180608418E-6</v>
      </c>
      <c r="DP49" s="24">
        <f t="shared" si="31"/>
        <v>1.1572926818883406E-3</v>
      </c>
      <c r="DQ49" s="24">
        <f t="shared" ref="DQ49:DQ56" si="34">DN49-DP49</f>
        <v>1.6947318111659639E-5</v>
      </c>
      <c r="DY49" s="2">
        <f t="shared" si="24"/>
        <v>-0.61798295742513154</v>
      </c>
      <c r="DZ49" s="2">
        <f t="shared" si="25"/>
        <v>3.5138063006848088E-4</v>
      </c>
      <c r="EA49" s="2">
        <f t="shared" si="26"/>
        <v>-1.3761766256032333</v>
      </c>
      <c r="EB49" s="2">
        <f t="shared" si="27"/>
        <v>3.1558048133020945E-4</v>
      </c>
      <c r="EC49" s="2">
        <f t="shared" si="28"/>
        <v>-1.375527291847618</v>
      </c>
      <c r="ED49" s="2">
        <f t="shared" si="32"/>
        <v>-6.4933375561526674E-4</v>
      </c>
    </row>
    <row r="50" spans="1:134" x14ac:dyDescent="0.25">
      <c r="A50" s="17"/>
      <c r="N50" s="44" t="s">
        <v>112</v>
      </c>
      <c r="O50" s="44" t="s">
        <v>113</v>
      </c>
      <c r="P50" s="44" t="s">
        <v>110</v>
      </c>
      <c r="Q50" s="44" t="s">
        <v>111</v>
      </c>
      <c r="BJ50" s="18"/>
      <c r="BS50" s="17"/>
      <c r="BV50" s="8">
        <f t="shared" si="13"/>
        <v>30</v>
      </c>
      <c r="BW50" s="8">
        <f t="shared" si="19"/>
        <v>0.09</v>
      </c>
      <c r="BX50" s="8">
        <f t="shared" si="14"/>
        <v>0.03</v>
      </c>
      <c r="BY50" s="7">
        <f>K19</f>
        <v>6.2800000000000009E-2</v>
      </c>
      <c r="BZ50" s="7">
        <f>L19</f>
        <v>2.8284271247461902E-4</v>
      </c>
      <c r="CA50" s="7">
        <f t="shared" si="15"/>
        <v>6.3677636308618307E-2</v>
      </c>
      <c r="CB50" s="7">
        <f t="shared" si="20"/>
        <v>-8.7763630861829867E-4</v>
      </c>
      <c r="CC50" s="7">
        <f t="shared" si="16"/>
        <v>4.4550080325341974E-2</v>
      </c>
      <c r="CD50" s="7">
        <f t="shared" si="21"/>
        <v>1.9127555983276333E-2</v>
      </c>
      <c r="CE50" s="7">
        <f>Q19</f>
        <v>6.3299999999999995E-2</v>
      </c>
      <c r="CF50" s="7">
        <f>R19</f>
        <v>1.4142135623730951E-4</v>
      </c>
      <c r="CG50" s="7">
        <f t="shared" si="17"/>
        <v>6.420449412321888E-2</v>
      </c>
      <c r="CH50" s="7">
        <f t="shared" si="22"/>
        <v>-9.0449412321888523E-4</v>
      </c>
      <c r="CI50" s="24">
        <f>W19</f>
        <v>6.3799999999999996E-2</v>
      </c>
      <c r="CJ50" s="24">
        <f>X19</f>
        <v>9.4280904158206352E-5</v>
      </c>
      <c r="CK50" s="24">
        <f t="shared" si="18"/>
        <v>6.4802788080822876E-2</v>
      </c>
      <c r="CL50" s="24">
        <f t="shared" si="23"/>
        <v>-1.0027880808228806E-3</v>
      </c>
      <c r="DE50" s="18"/>
      <c r="DI50" s="8">
        <f t="shared" si="29"/>
        <v>24.1</v>
      </c>
      <c r="DJ50" s="28">
        <f t="shared" si="33"/>
        <v>3.373402561000001E-3</v>
      </c>
      <c r="DK50" s="23">
        <f t="shared" si="30"/>
        <v>7.6777595444371099E-11</v>
      </c>
      <c r="DL50" s="7">
        <f>AVERAGE(K11,Q11,W11)</f>
        <v>4.2055555555555561E-2</v>
      </c>
      <c r="DM50" s="7">
        <f>_xlfn.STDEV.P(K11,Q11,W11)/SQRT(3)</f>
        <v>1.1148086624660964E-4</v>
      </c>
      <c r="DN50" s="24">
        <f>AVERAGE(F37,L37,P37)</f>
        <v>1.7687070370370371E-3</v>
      </c>
      <c r="DO50" s="24">
        <f>_xlfn.STDEV.P(F37,L37,P37)/SQRT(3)</f>
        <v>9.3696195912568116E-6</v>
      </c>
      <c r="DP50" s="24">
        <f t="shared" si="31"/>
        <v>1.7352775138969427E-3</v>
      </c>
      <c r="DQ50" s="24">
        <f t="shared" si="34"/>
        <v>3.3429523140094362E-5</v>
      </c>
      <c r="DY50" s="2">
        <f t="shared" si="24"/>
        <v>-0.58502665202918203</v>
      </c>
      <c r="DZ50" s="2">
        <f t="shared" si="25"/>
        <v>3.7117495450582355E-4</v>
      </c>
      <c r="EA50" s="2">
        <f t="shared" si="26"/>
        <v>-1.3052485985799795</v>
      </c>
      <c r="EB50" s="2">
        <f t="shared" si="27"/>
        <v>3.3272932250280466E-4</v>
      </c>
      <c r="EC50" s="2">
        <f t="shared" si="28"/>
        <v>-1.3121649046027037</v>
      </c>
      <c r="ED50" s="2">
        <f t="shared" si="32"/>
        <v>6.9163060227241946E-3</v>
      </c>
    </row>
    <row r="51" spans="1:134" x14ac:dyDescent="0.25">
      <c r="A51" s="17"/>
      <c r="N51" s="8" cm="1">
        <f t="array" ref="N51:N56">D35:D40</f>
        <v>1.0497599999999998E-3</v>
      </c>
      <c r="O51" s="24" cm="1">
        <f t="array" ref="O51:O56">F35:F40</f>
        <v>5.6644000000000009E-4</v>
      </c>
      <c r="P51" s="2">
        <f t="shared" ref="P51:P58" si="35">N51*I$67+J$67</f>
        <v>5.6866853488678356E-4</v>
      </c>
      <c r="Q51" s="24">
        <f>O51-P51</f>
        <v>-2.2285348867834721E-6</v>
      </c>
      <c r="BJ51" s="18"/>
      <c r="BS51" s="17"/>
      <c r="BV51" s="8">
        <f t="shared" si="13"/>
        <v>31</v>
      </c>
      <c r="BW51" s="8">
        <f t="shared" si="19"/>
        <v>9.6100000000000005E-2</v>
      </c>
      <c r="BX51" s="8">
        <f t="shared" si="14"/>
        <v>3.1E-2</v>
      </c>
      <c r="BY51" s="7">
        <f>K21</f>
        <v>6.8000000000000005E-2</v>
      </c>
      <c r="BZ51" s="7">
        <f>L21</f>
        <v>2.8284271247461902E-4</v>
      </c>
      <c r="CA51" s="7">
        <f t="shared" si="15"/>
        <v>6.7974001802994732E-2</v>
      </c>
      <c r="CB51" s="7">
        <f t="shared" si="20"/>
        <v>2.5998197005272505E-5</v>
      </c>
      <c r="CC51" s="7">
        <f t="shared" si="16"/>
        <v>4.8213981023933358E-2</v>
      </c>
      <c r="CD51" s="7">
        <f t="shared" si="21"/>
        <v>1.9760020779061374E-2</v>
      </c>
      <c r="CE51" s="7">
        <f>Q21</f>
        <v>6.8600000000000008E-2</v>
      </c>
      <c r="CF51" s="7">
        <f>R21</f>
        <v>1.4142135623730951E-4</v>
      </c>
      <c r="CG51" s="7">
        <f t="shared" si="17"/>
        <v>6.8541046340351519E-2</v>
      </c>
      <c r="CH51" s="7">
        <f t="shared" si="22"/>
        <v>5.8953659648489087E-5</v>
      </c>
      <c r="CI51" s="24">
        <f>W21</f>
        <v>6.88E-2</v>
      </c>
      <c r="CJ51" s="24">
        <f>X21</f>
        <v>9.4280904158206352E-5</v>
      </c>
      <c r="CK51" s="24">
        <f t="shared" si="18"/>
        <v>6.9171798555884123E-2</v>
      </c>
      <c r="CL51" s="24">
        <f t="shared" si="23"/>
        <v>-3.7179855588412303E-4</v>
      </c>
      <c r="DE51" s="18"/>
      <c r="DI51" s="8">
        <f t="shared" si="29"/>
        <v>26</v>
      </c>
      <c r="DJ51" s="27">
        <f t="shared" si="33"/>
        <v>4.5697600000000008E-3</v>
      </c>
      <c r="DK51" s="23">
        <f t="shared" si="30"/>
        <v>1.9085791332336447E-10</v>
      </c>
      <c r="DL51" s="7">
        <f>AVERAGE(Q13,W13)</f>
        <v>4.9516666666666667E-2</v>
      </c>
      <c r="DM51" s="7">
        <f>_xlfn.STDEV.P(Q13,W13)/SQRT(2)</f>
        <v>1.1431559629182535E-3</v>
      </c>
      <c r="DN51" s="34">
        <f>AVERAGE(F38,L38)</f>
        <v>2.2800849999999994E-3</v>
      </c>
      <c r="DO51" s="34">
        <f>_xlfn.STDEV.P(F38,L38)/SQRT(2)</f>
        <v>1.0129304640497394E-5</v>
      </c>
      <c r="DP51" s="24">
        <f t="shared" si="31"/>
        <v>2.3334257166980911E-3</v>
      </c>
      <c r="DQ51" s="24">
        <f t="shared" si="34"/>
        <v>-5.3340716698091744E-5</v>
      </c>
      <c r="DY51" s="2">
        <f t="shared" si="24"/>
        <v>-0.56066730616973737</v>
      </c>
      <c r="DZ51" s="2">
        <f t="shared" si="25"/>
        <v>3.8730141487131113E-4</v>
      </c>
      <c r="EA51" s="2">
        <f t="shared" si="26"/>
        <v>-1.2659116913270587</v>
      </c>
      <c r="EB51" s="2">
        <f t="shared" si="27"/>
        <v>3.4306854489034674E-4</v>
      </c>
      <c r="EC51" s="2">
        <f t="shared" si="28"/>
        <v>-1.2653311868411059</v>
      </c>
      <c r="ED51" s="2">
        <f t="shared" si="32"/>
        <v>-5.8050448595281523E-4</v>
      </c>
    </row>
    <row r="52" spans="1:134" x14ac:dyDescent="0.25">
      <c r="A52" s="17"/>
      <c r="N52" s="2">
        <v>2.2173739209999997E-3</v>
      </c>
      <c r="O52" s="2">
        <v>1.1560000000000001E-3</v>
      </c>
      <c r="P52" s="2">
        <f t="shared" si="35"/>
        <v>1.1465277389196313E-3</v>
      </c>
      <c r="Q52" s="2">
        <f t="shared" ref="Q52:Q58" si="36">O52-P52</f>
        <v>9.4722610803688653E-6</v>
      </c>
      <c r="AY52" s="58" t="s">
        <v>109</v>
      </c>
      <c r="AZ52" s="58"/>
      <c r="BA52" s="58"/>
      <c r="BB52" s="58"/>
      <c r="BJ52" s="18"/>
      <c r="BS52" s="17"/>
      <c r="BV52" s="8">
        <f t="shared" si="13"/>
        <v>31.9</v>
      </c>
      <c r="BW52" s="8">
        <f t="shared" si="19"/>
        <v>0.101761</v>
      </c>
      <c r="BX52" s="8">
        <f t="shared" si="14"/>
        <v>3.1899999999999998E-2</v>
      </c>
      <c r="BY52" s="7">
        <f>K23</f>
        <v>7.2000000000000008E-2</v>
      </c>
      <c r="BZ52" s="7">
        <f>L23</f>
        <v>2.8284271247461902E-4</v>
      </c>
      <c r="CA52" s="7">
        <f t="shared" si="15"/>
        <v>7.1961169846218503E-2</v>
      </c>
      <c r="CB52" s="7">
        <f t="shared" si="20"/>
        <v>3.8830153781505006E-5</v>
      </c>
      <c r="CC52" s="7">
        <f t="shared" si="16"/>
        <v>5.1032366176695973E-2</v>
      </c>
      <c r="CD52" s="7">
        <f t="shared" si="21"/>
        <v>2.092880366952253E-2</v>
      </c>
      <c r="CE52" s="7">
        <f>Q23</f>
        <v>7.2500000000000009E-2</v>
      </c>
      <c r="CF52" s="7">
        <f>R23</f>
        <v>1.4142135623730951E-4</v>
      </c>
      <c r="CG52" s="7">
        <f t="shared" si="17"/>
        <v>7.2565508979890517E-2</v>
      </c>
      <c r="CH52" s="7">
        <f t="shared" si="22"/>
        <v>-6.5508979890507857E-5</v>
      </c>
      <c r="CI52" s="24">
        <f>W23</f>
        <v>7.2666666666666671E-2</v>
      </c>
      <c r="CJ52" s="24">
        <f>X23</f>
        <v>9.4280904158206352E-5</v>
      </c>
      <c r="CK52" s="24">
        <f t="shared" si="18"/>
        <v>7.3226383522986049E-2</v>
      </c>
      <c r="CL52" s="24">
        <f t="shared" si="23"/>
        <v>-5.5971685631937829E-4</v>
      </c>
      <c r="DE52" s="18"/>
      <c r="DI52" s="8">
        <f t="shared" si="29"/>
        <v>27.5</v>
      </c>
      <c r="DJ52" s="27">
        <f t="shared" si="33"/>
        <v>5.7191406250000016E-3</v>
      </c>
      <c r="DK52" s="23">
        <f t="shared" si="30"/>
        <v>3.7412981709492241E-10</v>
      </c>
      <c r="DL52" s="7">
        <f>AVERAGE(K15,Q15,W15)</f>
        <v>5.4211111111111106E-2</v>
      </c>
      <c r="DM52" s="7">
        <f>_xlfn.STDEV.P(K15,Q15,W15)/SQRT(3)</f>
        <v>1.7661657803801932E-4</v>
      </c>
      <c r="DN52" s="7">
        <f>AVERAGE(F39,L39,P39)</f>
        <v>2.9389381481481481E-3</v>
      </c>
      <c r="DO52" s="7">
        <f>_xlfn.STDEV.P(F39,L39,P39)/SQRT(3)</f>
        <v>1.9126963769165646E-5</v>
      </c>
      <c r="DP52" s="7">
        <f t="shared" si="31"/>
        <v>2.9080867107843336E-3</v>
      </c>
      <c r="DQ52" s="7">
        <f t="shared" si="34"/>
        <v>3.0851437363814578E-5</v>
      </c>
      <c r="DY52" s="2">
        <f t="shared" si="24"/>
        <v>-0.54060751224076908</v>
      </c>
      <c r="DZ52" s="2">
        <f t="shared" si="25"/>
        <v>4.0167262946748606E-4</v>
      </c>
      <c r="EA52" s="2">
        <f t="shared" si="26"/>
        <v>-1.2280860432665701</v>
      </c>
      <c r="EB52" s="2">
        <f t="shared" si="27"/>
        <v>3.5363522310544106E-4</v>
      </c>
      <c r="EC52" s="2">
        <f t="shared" si="28"/>
        <v>-1.226763865179598</v>
      </c>
      <c r="ED52" s="2">
        <f t="shared" si="32"/>
        <v>-1.3221780869721034E-3</v>
      </c>
    </row>
    <row r="53" spans="1:134" x14ac:dyDescent="0.25">
      <c r="A53" s="17"/>
      <c r="N53" s="2">
        <v>3.373402561000001E-3</v>
      </c>
      <c r="O53" s="2">
        <v>1.7472400000000004E-3</v>
      </c>
      <c r="P53" s="2">
        <f t="shared" si="35"/>
        <v>1.7186533171907868E-3</v>
      </c>
      <c r="Q53" s="2">
        <f t="shared" si="36"/>
        <v>2.8586682809213617E-5</v>
      </c>
      <c r="AY53" s="44" t="s">
        <v>112</v>
      </c>
      <c r="AZ53" s="44" t="s">
        <v>113</v>
      </c>
      <c r="BA53" s="44" t="s">
        <v>110</v>
      </c>
      <c r="BB53" s="44" t="s">
        <v>111</v>
      </c>
      <c r="BJ53" s="18"/>
      <c r="BS53" s="17"/>
      <c r="BV53" s="8">
        <f t="shared" si="13"/>
        <v>0</v>
      </c>
      <c r="BW53" s="8">
        <f t="shared" si="19"/>
        <v>0</v>
      </c>
      <c r="BX53" s="8">
        <f t="shared" si="14"/>
        <v>0</v>
      </c>
      <c r="BY53" s="7">
        <f>K25</f>
        <v>0</v>
      </c>
      <c r="BZ53" s="7">
        <f>L25</f>
        <v>0</v>
      </c>
      <c r="CA53" s="7">
        <f t="shared" si="15"/>
        <v>2.8863721126123204E-4</v>
      </c>
      <c r="CB53" s="7">
        <f t="shared" si="20"/>
        <v>-2.8863721126123204E-4</v>
      </c>
      <c r="CC53" s="7">
        <f t="shared" si="16"/>
        <v>3.0143342696900555E-4</v>
      </c>
      <c r="CD53" s="7">
        <f t="shared" si="21"/>
        <v>-1.2796215707773506E-5</v>
      </c>
      <c r="CE53" s="7">
        <f>Q25</f>
        <v>0</v>
      </c>
      <c r="CF53" s="7">
        <f>R25</f>
        <v>0</v>
      </c>
      <c r="CG53" s="7">
        <f t="shared" si="17"/>
        <v>2.2257616552423531E-4</v>
      </c>
      <c r="CH53" s="7">
        <f t="shared" si="22"/>
        <v>-2.2257616552423531E-4</v>
      </c>
      <c r="CI53" s="24">
        <f>W25</f>
        <v>0</v>
      </c>
      <c r="CJ53" s="24">
        <f>X25</f>
        <v>0</v>
      </c>
      <c r="CK53" s="24">
        <f t="shared" si="18"/>
        <v>3.419777930340831E-4</v>
      </c>
      <c r="CL53" s="24">
        <f t="shared" si="23"/>
        <v>-3.419777930340831E-4</v>
      </c>
      <c r="DE53" s="18"/>
      <c r="DI53" s="8">
        <f t="shared" si="29"/>
        <v>28.8</v>
      </c>
      <c r="DJ53" s="26">
        <f t="shared" si="33"/>
        <v>6.8797071360000026E-3</v>
      </c>
      <c r="DK53" s="23">
        <f t="shared" si="30"/>
        <v>6.512381722901786E-10</v>
      </c>
      <c r="DL53" s="7">
        <f>AVERAGE(K17,Q17,W17)</f>
        <v>5.9144444444444444E-2</v>
      </c>
      <c r="DM53" s="7">
        <f>_xlfn.STDEV.P(K17,Q17,W17)/SQRT(3)</f>
        <v>2.2897157801590656E-4</v>
      </c>
      <c r="DN53" s="7">
        <f>AVERAGE(F40,L40,P40)</f>
        <v>3.4982225925925922E-3</v>
      </c>
      <c r="DO53" s="7">
        <f>_xlfn.STDEV.P(F40,L40,P40)/SQRT(3)</f>
        <v>2.7036880244767748E-5</v>
      </c>
      <c r="DP53" s="7">
        <f t="shared" si="31"/>
        <v>3.4883403625408714E-3</v>
      </c>
      <c r="DQ53" s="7">
        <f t="shared" si="34"/>
        <v>9.8822300517208486E-6</v>
      </c>
      <c r="DY53" s="2">
        <f t="shared" si="24"/>
        <v>-0.52287874528033762</v>
      </c>
      <c r="DZ53" s="2">
        <f t="shared" si="25"/>
        <v>4.1529177254126862E-4</v>
      </c>
      <c r="EA53" s="2">
        <f t="shared" si="26"/>
        <v>-1.1968844451099732</v>
      </c>
      <c r="EB53" s="2">
        <f t="shared" si="27"/>
        <v>3.6285414492403032E-4</v>
      </c>
      <c r="EC53" s="2">
        <f t="shared" si="28"/>
        <v>-1.1926782180166196</v>
      </c>
      <c r="ED53" s="2">
        <f t="shared" si="32"/>
        <v>-4.2062270933536094E-3</v>
      </c>
    </row>
    <row r="54" spans="1:134" x14ac:dyDescent="0.25">
      <c r="A54" s="17"/>
      <c r="N54" s="2">
        <v>4.5697600000000008E-3</v>
      </c>
      <c r="O54" s="2">
        <v>2.2657599999999995E-3</v>
      </c>
      <c r="P54" s="2">
        <f t="shared" si="35"/>
        <v>2.3107378624377564E-3</v>
      </c>
      <c r="Q54" s="2">
        <f t="shared" si="36"/>
        <v>-4.4977862437756925E-5</v>
      </c>
      <c r="AY54" s="24" cm="1">
        <f t="array" ref="AY54:AY56">D35:D37</f>
        <v>1.0497599999999998E-3</v>
      </c>
      <c r="AZ54" s="8" cm="1">
        <f t="array" ref="AZ54:AZ56">P35:P37</f>
        <v>5.6011111111111105E-4</v>
      </c>
      <c r="BA54" s="2">
        <f>AY54*AS$68+AT$68</f>
        <v>5.9057986454838041E-4</v>
      </c>
      <c r="BB54" s="24">
        <f>AZ54-BA54</f>
        <v>-3.0468753437269355E-5</v>
      </c>
      <c r="BJ54" s="18"/>
      <c r="BS54" s="17"/>
      <c r="BV54" s="8">
        <f t="shared" si="13"/>
        <v>0</v>
      </c>
      <c r="BW54" s="8">
        <f t="shared" si="19"/>
        <v>0</v>
      </c>
      <c r="BX54" s="8">
        <f t="shared" si="14"/>
        <v>0</v>
      </c>
      <c r="BY54" s="7">
        <f>K27</f>
        <v>0</v>
      </c>
      <c r="BZ54" s="7">
        <f>L27</f>
        <v>0</v>
      </c>
      <c r="CA54" s="7">
        <f t="shared" si="15"/>
        <v>2.8863721126123204E-4</v>
      </c>
      <c r="CB54" s="7">
        <f t="shared" si="20"/>
        <v>-2.8863721126123204E-4</v>
      </c>
      <c r="CC54" s="7">
        <f t="shared" si="16"/>
        <v>3.0143342696900555E-4</v>
      </c>
      <c r="CD54" s="7">
        <f t="shared" si="21"/>
        <v>-1.2796215707773506E-5</v>
      </c>
      <c r="CE54" s="7">
        <f>Q27</f>
        <v>0</v>
      </c>
      <c r="CF54" s="7">
        <f>R27</f>
        <v>0</v>
      </c>
      <c r="CG54" s="7">
        <f t="shared" si="17"/>
        <v>2.2257616552423531E-4</v>
      </c>
      <c r="CH54" s="7">
        <f t="shared" si="22"/>
        <v>-2.2257616552423531E-4</v>
      </c>
      <c r="CI54" s="24">
        <f>W27</f>
        <v>0</v>
      </c>
      <c r="CJ54" s="24">
        <f>X27</f>
        <v>0</v>
      </c>
      <c r="CK54" s="24">
        <f t="shared" si="18"/>
        <v>3.419777930340831E-4</v>
      </c>
      <c r="CL54" s="24">
        <f t="shared" si="23"/>
        <v>-3.419777930340831E-4</v>
      </c>
      <c r="DE54" s="18"/>
      <c r="DI54" s="8">
        <f t="shared" si="29"/>
        <v>30</v>
      </c>
      <c r="DJ54" s="26">
        <f t="shared" si="33"/>
        <v>8.0999999999999996E-3</v>
      </c>
      <c r="DK54" s="23">
        <f t="shared" si="30"/>
        <v>1.0628819999999998E-9</v>
      </c>
      <c r="DL54" s="7">
        <f>AVERAGE(Q19,W19)</f>
        <v>6.3549999999999995E-2</v>
      </c>
      <c r="DM54" s="7">
        <f>_xlfn.STDEV.P(Q19,W19)/SQRT(2)</f>
        <v>1.7677669529663701E-4</v>
      </c>
      <c r="DN54" s="39">
        <f>AVERAGE(L41,P41)</f>
        <v>4.0386649999999994E-3</v>
      </c>
      <c r="DO54" s="39">
        <f>_xlfn.STDEV.P(L41,P41)/SQRT(2)</f>
        <v>2.2468317972202814E-5</v>
      </c>
      <c r="DP54" s="7">
        <f t="shared" si="31"/>
        <v>4.0984556672969321E-3</v>
      </c>
      <c r="DQ54" s="7">
        <f t="shared" si="34"/>
        <v>-5.9790667296932658E-5</v>
      </c>
      <c r="DY54" s="2">
        <f t="shared" si="24"/>
        <v>-0.50863830616572736</v>
      </c>
      <c r="DZ54" s="2">
        <f t="shared" si="25"/>
        <v>4.2691877178608283E-4</v>
      </c>
      <c r="EA54" s="2">
        <f t="shared" si="26"/>
        <v>-1.164520815458403</v>
      </c>
      <c r="EB54" s="2">
        <f t="shared" si="27"/>
        <v>3.7293835896981862E-4</v>
      </c>
      <c r="EC54" s="2">
        <f t="shared" si="28"/>
        <v>-1.1652992928951025</v>
      </c>
      <c r="ED54" s="2">
        <f t="shared" si="32"/>
        <v>7.7847743669945402E-4</v>
      </c>
    </row>
    <row r="55" spans="1:134" x14ac:dyDescent="0.25">
      <c r="A55" s="17"/>
      <c r="N55" s="2">
        <v>5.7191406250000016E-3</v>
      </c>
      <c r="O55" s="2">
        <v>2.8944399999999999E-3</v>
      </c>
      <c r="P55" s="2">
        <f t="shared" si="35"/>
        <v>2.8795732978053323E-3</v>
      </c>
      <c r="Q55" s="2">
        <f t="shared" si="36"/>
        <v>1.4866702194667528E-5</v>
      </c>
      <c r="AY55" s="24">
        <v>2.2173739209999997E-3</v>
      </c>
      <c r="AZ55" s="2">
        <v>1.1833600000000001E-3</v>
      </c>
      <c r="BA55" s="2">
        <f t="shared" ref="BA55:BA61" si="37">AY55*AS$68+AT$68</f>
        <v>1.1786844082048898E-3</v>
      </c>
      <c r="BB55" s="2">
        <f t="shared" ref="BB55:BB61" si="38">AZ55-BA55</f>
        <v>4.6755917951103038E-6</v>
      </c>
      <c r="BJ55" s="18"/>
      <c r="BS55" s="17"/>
      <c r="BV55" s="8">
        <f t="shared" si="13"/>
        <v>0</v>
      </c>
      <c r="BW55" s="8">
        <f t="shared" si="19"/>
        <v>0</v>
      </c>
      <c r="BX55" s="8">
        <f t="shared" si="14"/>
        <v>0</v>
      </c>
      <c r="BY55" s="7">
        <f>K29</f>
        <v>0</v>
      </c>
      <c r="BZ55" s="7">
        <f>L29</f>
        <v>0</v>
      </c>
      <c r="CA55" s="7">
        <f t="shared" si="15"/>
        <v>2.8863721126123204E-4</v>
      </c>
      <c r="CB55" s="7">
        <f t="shared" si="20"/>
        <v>-2.8863721126123204E-4</v>
      </c>
      <c r="CC55" s="7">
        <f t="shared" si="16"/>
        <v>3.0143342696900555E-4</v>
      </c>
      <c r="CD55" s="7">
        <f t="shared" si="21"/>
        <v>-1.2796215707773506E-5</v>
      </c>
      <c r="CE55" s="7">
        <f>Q29</f>
        <v>0</v>
      </c>
      <c r="CF55" s="7">
        <f>R29</f>
        <v>0</v>
      </c>
      <c r="CG55" s="7">
        <f t="shared" si="17"/>
        <v>2.2257616552423531E-4</v>
      </c>
      <c r="CH55" s="7">
        <f t="shared" si="22"/>
        <v>-2.2257616552423531E-4</v>
      </c>
      <c r="CI55" s="24">
        <f>W29</f>
        <v>0</v>
      </c>
      <c r="CJ55" s="24">
        <f>X29</f>
        <v>0</v>
      </c>
      <c r="CK55" s="24">
        <f t="shared" si="18"/>
        <v>3.419777930340831E-4</v>
      </c>
      <c r="CL55" s="24">
        <f t="shared" si="23"/>
        <v>-3.419777930340831E-4</v>
      </c>
      <c r="DE55" s="18"/>
      <c r="DI55" s="8">
        <f t="shared" si="29"/>
        <v>31</v>
      </c>
      <c r="DJ55" s="26">
        <f t="shared" si="33"/>
        <v>9.2352100000000006E-3</v>
      </c>
      <c r="DK55" s="23">
        <f t="shared" si="30"/>
        <v>1.5753255675771E-9</v>
      </c>
      <c r="DL55" s="7">
        <f>AVERAGE(K21,Q21,W21)</f>
        <v>6.8466666666666662E-2</v>
      </c>
      <c r="DM55" s="7">
        <f>_xlfn.STDEV.P(K21,Q21,W21)/SQRT(3)</f>
        <v>1.9626135258506261E-4</v>
      </c>
      <c r="DN55" s="7">
        <f>AVERAGE(F42,L42,P42)</f>
        <v>4.6878000000000006E-3</v>
      </c>
      <c r="DO55" s="7">
        <f>_xlfn.STDEV.P(F42,L42,P42)/SQRT(3)</f>
        <v>2.6839513160015903E-5</v>
      </c>
      <c r="DP55" s="7">
        <f t="shared" si="31"/>
        <v>4.6660317103476342E-3</v>
      </c>
      <c r="DQ55" s="7">
        <f t="shared" si="34"/>
        <v>2.1768289652366463E-5</v>
      </c>
      <c r="DY55" s="2">
        <f t="shared" si="24"/>
        <v>-0.49620931694281889</v>
      </c>
      <c r="DZ55" s="2">
        <f t="shared" si="25"/>
        <v>4.3761218005636325E-4</v>
      </c>
      <c r="EA55" s="2">
        <f t="shared" si="26"/>
        <v>-1.1403280893907213</v>
      </c>
      <c r="EB55" s="2">
        <f t="shared" si="27"/>
        <v>3.8085046395313818E-4</v>
      </c>
      <c r="EC55" s="2">
        <f t="shared" si="28"/>
        <v>-1.1414030940116686</v>
      </c>
      <c r="ED55" s="2">
        <f t="shared" si="32"/>
        <v>1.0750046209473396E-3</v>
      </c>
    </row>
    <row r="56" spans="1:134" x14ac:dyDescent="0.25">
      <c r="A56" s="17"/>
      <c r="N56" s="2">
        <v>6.8797071360000026E-3</v>
      </c>
      <c r="O56" s="2">
        <v>3.4339599999999998E-3</v>
      </c>
      <c r="P56" s="2">
        <f t="shared" si="35"/>
        <v>3.4539446959291819E-3</v>
      </c>
      <c r="Q56" s="2">
        <f t="shared" si="36"/>
        <v>-1.9984695929182138E-5</v>
      </c>
      <c r="AY56" s="24">
        <v>3.373402561000001E-3</v>
      </c>
      <c r="AZ56" s="2">
        <v>1.7864711111111112E-3</v>
      </c>
      <c r="BA56" s="2">
        <f t="shared" si="37"/>
        <v>1.7609536699474929E-3</v>
      </c>
      <c r="BB56" s="2">
        <f t="shared" si="38"/>
        <v>2.5517441163618298E-5</v>
      </c>
      <c r="BJ56" s="18"/>
      <c r="BS56" s="17"/>
      <c r="DE56" s="18"/>
      <c r="DI56" s="8">
        <f t="shared" si="29"/>
        <v>31.9</v>
      </c>
      <c r="DJ56" s="26">
        <f t="shared" si="33"/>
        <v>1.0355301121000001E-2</v>
      </c>
      <c r="DK56" s="23">
        <f t="shared" si="30"/>
        <v>2.2208447114308658E-9</v>
      </c>
      <c r="DL56" s="7">
        <f>AVERAGE(K23,Q23,W23)</f>
        <v>7.2388888888888892E-2</v>
      </c>
      <c r="DM56" s="7">
        <f>_xlfn.STDEV.P(K23,Q23,W23)/SQRT(3)</f>
        <v>1.6355112715421864E-4</v>
      </c>
      <c r="DN56" s="7">
        <f>AVERAGE(F43,L43,P43)</f>
        <v>5.240231481481482E-3</v>
      </c>
      <c r="DO56" s="7">
        <f>_xlfn.STDEV.P(F43,L43,P43)/SQRT(3)</f>
        <v>2.3654116004034596E-5</v>
      </c>
      <c r="DP56" s="7">
        <f t="shared" si="31"/>
        <v>5.2260486995508691E-3</v>
      </c>
      <c r="DQ56" s="7">
        <f t="shared" si="34"/>
        <v>1.4182781930612877E-5</v>
      </c>
    </row>
    <row r="57" spans="1:134" x14ac:dyDescent="0.25">
      <c r="A57" s="17"/>
      <c r="N57" s="46" cm="1">
        <f t="array" ref="N57:N58">D42:D43</f>
        <v>9.2352100000000006E-3</v>
      </c>
      <c r="O57" s="7" cm="1">
        <f t="array" ref="O57:O58">F42:F43</f>
        <v>4.6240000000000005E-3</v>
      </c>
      <c r="P57" s="2">
        <f t="shared" si="35"/>
        <v>4.619697335228292E-3</v>
      </c>
      <c r="Q57" s="2">
        <f t="shared" si="36"/>
        <v>4.3026647717084657E-6</v>
      </c>
      <c r="AY57" s="24" cm="1">
        <f t="array" ref="AY57:AY61">D39:D43</f>
        <v>5.7191406250000016E-3</v>
      </c>
      <c r="AZ57" s="27" cm="1">
        <f t="array" ref="AZ57:AZ61">P39:P43</f>
        <v>2.9738844444444439E-3</v>
      </c>
      <c r="BA57" s="2">
        <f t="shared" si="37"/>
        <v>2.9424565527539272E-3</v>
      </c>
      <c r="BB57" s="2">
        <f t="shared" si="38"/>
        <v>3.1427891690516668E-5</v>
      </c>
      <c r="BJ57" s="18"/>
      <c r="BS57" s="17"/>
      <c r="DE57" s="18"/>
    </row>
    <row r="58" spans="1:134" ht="14.45" customHeight="1" x14ac:dyDescent="0.25">
      <c r="A58" s="17"/>
      <c r="N58" s="2">
        <v>1.0355301121000001E-2</v>
      </c>
      <c r="O58" s="2">
        <v>5.1840000000000011E-3</v>
      </c>
      <c r="P58" s="2">
        <f t="shared" si="35"/>
        <v>5.174037217602236E-3</v>
      </c>
      <c r="Q58" s="2">
        <f t="shared" si="36"/>
        <v>9.9627823977651436E-6</v>
      </c>
      <c r="AY58" s="24">
        <v>6.8797071360000026E-3</v>
      </c>
      <c r="AZ58" s="2">
        <v>3.5442177777777772E-3</v>
      </c>
      <c r="BA58" s="2">
        <f t="shared" si="37"/>
        <v>3.527011452330774E-3</v>
      </c>
      <c r="BB58" s="2">
        <f t="shared" si="38"/>
        <v>1.7206325447003193E-5</v>
      </c>
      <c r="BJ58" s="18"/>
      <c r="BS58" s="17"/>
      <c r="DE58" s="18"/>
    </row>
    <row r="59" spans="1:134" x14ac:dyDescent="0.25">
      <c r="A59" s="17"/>
      <c r="AY59" s="24">
        <v>8.0999999999999996E-3</v>
      </c>
      <c r="AZ59" s="2">
        <v>4.0704399999999998E-3</v>
      </c>
      <c r="BA59" s="2">
        <f t="shared" si="37"/>
        <v>4.1416493604634341E-3</v>
      </c>
      <c r="BB59" s="2">
        <f t="shared" si="38"/>
        <v>-7.1209360463434304E-5</v>
      </c>
      <c r="BJ59" s="18"/>
      <c r="BS59" s="17"/>
      <c r="DE59" s="18"/>
    </row>
    <row r="60" spans="1:134" x14ac:dyDescent="0.25">
      <c r="A60" s="17"/>
      <c r="AY60" s="24">
        <v>9.2352100000000006E-3</v>
      </c>
      <c r="AZ60" s="46">
        <v>4.7334400000000002E-3</v>
      </c>
      <c r="BA60" s="2">
        <f t="shared" si="37"/>
        <v>4.7134326759899602E-3</v>
      </c>
      <c r="BB60" s="2">
        <f t="shared" si="38"/>
        <v>2.000732401003999E-5</v>
      </c>
      <c r="BJ60" s="18"/>
      <c r="BS60" s="17"/>
      <c r="DE60" s="18"/>
    </row>
    <row r="61" spans="1:134" x14ac:dyDescent="0.25">
      <c r="A61" s="17"/>
      <c r="AY61" s="24">
        <v>1.0355301121000001E-2</v>
      </c>
      <c r="AZ61" s="2">
        <v>5.2804444444444452E-3</v>
      </c>
      <c r="BA61" s="2">
        <f t="shared" si="37"/>
        <v>5.277600904650034E-3</v>
      </c>
      <c r="BB61" s="2">
        <f t="shared" si="38"/>
        <v>2.8435397944111956E-6</v>
      </c>
      <c r="BJ61" s="18"/>
      <c r="BS61" s="17"/>
      <c r="DE61" s="18"/>
    </row>
    <row r="62" spans="1:134" x14ac:dyDescent="0.25">
      <c r="A62" s="17"/>
      <c r="BJ62" s="18"/>
      <c r="BS62" s="17"/>
      <c r="DE62" s="18"/>
    </row>
    <row r="63" spans="1:134" x14ac:dyDescent="0.25">
      <c r="A63" s="17"/>
      <c r="BJ63" s="18"/>
      <c r="BS63" s="17"/>
      <c r="DE63" s="18"/>
    </row>
    <row r="64" spans="1:134" x14ac:dyDescent="0.25">
      <c r="A64" s="17"/>
      <c r="BJ64" s="18"/>
      <c r="BS64" s="17"/>
      <c r="DE64" s="18"/>
    </row>
    <row r="65" spans="1:136" x14ac:dyDescent="0.25">
      <c r="A65" s="17"/>
      <c r="BJ65" s="18"/>
      <c r="BS65" s="17"/>
      <c r="DE65" s="18"/>
    </row>
    <row r="66" spans="1:136" ht="17.25" x14ac:dyDescent="0.25">
      <c r="A66" s="17"/>
      <c r="C66" s="57" t="s">
        <v>118</v>
      </c>
      <c r="D66" s="57"/>
      <c r="E66" s="57"/>
      <c r="F66" s="57"/>
      <c r="H66" s="57" t="s">
        <v>119</v>
      </c>
      <c r="I66" s="57"/>
      <c r="J66" s="57"/>
      <c r="K66" s="57"/>
      <c r="AA66" s="3" t="s">
        <v>36</v>
      </c>
      <c r="AB66" s="28">
        <f>5.029*PI()^2 *AH7 /(W68 * AE12^2)</f>
        <v>258563177909.38303</v>
      </c>
      <c r="BJ66" s="18"/>
      <c r="BS66" s="17"/>
      <c r="DE66" s="18"/>
    </row>
    <row r="67" spans="1:136" ht="17.25" x14ac:dyDescent="0.25">
      <c r="A67" s="17"/>
      <c r="C67" s="4" t="s">
        <v>18</v>
      </c>
      <c r="D67" s="13">
        <f t="array" ref="D67:E69">LINEST(F35:F43,D35:D43,1,1)</f>
        <v>0.4915896367816589</v>
      </c>
      <c r="E67" s="24">
        <v>5.5442569470069789E-5</v>
      </c>
      <c r="F67" s="4" t="s">
        <v>30</v>
      </c>
      <c r="H67" s="4" t="s">
        <v>18</v>
      </c>
      <c r="I67" s="13">
        <f t="array" ref="I67:J69">LINEST(O51:O58,N51:N58,1,1)</f>
        <v>0.49490605896334444</v>
      </c>
      <c r="J67" s="24">
        <v>4.9135950429423161E-5</v>
      </c>
      <c r="K67" s="4" t="s">
        <v>30</v>
      </c>
      <c r="V67" s="57" t="s">
        <v>33</v>
      </c>
      <c r="W67" s="57"/>
      <c r="X67" s="57"/>
      <c r="Y67" s="57"/>
      <c r="AA67" s="3" t="s">
        <v>37</v>
      </c>
      <c r="AB67" s="23">
        <f>SQRT((PI()^2*5.029/((W68*AD12^2)^2) * W68 * AD12^2*AH8 )^2+(PI()^2*5.029/((W68*AD12^2)^2)*AH7*AD12^2*W69)^2+(PI()^2*5.029/((W68*AD12^2)^2)*AH7*AD12*W68*AD13)^2)</f>
        <v>17454.985350203024</v>
      </c>
      <c r="AK67" s="57" t="s">
        <v>130</v>
      </c>
      <c r="AL67" s="57"/>
      <c r="AM67" s="57"/>
      <c r="AN67" s="57"/>
      <c r="AR67" s="57" t="s">
        <v>131</v>
      </c>
      <c r="AS67" s="57"/>
      <c r="AT67" s="57"/>
      <c r="AU67" s="57"/>
      <c r="BJ67" s="18"/>
      <c r="BS67" s="17"/>
      <c r="DE67" s="18"/>
    </row>
    <row r="68" spans="1:136" x14ac:dyDescent="0.25">
      <c r="A68" s="17"/>
      <c r="C68" s="4" t="s">
        <v>28</v>
      </c>
      <c r="D68" s="13">
        <v>5.0043171789404782E-3</v>
      </c>
      <c r="E68" s="24">
        <v>3.2365188925025776E-5</v>
      </c>
      <c r="F68" s="4" t="s">
        <v>31</v>
      </c>
      <c r="H68" s="4" t="s">
        <v>28</v>
      </c>
      <c r="I68" s="13">
        <v>2.8493942036968774E-3</v>
      </c>
      <c r="J68" s="24">
        <v>1.7761396538733701E-5</v>
      </c>
      <c r="K68" s="4" t="s">
        <v>31</v>
      </c>
      <c r="V68" s="4" t="s">
        <v>18</v>
      </c>
      <c r="W68" s="13">
        <f t="array" ref="W68:X70">LINEST(L35:L43,D35:D43,1,1)</f>
        <v>0.50071661608017726</v>
      </c>
      <c r="X68" s="7">
        <v>4.9975204093618587E-5</v>
      </c>
      <c r="Y68" s="4" t="s">
        <v>30</v>
      </c>
      <c r="AA68" s="3" t="s">
        <v>38</v>
      </c>
      <c r="AB68" s="38">
        <f>AB67/AB66</f>
        <v>6.7507622281469488E-8</v>
      </c>
      <c r="AK68" s="4" t="s">
        <v>18</v>
      </c>
      <c r="AL68" s="13">
        <f t="array" ref="AL68:AM70">LINEST(P35:P43,D35:D43,1,1)</f>
        <v>0.50014164952419671</v>
      </c>
      <c r="AM68" s="7">
        <v>1.0998489810978406E-4</v>
      </c>
      <c r="AN68" s="4" t="s">
        <v>30</v>
      </c>
      <c r="AR68" s="4" t="s">
        <v>18</v>
      </c>
      <c r="AS68" s="13">
        <f t="array" ref="AS68:AT70">LINEST(AZ54:AZ61,AY54:AY61,1,1)</f>
        <v>0.50368065426355046</v>
      </c>
      <c r="AT68" s="7">
        <v>6.1836060928675742E-5</v>
      </c>
      <c r="AU68" s="4" t="s">
        <v>30</v>
      </c>
      <c r="BJ68" s="18"/>
      <c r="BS68" s="17"/>
      <c r="DE68" s="18"/>
    </row>
    <row r="69" spans="1:136" ht="18" x14ac:dyDescent="0.25">
      <c r="A69" s="17"/>
      <c r="C69" s="4" t="s">
        <v>29</v>
      </c>
      <c r="D69" s="7">
        <v>0.99927511797336399</v>
      </c>
      <c r="E69" s="24">
        <v>4.5249958800552205E-5</v>
      </c>
      <c r="F69" s="4" t="s">
        <v>32</v>
      </c>
      <c r="H69" s="4" t="s">
        <v>29</v>
      </c>
      <c r="I69" s="24">
        <v>0.9998011505408525</v>
      </c>
      <c r="J69" s="24">
        <v>2.4742249641690378E-5</v>
      </c>
      <c r="K69" s="4" t="s">
        <v>32</v>
      </c>
      <c r="V69" s="4" t="s">
        <v>28</v>
      </c>
      <c r="W69" s="13">
        <v>5.4540854204062593E-3</v>
      </c>
      <c r="X69" s="7">
        <v>3.5274044136836833E-5</v>
      </c>
      <c r="Y69" s="4" t="s">
        <v>31</v>
      </c>
      <c r="AA69" s="3" t="s">
        <v>48</v>
      </c>
      <c r="AB69" s="9">
        <f>200*10^9</f>
        <v>200000000000</v>
      </c>
      <c r="AK69" s="4" t="s">
        <v>28</v>
      </c>
      <c r="AL69" s="13">
        <v>1.052315531268665E-2</v>
      </c>
      <c r="AM69" s="7">
        <v>6.8058018227893605E-5</v>
      </c>
      <c r="AN69" s="4" t="s">
        <v>31</v>
      </c>
      <c r="AR69" s="4" t="s">
        <v>28</v>
      </c>
      <c r="AS69" s="13">
        <v>4.167444248004199E-3</v>
      </c>
      <c r="AT69" s="7">
        <v>2.7783482732516573E-5</v>
      </c>
      <c r="AU69" s="4" t="s">
        <v>31</v>
      </c>
      <c r="BJ69" s="18"/>
      <c r="BS69" s="17"/>
      <c r="DE69" s="18"/>
    </row>
    <row r="70" spans="1:136" ht="17.25" x14ac:dyDescent="0.25">
      <c r="A70" s="17"/>
      <c r="V70" s="4" t="s">
        <v>29</v>
      </c>
      <c r="W70" s="7">
        <v>0.99917015428300948</v>
      </c>
      <c r="X70" s="7">
        <v>4.9316846183664154E-5</v>
      </c>
      <c r="Y70" s="4" t="s">
        <v>32</v>
      </c>
      <c r="AA70" s="3" t="s">
        <v>49</v>
      </c>
      <c r="AB70" s="33">
        <f>(AB66-AB69)/AB69</f>
        <v>0.29281588954691512</v>
      </c>
      <c r="AK70" s="4" t="s">
        <v>29</v>
      </c>
      <c r="AL70" s="24">
        <v>0.99691069908352437</v>
      </c>
      <c r="AM70" s="7">
        <v>9.5152310959574089E-5</v>
      </c>
      <c r="AN70" s="4" t="s">
        <v>32</v>
      </c>
      <c r="AR70" s="4" t="s">
        <v>29</v>
      </c>
      <c r="AS70" s="7">
        <v>0.9995894160622153</v>
      </c>
      <c r="AT70" s="7">
        <v>3.7336906807942466E-5</v>
      </c>
      <c r="AU70" s="4" t="s">
        <v>32</v>
      </c>
      <c r="BJ70" s="18"/>
      <c r="BS70" s="17"/>
      <c r="DE70" s="18"/>
    </row>
    <row r="71" spans="1:136" ht="17.25" x14ac:dyDescent="0.25">
      <c r="A71" s="17"/>
      <c r="D71" s="3" t="s">
        <v>36</v>
      </c>
      <c r="E71" s="9">
        <f>5.029*PI()^2 *AH7 /(D67 * AE12^2)</f>
        <v>263363728196.78912</v>
      </c>
      <c r="I71" s="3" t="s">
        <v>36</v>
      </c>
      <c r="J71" s="9">
        <f>5.029*PI()^2 *AH7 /(I67 * AE12^2)</f>
        <v>261598897691.63681</v>
      </c>
      <c r="BJ71" s="18"/>
      <c r="BS71" s="17"/>
      <c r="DE71" s="18"/>
    </row>
    <row r="72" spans="1:136" ht="17.25" x14ac:dyDescent="0.25">
      <c r="A72" s="17"/>
      <c r="D72" s="3" t="s">
        <v>37</v>
      </c>
      <c r="E72" s="23">
        <f>SQRT((PI()^2*5.029/(D67*AE12^2)^2 * AE12^2*AH7*D68)^2+(PI()^2*5.029/(D67*AE12^2)^2 * AH7*D67*AE12*AE13)^2+(PI()^2*5.029/(D67*AE12^2)^2*D67*AE12^2*AH8)^2)</f>
        <v>4293208042.2587013</v>
      </c>
      <c r="I72" s="3" t="s">
        <v>37</v>
      </c>
      <c r="J72" s="23">
        <f>SQRT((PI()^2*5.029/(I67*AE12^2)^2 * AE12^2*AH7*I68)^2+(PI()^2*5.029/(I67*AE12^2)^2 * AH7*I67*AE12*AE13)^2+(PI()^2*5.029/(I67*AE12^2)^2*I67*AE12^2*AH8)^2)</f>
        <v>3655421502.465425</v>
      </c>
      <c r="U72" s="4" t="s">
        <v>41</v>
      </c>
      <c r="V72" s="4" t="s">
        <v>123</v>
      </c>
      <c r="W72" s="4" t="s">
        <v>42</v>
      </c>
      <c r="X72" s="4" t="s">
        <v>124</v>
      </c>
      <c r="Y72" s="4" t="s">
        <v>121</v>
      </c>
      <c r="Z72" s="4" t="s">
        <v>122</v>
      </c>
      <c r="BJ72" s="18"/>
      <c r="BS72" s="17"/>
      <c r="DE72" s="18"/>
    </row>
    <row r="73" spans="1:136" ht="17.25" x14ac:dyDescent="0.25">
      <c r="A73" s="17"/>
      <c r="D73" s="3" t="s">
        <v>38</v>
      </c>
      <c r="E73" s="32">
        <f>E72/E71</f>
        <v>1.6301440109667477E-2</v>
      </c>
      <c r="I73" s="3" t="s">
        <v>38</v>
      </c>
      <c r="J73" s="32">
        <f>J72/J71</f>
        <v>1.3973382666062691E-2</v>
      </c>
      <c r="U73" s="42">
        <f t="shared" ref="U73:U81" si="39">D80</f>
        <v>-0.74472749489669399</v>
      </c>
      <c r="V73" s="42">
        <f t="shared" ref="V73:V81" si="40">ABS(1/(LN(10)*U73)*G$3)</f>
        <v>2.9157946019133858E-4</v>
      </c>
      <c r="W73" s="42">
        <f>LOG(Q7)</f>
        <v>-1.6289321377282637</v>
      </c>
      <c r="X73" s="42">
        <f t="shared" ref="X73:X81" si="41">ABS(1/(LN(10)*W73)*J$3)</f>
        <v>2.6661299869061838E-4</v>
      </c>
      <c r="Y73" s="42">
        <f t="shared" ref="Y73:Y81" si="42">U73*V$106+W$106</f>
        <v>-1.6219807269083089</v>
      </c>
      <c r="Z73" s="42">
        <f>W73-Y73</f>
        <v>-6.951410819954873E-3</v>
      </c>
      <c r="AL73" s="3" t="s">
        <v>36</v>
      </c>
      <c r="AM73" s="28">
        <f>5.029*PI()^2 *AH7 /(AL68 * AE12^2)</f>
        <v>258860424059.6434</v>
      </c>
      <c r="AS73" s="3" t="s">
        <v>36</v>
      </c>
      <c r="AT73" s="28">
        <f>5.029*PI()^2 *AH7 /(AS68 * AE12^2)</f>
        <v>257041596475.49155</v>
      </c>
      <c r="BJ73" s="18"/>
      <c r="BS73" s="17"/>
      <c r="DE73" s="18"/>
    </row>
    <row r="74" spans="1:136" ht="18" x14ac:dyDescent="0.25">
      <c r="A74" s="17"/>
      <c r="D74" s="3" t="s">
        <v>48</v>
      </c>
      <c r="E74" s="9">
        <f>200*10^9</f>
        <v>200000000000</v>
      </c>
      <c r="I74" s="3" t="s">
        <v>48</v>
      </c>
      <c r="J74" s="9">
        <f>200*10^9</f>
        <v>200000000000</v>
      </c>
      <c r="U74" s="2">
        <f t="shared" si="39"/>
        <v>-0.66354026615147055</v>
      </c>
      <c r="V74" s="2">
        <f t="shared" si="40"/>
        <v>3.2725555935147473E-4</v>
      </c>
      <c r="W74" s="2">
        <f>LOG(Q9)</f>
        <v>-1.4634415574284698</v>
      </c>
      <c r="X74" s="2">
        <f t="shared" si="41"/>
        <v>2.9676243625771117E-4</v>
      </c>
      <c r="Y74" s="2">
        <f t="shared" si="42"/>
        <v>-1.4652469986276333</v>
      </c>
      <c r="Z74" s="2">
        <f t="shared" ref="Z74:Z81" si="43">W74-Y74</f>
        <v>1.8054411991634822E-3</v>
      </c>
      <c r="AL74" s="3" t="s">
        <v>37</v>
      </c>
      <c r="AM74" s="23">
        <f>SQRT((PI()^2*5.029/((AL68*AD12^2)^2) * AL68 * AD12^2*AH8 )^2+(PI()^2*5.029/((AL68*AD12^2)^2)*AH7*AD12^2*AL69)^2+(PI()^2*5.029/((AL68*AD12^2)^2)*AH7*AD12*AL68*AD13)^2)</f>
        <v>26526.08158974379</v>
      </c>
      <c r="AS74" s="3" t="s">
        <v>37</v>
      </c>
      <c r="AT74" s="23">
        <f>SQRT((PI()^2*5.029/((AS68*AD12^2)^2) * AS68 * AD12^2*AH8 )^2+(PI()^2*5.029/((AS68*AD12^2)^2)*AH7*AD12^2*AS69)^2+(PI()^2*5.029/((AS68*AD12^2)^2)*AH7*AD12*AS68*AD13)^2)</f>
        <v>15501.049611928107</v>
      </c>
      <c r="BJ74" s="18"/>
      <c r="BS74" s="17"/>
      <c r="DE74" s="18"/>
    </row>
    <row r="75" spans="1:136" x14ac:dyDescent="0.25">
      <c r="A75" s="17"/>
      <c r="D75" s="3" t="s">
        <v>49</v>
      </c>
      <c r="E75" s="33">
        <f>(E71-E74)/E74</f>
        <v>0.31681864098394563</v>
      </c>
      <c r="I75" s="3" t="s">
        <v>49</v>
      </c>
      <c r="J75" s="33">
        <f>(J71-J74)/J74</f>
        <v>0.30799448845818406</v>
      </c>
      <c r="U75" s="2">
        <f t="shared" si="39"/>
        <v>-0.61798295742513154</v>
      </c>
      <c r="V75" s="2">
        <f t="shared" si="40"/>
        <v>3.5138063006848088E-4</v>
      </c>
      <c r="W75" s="2">
        <f>LOG(Q11)</f>
        <v>-1.3757179041643317</v>
      </c>
      <c r="X75" s="2">
        <f t="shared" si="41"/>
        <v>3.156857089586694E-4</v>
      </c>
      <c r="Y75" s="2">
        <f t="shared" si="42"/>
        <v>-1.3772976135153479</v>
      </c>
      <c r="Z75" s="2">
        <f t="shared" si="43"/>
        <v>1.5797093510161453E-3</v>
      </c>
      <c r="AL75" s="3" t="s">
        <v>38</v>
      </c>
      <c r="AM75" s="50">
        <f>AM74/AM73</f>
        <v>1.0247252621216436E-7</v>
      </c>
      <c r="AS75" s="3" t="s">
        <v>38</v>
      </c>
      <c r="AT75" s="38">
        <f>AT74/AT73</f>
        <v>6.0305607436600646E-8</v>
      </c>
      <c r="BJ75" s="18"/>
      <c r="BS75" s="17"/>
      <c r="DE75" s="18"/>
    </row>
    <row r="76" spans="1:136" ht="18" x14ac:dyDescent="0.25">
      <c r="A76" s="17"/>
      <c r="U76" s="2">
        <f t="shared" si="39"/>
        <v>-0.58502665202918203</v>
      </c>
      <c r="V76" s="2">
        <f t="shared" si="40"/>
        <v>3.7117495450582355E-4</v>
      </c>
      <c r="W76" s="2">
        <f>LOG(Q13)</f>
        <v>-1.3196644865854368</v>
      </c>
      <c r="X76" s="2">
        <f t="shared" si="41"/>
        <v>3.290946193656891E-4</v>
      </c>
      <c r="Y76" s="2">
        <f t="shared" si="42"/>
        <v>-1.3136747420995327</v>
      </c>
      <c r="Z76" s="2">
        <f t="shared" si="43"/>
        <v>-5.9897444859040583E-3</v>
      </c>
      <c r="AL76" s="3" t="s">
        <v>48</v>
      </c>
      <c r="AM76" s="9">
        <f>200*10^9</f>
        <v>200000000000</v>
      </c>
      <c r="AS76" s="3" t="s">
        <v>48</v>
      </c>
      <c r="AT76" s="9">
        <f>200*10^9</f>
        <v>200000000000</v>
      </c>
      <c r="BJ76" s="18"/>
      <c r="BS76" s="17"/>
      <c r="DE76" s="18"/>
    </row>
    <row r="77" spans="1:136" x14ac:dyDescent="0.25">
      <c r="A77" s="17"/>
      <c r="U77" s="2">
        <f t="shared" si="39"/>
        <v>-0.56066730616973737</v>
      </c>
      <c r="V77" s="2">
        <f t="shared" si="40"/>
        <v>3.8730141487131113E-4</v>
      </c>
      <c r="W77" s="2">
        <f>LOG(Q15)</f>
        <v>-1.2652001704111531</v>
      </c>
      <c r="X77" s="2">
        <f t="shared" si="41"/>
        <v>3.4326147913979401E-4</v>
      </c>
      <c r="Y77" s="2">
        <f t="shared" si="42"/>
        <v>-1.2666484898916839</v>
      </c>
      <c r="Z77" s="2">
        <f t="shared" si="43"/>
        <v>1.4483194805308131E-3</v>
      </c>
      <c r="AL77" s="3" t="s">
        <v>49</v>
      </c>
      <c r="AM77" s="33">
        <f>(AM73-AM76)/AM76</f>
        <v>0.29430212029821701</v>
      </c>
      <c r="AS77" s="3" t="s">
        <v>49</v>
      </c>
      <c r="AT77" s="33">
        <f>(AT73-AT76)/AT76</f>
        <v>0.28520798237745776</v>
      </c>
      <c r="BJ77" s="18"/>
      <c r="BS77" s="17"/>
      <c r="DE77" s="18"/>
      <c r="DZ77" s="57" t="s">
        <v>54</v>
      </c>
      <c r="EA77" s="57"/>
      <c r="EB77" s="57"/>
      <c r="EC77" s="57"/>
      <c r="EE77" s="75" t="s">
        <v>46</v>
      </c>
      <c r="EF77" s="74">
        <f>(EA78-2)/2</f>
        <v>-3.86909806233664E-2</v>
      </c>
    </row>
    <row r="78" spans="1:136" x14ac:dyDescent="0.25">
      <c r="A78" s="17"/>
      <c r="D78" s="83" t="s">
        <v>12</v>
      </c>
      <c r="E78" s="84"/>
      <c r="F78" s="84"/>
      <c r="G78" s="84"/>
      <c r="H78" s="84"/>
      <c r="I78" s="85"/>
      <c r="U78" s="2">
        <f t="shared" si="39"/>
        <v>-0.54060751224076908</v>
      </c>
      <c r="V78" s="2">
        <f t="shared" si="40"/>
        <v>4.0167262946748606E-4</v>
      </c>
      <c r="W78" s="2">
        <f>LOG(Q17)</f>
        <v>-1.2269453066357374</v>
      </c>
      <c r="X78" s="2">
        <f t="shared" si="41"/>
        <v>3.5396401090940198E-4</v>
      </c>
      <c r="Y78" s="2">
        <f t="shared" si="42"/>
        <v>-1.2279226171205402</v>
      </c>
      <c r="Z78" s="2">
        <f t="shared" si="43"/>
        <v>9.773104848027625E-4</v>
      </c>
      <c r="BJ78" s="18"/>
      <c r="BS78" s="17"/>
      <c r="DE78" s="18"/>
      <c r="DZ78" s="4" t="s">
        <v>18</v>
      </c>
      <c r="EA78" s="2">
        <f t="array" ref="EA78:EB80">LINEST(EA48:EA55,DY48:DY55,1,1)</f>
        <v>1.9226180387532672</v>
      </c>
      <c r="EB78" s="2">
        <v>-0.18738211025996776</v>
      </c>
      <c r="EC78" s="4" t="s">
        <v>30</v>
      </c>
      <c r="EE78" s="75"/>
      <c r="EF78" s="74"/>
    </row>
    <row r="79" spans="1:136" x14ac:dyDescent="0.25">
      <c r="A79" s="17"/>
      <c r="D79" s="4" t="s">
        <v>41</v>
      </c>
      <c r="E79" s="4" t="s">
        <v>123</v>
      </c>
      <c r="F79" s="4" t="s">
        <v>42</v>
      </c>
      <c r="G79" s="4" t="s">
        <v>124</v>
      </c>
      <c r="H79" s="4" t="s">
        <v>121</v>
      </c>
      <c r="I79" s="4" t="s">
        <v>122</v>
      </c>
      <c r="U79" s="2">
        <f t="shared" si="39"/>
        <v>-0.52287874528033762</v>
      </c>
      <c r="V79" s="2">
        <f t="shared" si="40"/>
        <v>4.1529177254126862E-4</v>
      </c>
      <c r="W79" s="2">
        <f>LOG(Q19)</f>
        <v>-1.198596289982645</v>
      </c>
      <c r="X79" s="2">
        <f t="shared" si="41"/>
        <v>3.6233591371248125E-4</v>
      </c>
      <c r="Y79" s="2">
        <f t="shared" si="42"/>
        <v>-1.1936968431105957</v>
      </c>
      <c r="Z79" s="2">
        <f t="shared" si="43"/>
        <v>-4.8994468720493511E-3</v>
      </c>
      <c r="BJ79" s="18"/>
      <c r="BS79" s="17"/>
      <c r="DE79" s="18"/>
      <c r="DZ79" s="4" t="s">
        <v>28</v>
      </c>
      <c r="EA79" s="2">
        <v>2.3061680558798869E-2</v>
      </c>
      <c r="EB79" s="2">
        <v>1.3018589094689776E-2</v>
      </c>
      <c r="EC79" s="4" t="s">
        <v>31</v>
      </c>
      <c r="EE79" s="75" t="s">
        <v>47</v>
      </c>
      <c r="EF79" s="74">
        <f>EA79/EA78</f>
        <v>1.1994936120412846E-2</v>
      </c>
    </row>
    <row r="80" spans="1:136" ht="17.25" x14ac:dyDescent="0.25">
      <c r="A80" s="17"/>
      <c r="D80" s="40">
        <f t="shared" ref="D80:D88" si="44">LOG(C35/100)</f>
        <v>-0.74472749489669399</v>
      </c>
      <c r="E80" s="40">
        <f t="shared" ref="E80:E88" si="45">ABS(1/(LN(10)*D80)*G$3)</f>
        <v>2.9157946019133858E-4</v>
      </c>
      <c r="F80" s="40">
        <f>LOG(K7)</f>
        <v>-1.6234230429434879</v>
      </c>
      <c r="G80" s="40">
        <f t="shared" ref="G80:G88" si="46">ABS(1/(LN(10)*F80)*J$3)</f>
        <v>2.6751775132858566E-4</v>
      </c>
      <c r="H80" s="40">
        <f t="shared" ref="H80:H88" si="47">D80*E$111+F$111</f>
        <v>-1.6265841188842318</v>
      </c>
      <c r="I80" s="40">
        <f t="shared" ref="I80:I88" si="48">F80-H80</f>
        <v>3.1610759407438849E-3</v>
      </c>
      <c r="U80" s="2">
        <f t="shared" si="39"/>
        <v>-0.50863830616572736</v>
      </c>
      <c r="V80" s="2">
        <f t="shared" si="40"/>
        <v>4.2691877178608283E-4</v>
      </c>
      <c r="W80" s="2">
        <f>LOG(Q21)</f>
        <v>-1.1636758842932482</v>
      </c>
      <c r="X80" s="2">
        <f t="shared" si="41"/>
        <v>3.7320914505933759E-4</v>
      </c>
      <c r="Y80" s="2">
        <f t="shared" si="42"/>
        <v>-1.1662053626242865</v>
      </c>
      <c r="Z80" s="2">
        <f t="shared" si="43"/>
        <v>2.5294783310383373E-3</v>
      </c>
      <c r="BJ80" s="18"/>
      <c r="BS80" s="17"/>
      <c r="DE80" s="18"/>
      <c r="DL80" s="57" t="s">
        <v>51</v>
      </c>
      <c r="DM80" s="57"/>
      <c r="DN80" s="57"/>
      <c r="DO80" s="57"/>
      <c r="DQ80" s="3" t="s">
        <v>36</v>
      </c>
      <c r="DR80" s="2">
        <f>5.029*PI()^2 *AH7 /(DM81 *AE12^ 2)</f>
        <v>258946969415.7944</v>
      </c>
      <c r="DZ80" s="4" t="s">
        <v>29</v>
      </c>
      <c r="EA80" s="2">
        <v>0.99913747363875915</v>
      </c>
      <c r="EB80" s="2">
        <v>3.508142528614637E-3</v>
      </c>
      <c r="EC80" s="4" t="s">
        <v>32</v>
      </c>
      <c r="EE80" s="75"/>
      <c r="EF80" s="74"/>
    </row>
    <row r="81" spans="1:122" ht="17.25" x14ac:dyDescent="0.25">
      <c r="A81" s="17"/>
      <c r="D81" s="7">
        <f t="shared" si="44"/>
        <v>-0.66354026615147055</v>
      </c>
      <c r="E81" s="7">
        <f t="shared" si="45"/>
        <v>3.2725555935147473E-4</v>
      </c>
      <c r="F81" s="7">
        <f>LOG(K9)</f>
        <v>-1.4685210829577449</v>
      </c>
      <c r="G81" s="7">
        <f t="shared" si="46"/>
        <v>2.9573595295515965E-4</v>
      </c>
      <c r="H81" s="41">
        <f t="shared" si="47"/>
        <v>-1.4694909547304096</v>
      </c>
      <c r="I81" s="7">
        <f t="shared" si="48"/>
        <v>9.6987177266472102E-4</v>
      </c>
      <c r="U81" s="2">
        <f t="shared" si="39"/>
        <v>-0.49620931694281889</v>
      </c>
      <c r="V81" s="2">
        <f t="shared" si="40"/>
        <v>4.3761218005636325E-4</v>
      </c>
      <c r="W81" s="2">
        <f>LOG(Q23)</f>
        <v>-1.1396619934290062</v>
      </c>
      <c r="X81" s="2">
        <f t="shared" si="41"/>
        <v>3.8107305886068017E-4</v>
      </c>
      <c r="Y81" s="2">
        <f t="shared" si="42"/>
        <v>-1.1422109259404087</v>
      </c>
      <c r="Z81" s="2">
        <f t="shared" si="43"/>
        <v>2.5489325114025352E-3</v>
      </c>
      <c r="BJ81" s="18"/>
      <c r="BS81" s="17"/>
      <c r="DE81" s="18"/>
      <c r="DL81" s="4" t="s">
        <v>18</v>
      </c>
      <c r="DM81" s="2">
        <f t="array" ref="DM81:DN83">LINEST(DN48:DN56,DJ48:DJ56,1,1)</f>
        <v>0.49997449198888488</v>
      </c>
      <c r="DN81" s="2">
        <v>4.8662282186963998E-5</v>
      </c>
      <c r="DO81" s="4" t="s">
        <v>30</v>
      </c>
      <c r="DQ81" s="3" t="s">
        <v>37</v>
      </c>
      <c r="DR81" s="9">
        <f>SQRT((PI()^2*5.029/((DM81*AD12^2)^2) * DM81 *AD12^ 2*AH8 )^2+(PI()^2*5.029/((DM81*AD12^2)^2)*AH7*AD12^2*DM82)^2+(PI()^2*5.029/((DM81*AD12^2)^2)*AH7*AD12*DM81*AD13)^2)</f>
        <v>15601.971069657528</v>
      </c>
    </row>
    <row r="82" spans="1:122" x14ac:dyDescent="0.25">
      <c r="A82" s="17"/>
      <c r="D82" s="41">
        <f t="shared" si="44"/>
        <v>-0.61798295742513154</v>
      </c>
      <c r="E82" s="41">
        <f t="shared" si="45"/>
        <v>3.5138063006848088E-4</v>
      </c>
      <c r="F82" s="41">
        <f>LOG(K11)</f>
        <v>-1.3788237182249647</v>
      </c>
      <c r="G82" s="41">
        <f t="shared" si="46"/>
        <v>3.1497462377739111E-4</v>
      </c>
      <c r="H82" s="41">
        <f t="shared" si="47"/>
        <v>-1.3813398761831672</v>
      </c>
      <c r="I82" s="41">
        <f t="shared" si="48"/>
        <v>2.5161579582024807E-3</v>
      </c>
      <c r="BJ82" s="18"/>
      <c r="BS82" s="17"/>
      <c r="DE82" s="18"/>
      <c r="DL82" s="4" t="s">
        <v>28</v>
      </c>
      <c r="DM82" s="2">
        <v>4.1260412144486528E-3</v>
      </c>
      <c r="DN82" s="2">
        <v>2.6684979916949783E-5</v>
      </c>
      <c r="DO82" s="4" t="s">
        <v>31</v>
      </c>
      <c r="DQ82" s="3" t="s">
        <v>38</v>
      </c>
      <c r="DR82" s="9">
        <f>DR81/DR80</f>
        <v>6.0251607133525658E-8</v>
      </c>
    </row>
    <row r="83" spans="1:122" ht="18" x14ac:dyDescent="0.25">
      <c r="A83" s="17"/>
      <c r="D83" s="41">
        <f t="shared" si="44"/>
        <v>-0.58502665202918203</v>
      </c>
      <c r="E83" s="41">
        <f t="shared" si="45"/>
        <v>3.7117495450582355E-4</v>
      </c>
      <c r="F83" s="41">
        <f>LOG(K13)</f>
        <v>-1.3223930472795069</v>
      </c>
      <c r="G83" s="41">
        <f t="shared" si="46"/>
        <v>3.2841558173396642E-4</v>
      </c>
      <c r="H83" s="41">
        <f t="shared" si="47"/>
        <v>-1.3175710990801062</v>
      </c>
      <c r="I83" s="41">
        <f t="shared" si="48"/>
        <v>-4.8219481994007385E-3</v>
      </c>
      <c r="BJ83" s="18"/>
      <c r="BS83" s="17"/>
      <c r="DE83" s="18"/>
      <c r="DL83" s="4" t="s">
        <v>29</v>
      </c>
      <c r="DM83" s="2">
        <v>0.99952350046899341</v>
      </c>
      <c r="DN83" s="2">
        <v>3.7308425562807957E-5</v>
      </c>
      <c r="DO83" s="4" t="s">
        <v>32</v>
      </c>
      <c r="DQ83" s="3" t="s">
        <v>48</v>
      </c>
      <c r="DR83" s="9">
        <f>200*10^9</f>
        <v>200000000000</v>
      </c>
    </row>
    <row r="84" spans="1:122" x14ac:dyDescent="0.25">
      <c r="A84" s="17"/>
      <c r="D84" s="7">
        <f t="shared" si="44"/>
        <v>-0.56066730616973737</v>
      </c>
      <c r="E84" s="7">
        <f t="shared" si="45"/>
        <v>3.8730141487131113E-4</v>
      </c>
      <c r="F84" s="7">
        <f>LOG(K15)</f>
        <v>-1.2692177243336109</v>
      </c>
      <c r="G84" s="7">
        <f t="shared" si="46"/>
        <v>3.4217492678907668E-4</v>
      </c>
      <c r="H84" s="41">
        <f t="shared" si="47"/>
        <v>-1.2704370020439069</v>
      </c>
      <c r="I84" s="7">
        <f t="shared" si="48"/>
        <v>1.2192777102959518E-3</v>
      </c>
      <c r="BJ84" s="18"/>
      <c r="BS84" s="17"/>
      <c r="DE84" s="18"/>
      <c r="DQ84" s="3" t="s">
        <v>49</v>
      </c>
      <c r="DR84" s="6">
        <f>(DR80-DR83)/DR83</f>
        <v>0.29473484707897202</v>
      </c>
    </row>
    <row r="85" spans="1:122" x14ac:dyDescent="0.25">
      <c r="A85" s="17"/>
      <c r="D85" s="7">
        <f t="shared" si="44"/>
        <v>-0.54060751224076908</v>
      </c>
      <c r="E85" s="7">
        <f t="shared" si="45"/>
        <v>4.0167262946748606E-4</v>
      </c>
      <c r="F85" s="7">
        <f>LOG(K17)</f>
        <v>-1.2321023839819094</v>
      </c>
      <c r="G85" s="7">
        <f t="shared" si="46"/>
        <v>3.5248246213086492E-4</v>
      </c>
      <c r="H85" s="41">
        <f t="shared" si="47"/>
        <v>-1.2316223196205873</v>
      </c>
      <c r="I85" s="7">
        <f t="shared" si="48"/>
        <v>-4.8006436132208563E-4</v>
      </c>
      <c r="BJ85" s="18"/>
      <c r="BS85" s="17"/>
      <c r="DE85" s="18"/>
    </row>
    <row r="86" spans="1:122" x14ac:dyDescent="0.25">
      <c r="A86" s="17"/>
      <c r="D86" s="7">
        <f t="shared" si="44"/>
        <v>-0.52287874528033762</v>
      </c>
      <c r="E86" s="7">
        <f t="shared" si="45"/>
        <v>4.1529177254126862E-4</v>
      </c>
      <c r="F86" s="7">
        <f>LOG(K19)</f>
        <v>-1.2020403562628039</v>
      </c>
      <c r="G86" s="7">
        <f t="shared" si="46"/>
        <v>3.6129775480541468E-4</v>
      </c>
      <c r="H86" s="41">
        <f t="shared" si="47"/>
        <v>-1.1973180559894212</v>
      </c>
      <c r="I86" s="7">
        <f t="shared" si="48"/>
        <v>-4.722300273382718E-3</v>
      </c>
      <c r="BJ86" s="18"/>
      <c r="BS86" s="17"/>
      <c r="DE86" s="18"/>
    </row>
    <row r="87" spans="1:122" x14ac:dyDescent="0.25">
      <c r="A87" s="17"/>
      <c r="D87" s="7">
        <f t="shared" si="44"/>
        <v>-0.50863830616572736</v>
      </c>
      <c r="E87" s="7">
        <f t="shared" si="45"/>
        <v>4.2691877178608283E-4</v>
      </c>
      <c r="F87" s="7">
        <f>LOG(K21)</f>
        <v>-1.1674910872937636</v>
      </c>
      <c r="G87" s="7">
        <f t="shared" si="46"/>
        <v>3.7198954804009977E-4</v>
      </c>
      <c r="H87" s="41">
        <f t="shared" si="47"/>
        <v>-1.1697635295690869</v>
      </c>
      <c r="I87" s="7">
        <f t="shared" si="48"/>
        <v>2.2724422753233053E-3</v>
      </c>
      <c r="BJ87" s="18"/>
      <c r="BS87" s="17"/>
      <c r="DE87" s="18"/>
    </row>
    <row r="88" spans="1:122" x14ac:dyDescent="0.25">
      <c r="A88" s="17"/>
      <c r="D88" s="7">
        <f t="shared" si="44"/>
        <v>-0.49620931694281889</v>
      </c>
      <c r="E88" s="7">
        <f t="shared" si="45"/>
        <v>4.3761218005636325E-4</v>
      </c>
      <c r="F88" s="7">
        <f>LOG(K23)</f>
        <v>-1.1426675035687315</v>
      </c>
      <c r="G88" s="7">
        <f t="shared" si="46"/>
        <v>3.8007073846668552E-4</v>
      </c>
      <c r="H88" s="41">
        <f t="shared" si="47"/>
        <v>-1.145714066686351</v>
      </c>
      <c r="I88" s="7">
        <f t="shared" si="48"/>
        <v>3.0465631176195274E-3</v>
      </c>
      <c r="AK88" s="4" t="s">
        <v>41</v>
      </c>
      <c r="AL88" s="4" t="s">
        <v>123</v>
      </c>
      <c r="AM88" s="4" t="s">
        <v>42</v>
      </c>
      <c r="AN88" s="4" t="s">
        <v>124</v>
      </c>
      <c r="AO88" s="4" t="s">
        <v>121</v>
      </c>
      <c r="AP88" s="4" t="s">
        <v>122</v>
      </c>
      <c r="AR88" s="58" t="s">
        <v>109</v>
      </c>
      <c r="AS88" s="58"/>
      <c r="AT88" s="58"/>
      <c r="AU88" s="58"/>
      <c r="BJ88" s="18"/>
      <c r="BS88" s="17"/>
      <c r="DE88" s="18"/>
    </row>
    <row r="89" spans="1:122" x14ac:dyDescent="0.25">
      <c r="A89" s="17"/>
      <c r="AK89" s="42">
        <f t="shared" ref="AK89:AK97" si="49">U73</f>
        <v>-0.74472749489669399</v>
      </c>
      <c r="AL89" s="42">
        <f t="shared" ref="AL89:AL97" si="50">ABS(1/(LN(10)*AK89)*G$3)</f>
        <v>2.9157946019133858E-4</v>
      </c>
      <c r="AM89" s="42">
        <f>LOG(W7)</f>
        <v>-1.6258629060005871</v>
      </c>
      <c r="AN89" s="42">
        <f t="shared" ref="AN89:AN97" si="51">ABS(1/(LN(10)*AM89)*J$3)</f>
        <v>2.6711629885914562E-4</v>
      </c>
      <c r="AO89" s="42">
        <f t="shared" ref="AO89:AO97" si="52">AK89*AL$121+AM$121</f>
        <v>-1.6135431946969248</v>
      </c>
      <c r="AP89" s="42">
        <f>AM89-AO89</f>
        <v>-1.2319711303662384E-2</v>
      </c>
      <c r="AR89" s="44" t="s">
        <v>112</v>
      </c>
      <c r="AS89" s="44" t="s">
        <v>113</v>
      </c>
      <c r="AT89" s="44" t="s">
        <v>110</v>
      </c>
      <c r="AU89" s="44" t="s">
        <v>111</v>
      </c>
      <c r="BJ89" s="18"/>
      <c r="BS89" s="17"/>
      <c r="DE89" s="18"/>
    </row>
    <row r="90" spans="1:122" x14ac:dyDescent="0.25">
      <c r="A90" s="17"/>
      <c r="AK90" s="2">
        <f t="shared" si="49"/>
        <v>-0.66354026615147055</v>
      </c>
      <c r="AL90" s="2">
        <f t="shared" si="50"/>
        <v>3.2725555935147473E-4</v>
      </c>
      <c r="AM90" s="2">
        <f>LOG(W9)</f>
        <v>-1.4634415574284698</v>
      </c>
      <c r="AN90" s="2">
        <f t="shared" si="51"/>
        <v>2.9676243625771117E-4</v>
      </c>
      <c r="AO90" s="2">
        <f t="shared" si="52"/>
        <v>-1.4583734777421962</v>
      </c>
      <c r="AP90" s="2">
        <f t="shared" ref="AP90:AP97" si="53">AM90-AO90</f>
        <v>-5.0680796862736521E-3</v>
      </c>
      <c r="AR90" s="24" cm="1">
        <f t="array" ref="AR90:AR91">AK90:AK91</f>
        <v>-0.66354026615147055</v>
      </c>
      <c r="AS90" s="24" cm="1">
        <f t="array" ref="AS90:AS91">AM90:AM91</f>
        <v>-1.4634415574284698</v>
      </c>
      <c r="AT90" s="2">
        <f t="shared" ref="AT90:AT96" si="54">AR90*AR$121+AS$121</f>
        <v>-1.4628945816058589</v>
      </c>
      <c r="AU90" s="24">
        <f t="shared" ref="AU90:AU96" si="55">AS90-AT90</f>
        <v>-5.4697582261087341E-4</v>
      </c>
      <c r="BJ90" s="18"/>
      <c r="BS90" s="17"/>
      <c r="DE90" s="18"/>
    </row>
    <row r="91" spans="1:122" x14ac:dyDescent="0.25">
      <c r="A91" s="17"/>
      <c r="AK91" s="2">
        <f t="shared" si="49"/>
        <v>-0.61798295742513154</v>
      </c>
      <c r="AL91" s="2">
        <f t="shared" si="50"/>
        <v>3.5138063006848088E-4</v>
      </c>
      <c r="AM91" s="2">
        <f>LOG(W11)</f>
        <v>-1.3740020011739484</v>
      </c>
      <c r="AN91" s="2">
        <f t="shared" si="51"/>
        <v>3.1607994859701093E-4</v>
      </c>
      <c r="AO91" s="2">
        <f t="shared" si="52"/>
        <v>-1.3713017201574034</v>
      </c>
      <c r="AP91" s="2">
        <f t="shared" si="53"/>
        <v>-2.7002810165450697E-3</v>
      </c>
      <c r="AR91" s="24">
        <v>-0.61798295742513154</v>
      </c>
      <c r="AS91" s="24">
        <v>-1.3740020011739484</v>
      </c>
      <c r="AT91" s="2">
        <f t="shared" si="54"/>
        <v>-1.3749151061195932</v>
      </c>
      <c r="AU91" s="2">
        <f t="shared" si="55"/>
        <v>9.1310494564478262E-4</v>
      </c>
      <c r="BJ91" s="18"/>
      <c r="BS91" s="17"/>
      <c r="DE91" s="18"/>
    </row>
    <row r="92" spans="1:122" ht="17.25" x14ac:dyDescent="0.25">
      <c r="A92" s="17"/>
      <c r="AK92" s="53">
        <f t="shared" si="49"/>
        <v>-0.58502665202918203</v>
      </c>
      <c r="AL92" s="2">
        <f t="shared" si="50"/>
        <v>3.7117495450582355E-4</v>
      </c>
      <c r="AM92" s="2">
        <f>LOG(W13)</f>
        <v>-1.2912958951067002</v>
      </c>
      <c r="AN92" s="2">
        <f t="shared" si="51"/>
        <v>3.363245275920016E-4</v>
      </c>
      <c r="AO92" s="2">
        <f t="shared" si="52"/>
        <v>-1.3083137273511585</v>
      </c>
      <c r="AP92" s="2">
        <f t="shared" si="53"/>
        <v>1.7017832244458297E-2</v>
      </c>
      <c r="AR92" s="24" cm="1">
        <f t="array" ref="AR92:AR96">AK93:AK97</f>
        <v>-0.56066730616973737</v>
      </c>
      <c r="AS92" s="24" cm="1">
        <f t="array" ref="AS92:AS96">AM93:AM97</f>
        <v>-1.2633379553843582</v>
      </c>
      <c r="AT92" s="2">
        <f t="shared" si="54"/>
        <v>-1.2642281257956673</v>
      </c>
      <c r="AU92" s="2">
        <f t="shared" si="55"/>
        <v>8.9017041130912133E-4</v>
      </c>
      <c r="BJ92" s="18"/>
      <c r="BS92" s="76" t="s">
        <v>118</v>
      </c>
      <c r="BT92" s="57"/>
      <c r="BU92" s="57"/>
      <c r="BV92" s="57"/>
      <c r="BX92" s="57" t="s">
        <v>119</v>
      </c>
      <c r="BY92" s="57"/>
      <c r="BZ92" s="57"/>
      <c r="CA92" s="57"/>
      <c r="CD92" s="57" t="s">
        <v>33</v>
      </c>
      <c r="CE92" s="57"/>
      <c r="CF92" s="57"/>
      <c r="CG92" s="57"/>
      <c r="CK92" s="57" t="s">
        <v>34</v>
      </c>
      <c r="CL92" s="57"/>
      <c r="CM92" s="57"/>
      <c r="CN92" s="57"/>
      <c r="DE92" s="18"/>
    </row>
    <row r="93" spans="1:122" x14ac:dyDescent="0.25">
      <c r="A93" s="17"/>
      <c r="AK93" s="2">
        <f t="shared" si="49"/>
        <v>-0.56066730616973737</v>
      </c>
      <c r="AL93" s="2">
        <f t="shared" si="50"/>
        <v>3.8730141487131113E-4</v>
      </c>
      <c r="AM93" s="2">
        <f>LOG(W15)</f>
        <v>-1.2633379553843582</v>
      </c>
      <c r="AN93" s="2">
        <f t="shared" si="51"/>
        <v>3.437674614716392E-4</v>
      </c>
      <c r="AO93" s="2">
        <f t="shared" si="52"/>
        <v>-1.2617567397481697</v>
      </c>
      <c r="AP93" s="2">
        <f t="shared" si="53"/>
        <v>-1.5812156361885155E-3</v>
      </c>
      <c r="AR93" s="24">
        <v>-0.54060751224076908</v>
      </c>
      <c r="AS93" s="24">
        <v>-1.225239800167135</v>
      </c>
      <c r="AT93" s="2">
        <f t="shared" si="54"/>
        <v>-1.2254890036312174</v>
      </c>
      <c r="AU93" s="2">
        <f t="shared" si="55"/>
        <v>2.4920346408241478E-4</v>
      </c>
      <c r="BJ93" s="18"/>
      <c r="BS93" s="36" t="s">
        <v>18</v>
      </c>
      <c r="BT93" s="13">
        <f t="array" ref="BT93:BU95">LINEST(BY44:BY55,BW44:BW55,1,1)</f>
        <v>0.70432221219285651</v>
      </c>
      <c r="BU93" s="13">
        <v>2.8863721126123204E-4</v>
      </c>
      <c r="BV93" s="4" t="s">
        <v>30</v>
      </c>
      <c r="BX93" s="4" t="s">
        <v>18</v>
      </c>
      <c r="BY93" s="13">
        <f t="array" ref="BY93:BZ95">LINEST(BZ105:BZ115,BY105:BY115,1,1)</f>
        <v>0.70459628819065223</v>
      </c>
      <c r="BZ93" s="7">
        <v>3.0143342696900555E-4</v>
      </c>
      <c r="CA93" s="4" t="s">
        <v>30</v>
      </c>
      <c r="CD93" s="4" t="s">
        <v>18</v>
      </c>
      <c r="CE93" s="13">
        <f t="array" ref="CE93:CF95">LINEST(CE44:CE55,BW44:BW55,1,1)</f>
        <v>0.7109101995299405</v>
      </c>
      <c r="CF93" s="7">
        <v>2.2257616552423531E-4</v>
      </c>
      <c r="CG93" s="4" t="s">
        <v>30</v>
      </c>
      <c r="CK93" s="4" t="s">
        <v>18</v>
      </c>
      <c r="CL93" s="13">
        <f t="array" ref="CL93:CM95">LINEST(CI44:CI55,BW44:BW55,1,1)</f>
        <v>0.71623122541987561</v>
      </c>
      <c r="CM93" s="7">
        <v>3.419777930340831E-4</v>
      </c>
      <c r="CN93" s="4" t="s">
        <v>30</v>
      </c>
      <c r="DE93" s="18"/>
    </row>
    <row r="94" spans="1:122" x14ac:dyDescent="0.25">
      <c r="A94" s="17"/>
      <c r="AK94" s="2">
        <f t="shared" si="49"/>
        <v>-0.54060751224076908</v>
      </c>
      <c r="AL94" s="2">
        <f t="shared" si="50"/>
        <v>4.0167262946748606E-4</v>
      </c>
      <c r="AM94" s="2">
        <f>LOG(W17)</f>
        <v>-1.225239800167135</v>
      </c>
      <c r="AN94" s="2">
        <f t="shared" si="51"/>
        <v>3.5445672091619101E-4</v>
      </c>
      <c r="AO94" s="2">
        <f t="shared" si="52"/>
        <v>-1.223417303925127</v>
      </c>
      <c r="AP94" s="2">
        <f t="shared" si="53"/>
        <v>-1.8224962420079205E-3</v>
      </c>
      <c r="AR94" s="24">
        <v>-0.52287874528033762</v>
      </c>
      <c r="AS94" s="24">
        <v>-1.1951793212788377</v>
      </c>
      <c r="AT94" s="2">
        <f t="shared" si="54"/>
        <v>-1.1912515198595912</v>
      </c>
      <c r="AU94" s="2">
        <f t="shared" si="55"/>
        <v>-3.9278014192465349E-3</v>
      </c>
      <c r="BJ94" s="18"/>
      <c r="BS94" s="36" t="s">
        <v>28</v>
      </c>
      <c r="BT94" s="13">
        <v>3.798369993002385E-3</v>
      </c>
      <c r="BU94" s="13">
        <v>2.4883347507541261E-4</v>
      </c>
      <c r="BV94" s="4" t="s">
        <v>31</v>
      </c>
      <c r="BX94" s="4" t="s">
        <v>28</v>
      </c>
      <c r="BY94" s="13">
        <v>3.9405340288509874E-3</v>
      </c>
      <c r="BZ94" s="7">
        <v>2.5738517739531432E-4</v>
      </c>
      <c r="CA94" s="4" t="s">
        <v>31</v>
      </c>
      <c r="CD94" s="4" t="s">
        <v>28</v>
      </c>
      <c r="CE94" s="13">
        <v>3.6323979310317568E-3</v>
      </c>
      <c r="CF94" s="7">
        <v>2.3796054668200498E-4</v>
      </c>
      <c r="CG94" s="4" t="s">
        <v>31</v>
      </c>
      <c r="CK94" s="4" t="s">
        <v>28</v>
      </c>
      <c r="CL94" s="13">
        <v>6.9214201340361148E-3</v>
      </c>
      <c r="CM94" s="7">
        <v>4.5342634540132678E-4</v>
      </c>
      <c r="CN94" s="4" t="s">
        <v>31</v>
      </c>
      <c r="DE94" s="18"/>
    </row>
    <row r="95" spans="1:122" ht="17.25" x14ac:dyDescent="0.25">
      <c r="A95" s="17"/>
      <c r="AK95" s="2">
        <f t="shared" si="49"/>
        <v>-0.52287874528033762</v>
      </c>
      <c r="AL95" s="2">
        <f t="shared" si="50"/>
        <v>4.1529177254126862E-4</v>
      </c>
      <c r="AM95" s="2">
        <f>LOG(W19)</f>
        <v>-1.1951793212788377</v>
      </c>
      <c r="AN95" s="2">
        <f t="shared" si="51"/>
        <v>3.6337181724208398E-4</v>
      </c>
      <c r="AO95" s="2">
        <f t="shared" si="52"/>
        <v>-1.1895330613696951</v>
      </c>
      <c r="AP95" s="2">
        <f t="shared" si="53"/>
        <v>-5.6462599091426924E-3</v>
      </c>
      <c r="AR95" s="24">
        <v>-0.50863830616572736</v>
      </c>
      <c r="AS95" s="24">
        <v>-1.1624115617644888</v>
      </c>
      <c r="AT95" s="2">
        <f t="shared" si="54"/>
        <v>-1.1637506336346513</v>
      </c>
      <c r="AU95" s="2">
        <f t="shared" si="55"/>
        <v>1.3390718701624671E-3</v>
      </c>
      <c r="BJ95" s="18"/>
      <c r="BS95" s="36" t="s">
        <v>29</v>
      </c>
      <c r="BT95" s="7">
        <v>0.9997092461516135</v>
      </c>
      <c r="BU95" s="13">
        <v>4.8222510430447562E-4</v>
      </c>
      <c r="BV95" s="4" t="s">
        <v>32</v>
      </c>
      <c r="BX95" s="4" t="s">
        <v>29</v>
      </c>
      <c r="BY95" s="24">
        <v>0.99971858338356245</v>
      </c>
      <c r="BZ95" s="7">
        <v>4.9726985923276117E-4</v>
      </c>
      <c r="CA95" s="4" t="s">
        <v>32</v>
      </c>
      <c r="CD95" s="4" t="s">
        <v>29</v>
      </c>
      <c r="CE95" s="24">
        <v>0.99973899791157128</v>
      </c>
      <c r="CF95" s="7">
        <v>4.6115398826184081E-4</v>
      </c>
      <c r="CG95" s="4" t="s">
        <v>32</v>
      </c>
      <c r="CK95" s="4" t="s">
        <v>29</v>
      </c>
      <c r="CL95" s="24">
        <v>0.99906700666992843</v>
      </c>
      <c r="CM95" s="2">
        <v>8.787144359869018E-4</v>
      </c>
      <c r="CN95" s="4" t="s">
        <v>32</v>
      </c>
      <c r="DE95" s="18"/>
    </row>
    <row r="96" spans="1:122" x14ac:dyDescent="0.25">
      <c r="A96" s="17"/>
      <c r="AK96" s="2">
        <f t="shared" si="49"/>
        <v>-0.50863830616572736</v>
      </c>
      <c r="AL96" s="2">
        <f t="shared" si="50"/>
        <v>4.2691877178608283E-4</v>
      </c>
      <c r="AM96" s="2">
        <f>LOG(W21)</f>
        <v>-1.1624115617644888</v>
      </c>
      <c r="AN96" s="2">
        <f t="shared" si="51"/>
        <v>3.7361507420316102E-4</v>
      </c>
      <c r="AO96" s="2">
        <f t="shared" si="52"/>
        <v>-1.1623159123072555</v>
      </c>
      <c r="AP96" s="2">
        <f t="shared" si="53"/>
        <v>-9.564945723328222E-5</v>
      </c>
      <c r="AR96" s="24">
        <v>-0.49620931694281889</v>
      </c>
      <c r="AS96" s="24">
        <v>-1.1386647611150575</v>
      </c>
      <c r="AT96" s="2">
        <f t="shared" si="54"/>
        <v>-1.1397479876657131</v>
      </c>
      <c r="AU96" s="2">
        <f t="shared" si="55"/>
        <v>1.0832265506555139E-3</v>
      </c>
      <c r="BJ96" s="18"/>
      <c r="BS96" s="17"/>
      <c r="DE96" s="18"/>
    </row>
    <row r="97" spans="1:109" ht="17.25" x14ac:dyDescent="0.25">
      <c r="A97" s="17"/>
      <c r="AK97" s="2">
        <f t="shared" si="49"/>
        <v>-0.49620931694281889</v>
      </c>
      <c r="AL97" s="2">
        <f t="shared" si="50"/>
        <v>4.3761218005636325E-4</v>
      </c>
      <c r="AM97" s="2">
        <f>LOG(W23)</f>
        <v>-1.1386647611150575</v>
      </c>
      <c r="AN97" s="2">
        <f t="shared" si="51"/>
        <v>3.8140679920397398E-4</v>
      </c>
      <c r="AO97" s="2">
        <f t="shared" si="52"/>
        <v>-1.1385609108179904</v>
      </c>
      <c r="AP97" s="2">
        <f t="shared" si="53"/>
        <v>-1.0385029706716509E-4</v>
      </c>
      <c r="BJ97" s="18"/>
      <c r="BS97" s="17"/>
      <c r="BT97" s="3" t="s">
        <v>36</v>
      </c>
      <c r="BU97" s="9">
        <f>5.029*PI()^2 *AH7 /(BT93^2 * AE12^2)</f>
        <v>260985218358.13461</v>
      </c>
      <c r="BY97" s="3" t="s">
        <v>36</v>
      </c>
      <c r="BZ97" s="9">
        <f>5.029*PI()^2 *AH7 /(BY93^2 * AE12^2)</f>
        <v>260782220206.1601</v>
      </c>
      <c r="CE97" s="3" t="s">
        <v>36</v>
      </c>
      <c r="CF97" s="2">
        <f>5.029*PI()^2 *AH7 /(CE93^2 * AE12^2)</f>
        <v>256170543740.90887</v>
      </c>
      <c r="CK97" s="3" t="s">
        <v>36</v>
      </c>
      <c r="CL97" s="30">
        <f>5.029*PI()^2 *AH7 /(CL93^2 * AE12^2)</f>
        <v>252378397540.10223</v>
      </c>
      <c r="DE97" s="18"/>
    </row>
    <row r="98" spans="1:109" ht="17.25" x14ac:dyDescent="0.25">
      <c r="A98" s="17"/>
      <c r="BJ98" s="18"/>
      <c r="BS98" s="17"/>
      <c r="BT98" s="3" t="s">
        <v>37</v>
      </c>
      <c r="BU98" s="23">
        <f>SQRT((PI()^2*(5.029/2)/(BT93^2*AE12^2)^2 * AH7*AE12^2*BT93*BT94)^2+(PI()^2*(5.029/2)/(BT93^2*AE12^2)^2*AE12^2*BT93^2*AH8)^2+(PI()^2*(5.029/2)/(AE12^2*BT93^2)^2*AH7*AE12*BT93^2*AE13)^2)</f>
        <v>1804345689.6861513</v>
      </c>
      <c r="BY98" s="3" t="s">
        <v>37</v>
      </c>
      <c r="BZ98" s="23">
        <f>SQRT((PI()^2*(5.029/2)/(BY93^2*AE12^2)^2 * AH7*AE12^2*BY93*BY94)^2+(PI()^2*(5.029/2)/(BY93^2*AE12^2)^2*AE12^2*BY93^2*AH8)^2+(PI()^2*(5.029/2)/(AE12^2*BY93^2)^2*AH7*AE12*BY93^2*AE13)^2)</f>
        <v>1813255036.1019621</v>
      </c>
      <c r="CE98" s="3" t="s">
        <v>37</v>
      </c>
      <c r="CF98" s="23">
        <f>SQRT(((PI()*(5.029/2))/(CE93^2*AE12^2)^2 * AH7*AE12^2*CE93*CE94)^2+(PI()^2*(5.029/2)/(CE93^2*AE12^2)*AE12^2*CE93^2*AH8)^2+(PI()^2*(5.029/2)/(AE12^2*CE93^2)*AH7*AE12*CE93^2*AE13)^2)</f>
        <v>208318575.06979743</v>
      </c>
      <c r="CK98" s="3" t="s">
        <v>37</v>
      </c>
      <c r="CL98" s="23">
        <f>SQRT(((PI()*(5.029/2))/(CL93^2*AE12^2)^2 * AH7*AE12^2*CL93*CL94)^2+(PI()^2*(5.029/2)/(CL93^2*AE12^2)*AE12^2*CL93^2*AH8)^2+(PI()^2*(5.029/2)/(AE12^2*CL93^2)*AH7*AE12*CL93^2*AE13)^2)</f>
        <v>388163121.03389418</v>
      </c>
      <c r="DE98" s="18"/>
    </row>
    <row r="99" spans="1:109" x14ac:dyDescent="0.25">
      <c r="A99" s="17"/>
      <c r="BJ99" s="18"/>
      <c r="BS99" s="17"/>
      <c r="BT99" s="3" t="s">
        <v>38</v>
      </c>
      <c r="BU99" s="32">
        <f>BU98/BU97</f>
        <v>6.9135934250887507E-3</v>
      </c>
      <c r="BY99" s="3" t="s">
        <v>38</v>
      </c>
      <c r="BZ99" s="32">
        <f>BZ98/BZ97</f>
        <v>6.9531390394195671E-3</v>
      </c>
      <c r="CE99" s="3" t="s">
        <v>38</v>
      </c>
      <c r="CF99" s="6">
        <f>CF98/CF97</f>
        <v>8.1320268922289139E-4</v>
      </c>
      <c r="CK99" s="3" t="s">
        <v>38</v>
      </c>
      <c r="CL99" s="6">
        <f>CL98/CL97</f>
        <v>1.5380203885010249E-3</v>
      </c>
      <c r="DE99" s="18"/>
    </row>
    <row r="100" spans="1:109" ht="18" x14ac:dyDescent="0.25">
      <c r="A100" s="17"/>
      <c r="BJ100" s="18"/>
      <c r="BS100" s="17"/>
      <c r="BT100" s="3" t="s">
        <v>48</v>
      </c>
      <c r="BU100" s="9">
        <f>200*10^9</f>
        <v>200000000000</v>
      </c>
      <c r="BY100" s="3" t="s">
        <v>48</v>
      </c>
      <c r="BZ100" s="9">
        <f>200*10^9</f>
        <v>200000000000</v>
      </c>
      <c r="CE100" s="3" t="s">
        <v>48</v>
      </c>
      <c r="CF100" s="9">
        <f>200*10^9</f>
        <v>200000000000</v>
      </c>
      <c r="CK100" s="3" t="s">
        <v>48</v>
      </c>
      <c r="CL100" s="9">
        <f>200*10^9</f>
        <v>200000000000</v>
      </c>
      <c r="DE100" s="18"/>
    </row>
    <row r="101" spans="1:109" x14ac:dyDescent="0.25">
      <c r="A101" s="17"/>
      <c r="BJ101" s="18"/>
      <c r="BS101" s="17"/>
      <c r="BT101" s="3" t="s">
        <v>49</v>
      </c>
      <c r="BU101" s="33">
        <f>(BU97-BU100)/BU100</f>
        <v>0.30492609179067309</v>
      </c>
      <c r="BY101" s="3" t="s">
        <v>49</v>
      </c>
      <c r="BZ101" s="33">
        <f>(BZ97-BZ100)/BZ100</f>
        <v>0.30391110103080049</v>
      </c>
      <c r="CE101" s="3" t="s">
        <v>49</v>
      </c>
      <c r="CF101" s="33">
        <f>(CF97-CF100)/CF100</f>
        <v>0.28085271870454437</v>
      </c>
      <c r="CK101" s="3" t="s">
        <v>49</v>
      </c>
      <c r="CL101" s="33">
        <f>(CL97-CL100)/CL100</f>
        <v>0.26189198770051114</v>
      </c>
      <c r="DE101" s="18"/>
    </row>
    <row r="102" spans="1:109" ht="15.75" thickBot="1" x14ac:dyDescent="0.3">
      <c r="A102" s="17"/>
      <c r="BJ102" s="18"/>
      <c r="BS102" s="17"/>
      <c r="DE102" s="18"/>
    </row>
    <row r="103" spans="1:109" ht="15.75" thickBot="1" x14ac:dyDescent="0.3">
      <c r="A103" s="17"/>
      <c r="BJ103" s="18"/>
      <c r="BS103" s="17"/>
      <c r="BY103" s="59" t="s">
        <v>109</v>
      </c>
      <c r="BZ103" s="59"/>
      <c r="CA103" s="59"/>
      <c r="CB103" s="59"/>
      <c r="CG103" s="35"/>
      <c r="DE103" s="18"/>
    </row>
    <row r="104" spans="1:109" x14ac:dyDescent="0.25">
      <c r="A104" s="17"/>
      <c r="BJ104" s="18"/>
      <c r="BS104" s="17"/>
      <c r="BY104" s="1" t="s">
        <v>112</v>
      </c>
      <c r="BZ104" s="1" t="s">
        <v>113</v>
      </c>
      <c r="CA104" s="1" t="s">
        <v>110</v>
      </c>
      <c r="CB104" s="1" t="s">
        <v>111</v>
      </c>
      <c r="DE104" s="18"/>
    </row>
    <row r="105" spans="1:109" x14ac:dyDescent="0.25">
      <c r="A105" s="17"/>
      <c r="U105" s="57" t="s">
        <v>44</v>
      </c>
      <c r="V105" s="57"/>
      <c r="W105" s="57"/>
      <c r="X105" s="57"/>
      <c r="Z105" s="75" t="s">
        <v>46</v>
      </c>
      <c r="AA105" s="74">
        <f>(V106-2)/2</f>
        <v>-3.4739018050934156E-2</v>
      </c>
      <c r="BJ105" s="18"/>
      <c r="BS105" s="17"/>
      <c r="BY105" s="1" cm="1">
        <f t="array" ref="BY105:BY107">BW44:BW46</f>
        <v>3.2399999999999998E-2</v>
      </c>
      <c r="BZ105" s="1" cm="1">
        <f t="array" ref="BZ105:BZ107">BY44:BY46</f>
        <v>2.3800000000000002E-2</v>
      </c>
      <c r="CA105" s="1">
        <f t="shared" ref="CA105:CA115" si="56">BY105*BT$93+BU$93</f>
        <v>2.3108676886309781E-2</v>
      </c>
      <c r="CB105" s="1">
        <f>BZ105-CA105</f>
        <v>6.9132311369022106E-4</v>
      </c>
      <c r="DE105" s="18"/>
    </row>
    <row r="106" spans="1:109" x14ac:dyDescent="0.25">
      <c r="A106" s="17"/>
      <c r="U106" s="4" t="s">
        <v>18</v>
      </c>
      <c r="V106" s="13">
        <f t="array" ref="V106:W108">LINEST(W74:W81,U74:U81,1,1)</f>
        <v>1.9305219638981317</v>
      </c>
      <c r="W106" s="13">
        <v>-0.18426794089140741</v>
      </c>
      <c r="X106" s="4" t="s">
        <v>30</v>
      </c>
      <c r="Z106" s="75"/>
      <c r="AA106" s="74"/>
      <c r="BJ106" s="18"/>
      <c r="BS106" s="17"/>
      <c r="BY106" s="1">
        <v>4.7088999999999999E-2</v>
      </c>
      <c r="BZ106" s="1">
        <v>3.4000000000000002E-2</v>
      </c>
      <c r="CA106" s="1">
        <f t="shared" si="56"/>
        <v>3.3454465861210654E-2</v>
      </c>
      <c r="CB106" s="1">
        <f t="shared" ref="CB106:CB115" si="57">BZ106-CA106</f>
        <v>5.4553413878934837E-4</v>
      </c>
      <c r="DE106" s="18"/>
    </row>
    <row r="107" spans="1:109" x14ac:dyDescent="0.25">
      <c r="A107" s="17"/>
      <c r="U107" s="4" t="s">
        <v>28</v>
      </c>
      <c r="V107" s="13">
        <v>2.4240564344596951E-2</v>
      </c>
      <c r="W107" s="13">
        <v>1.3684082815260889E-2</v>
      </c>
      <c r="X107" s="4" t="s">
        <v>31</v>
      </c>
      <c r="Z107" s="75" t="s">
        <v>47</v>
      </c>
      <c r="AA107" s="74">
        <f>V107/V106</f>
        <v>1.2556482028129911E-2</v>
      </c>
      <c r="BJ107" s="18"/>
      <c r="BS107" s="17"/>
      <c r="BY107" s="1">
        <v>5.8081000000000008E-2</v>
      </c>
      <c r="BZ107" s="1">
        <v>4.1800000000000004E-2</v>
      </c>
      <c r="CA107" s="1">
        <f t="shared" si="56"/>
        <v>4.1196375617634534E-2</v>
      </c>
      <c r="CB107" s="1">
        <f t="shared" si="57"/>
        <v>6.0362438236546967E-4</v>
      </c>
      <c r="DE107" s="18"/>
    </row>
    <row r="108" spans="1:109" ht="17.25" x14ac:dyDescent="0.25">
      <c r="A108" s="17"/>
      <c r="U108" s="4" t="s">
        <v>29</v>
      </c>
      <c r="V108" s="24">
        <v>0.99905490260851104</v>
      </c>
      <c r="W108" s="13">
        <v>3.687474313855005E-3</v>
      </c>
      <c r="X108" s="4" t="s">
        <v>32</v>
      </c>
      <c r="Z108" s="75"/>
      <c r="AA108" s="74"/>
      <c r="BJ108" s="18"/>
      <c r="BS108" s="17"/>
      <c r="BY108" s="1" cm="1">
        <f t="array" ref="BY108:BY115">BW48:BW55</f>
        <v>7.5625000000000012E-2</v>
      </c>
      <c r="BZ108" s="1" cm="1">
        <f t="array" ref="BZ108:BZ115">BY48:BY55</f>
        <v>5.3800000000000001E-2</v>
      </c>
      <c r="CA108" s="1">
        <f t="shared" si="56"/>
        <v>5.3553004508346012E-2</v>
      </c>
      <c r="CB108" s="1">
        <f t="shared" si="57"/>
        <v>2.4699549165398821E-4</v>
      </c>
      <c r="DE108" s="18"/>
    </row>
    <row r="109" spans="1:109" x14ac:dyDescent="0.25">
      <c r="A109" s="17"/>
      <c r="BJ109" s="18"/>
      <c r="BS109" s="17"/>
      <c r="BY109" s="1">
        <v>8.2944000000000018E-2</v>
      </c>
      <c r="BZ109" s="1">
        <v>5.8599999999999999E-2</v>
      </c>
      <c r="CA109" s="1">
        <f t="shared" si="56"/>
        <v>5.8707938779385536E-2</v>
      </c>
      <c r="CB109" s="1">
        <f t="shared" si="57"/>
        <v>-1.0793877938553714E-4</v>
      </c>
      <c r="DE109" s="18"/>
    </row>
    <row r="110" spans="1:109" x14ac:dyDescent="0.25">
      <c r="A110" s="17"/>
      <c r="D110" s="57" t="s">
        <v>43</v>
      </c>
      <c r="E110" s="57"/>
      <c r="F110" s="57"/>
      <c r="G110" s="57"/>
      <c r="J110" s="75" t="s">
        <v>46</v>
      </c>
      <c r="K110" s="79">
        <f>(E111-2)/2</f>
        <v>-3.2525394808081032E-2</v>
      </c>
      <c r="BJ110" s="18"/>
      <c r="BS110" s="17"/>
      <c r="BY110" s="1">
        <v>0.09</v>
      </c>
      <c r="BZ110" s="1">
        <v>6.2800000000000009E-2</v>
      </c>
      <c r="CA110" s="1">
        <f t="shared" si="56"/>
        <v>6.3677636308618307E-2</v>
      </c>
      <c r="CB110" s="1">
        <f t="shared" si="57"/>
        <v>-8.7763630861829867E-4</v>
      </c>
      <c r="DE110" s="18"/>
    </row>
    <row r="111" spans="1:109" x14ac:dyDescent="0.25">
      <c r="A111" s="17"/>
      <c r="D111" s="4" t="s">
        <v>18</v>
      </c>
      <c r="E111" s="8">
        <f t="array" ref="E111:F113">LINEST(F81:F88,D81:D88,1,1)</f>
        <v>1.9349492103838379</v>
      </c>
      <c r="F111" s="8">
        <v>-0.18557424068274009</v>
      </c>
      <c r="G111" s="4" t="s">
        <v>30</v>
      </c>
      <c r="J111" s="75"/>
      <c r="K111" s="79"/>
      <c r="BJ111" s="18"/>
      <c r="BS111" s="17"/>
      <c r="BY111" s="1">
        <v>9.6100000000000005E-2</v>
      </c>
      <c r="BZ111" s="1">
        <v>6.8000000000000005E-2</v>
      </c>
      <c r="CA111" s="1">
        <f t="shared" si="56"/>
        <v>6.7974001802994732E-2</v>
      </c>
      <c r="CB111" s="1">
        <f t="shared" si="57"/>
        <v>2.5998197005272505E-5</v>
      </c>
      <c r="DE111" s="18"/>
    </row>
    <row r="112" spans="1:109" x14ac:dyDescent="0.25">
      <c r="A112" s="17"/>
      <c r="D112" s="4" t="s">
        <v>28</v>
      </c>
      <c r="E112" s="8">
        <v>2.2290379811670681E-2</v>
      </c>
      <c r="F112" s="8">
        <v>1.2583180778730859E-2</v>
      </c>
      <c r="G112" s="4" t="s">
        <v>31</v>
      </c>
      <c r="J112" s="75" t="s">
        <v>47</v>
      </c>
      <c r="K112" s="74">
        <f>E112/E111</f>
        <v>1.1519878502262555E-2</v>
      </c>
      <c r="BJ112" s="18"/>
      <c r="BS112" s="17"/>
      <c r="BY112" s="1">
        <v>0.101761</v>
      </c>
      <c r="BZ112" s="1">
        <v>7.2000000000000008E-2</v>
      </c>
      <c r="CA112" s="1">
        <f t="shared" si="56"/>
        <v>7.1961169846218503E-2</v>
      </c>
      <c r="CB112" s="1">
        <f t="shared" si="57"/>
        <v>3.8830153781505006E-5</v>
      </c>
      <c r="DE112" s="18"/>
    </row>
    <row r="113" spans="1:109" ht="17.25" x14ac:dyDescent="0.25">
      <c r="A113" s="17"/>
      <c r="D113" s="4" t="s">
        <v>29</v>
      </c>
      <c r="E113" s="13">
        <v>0.99920438789839727</v>
      </c>
      <c r="F113" s="13">
        <v>3.3908122695967065E-3</v>
      </c>
      <c r="G113" s="4" t="s">
        <v>32</v>
      </c>
      <c r="J113" s="75"/>
      <c r="K113" s="74"/>
      <c r="BJ113" s="18"/>
      <c r="BS113" s="17"/>
      <c r="BY113" s="1">
        <v>0</v>
      </c>
      <c r="BZ113" s="1">
        <v>0</v>
      </c>
      <c r="CA113" s="1">
        <f t="shared" si="56"/>
        <v>2.8863721126123204E-4</v>
      </c>
      <c r="CB113" s="1">
        <f t="shared" si="57"/>
        <v>-2.8863721126123204E-4</v>
      </c>
      <c r="DE113" s="18"/>
    </row>
    <row r="114" spans="1:109" x14ac:dyDescent="0.25">
      <c r="A114" s="17"/>
      <c r="BJ114" s="18"/>
      <c r="BS114" s="17"/>
      <c r="BY114" s="1">
        <v>0</v>
      </c>
      <c r="BZ114" s="1">
        <v>0</v>
      </c>
      <c r="CA114" s="1">
        <f t="shared" si="56"/>
        <v>2.8863721126123204E-4</v>
      </c>
      <c r="CB114" s="1">
        <f t="shared" si="57"/>
        <v>-2.8863721126123204E-4</v>
      </c>
      <c r="DE114" s="18"/>
    </row>
    <row r="115" spans="1:109" ht="14.45" customHeight="1" x14ac:dyDescent="0.25">
      <c r="A115" s="17"/>
      <c r="BJ115" s="18"/>
      <c r="BS115" s="17"/>
      <c r="BY115" s="1">
        <v>0</v>
      </c>
      <c r="BZ115" s="1">
        <v>0</v>
      </c>
      <c r="CA115" s="1">
        <f t="shared" si="56"/>
        <v>2.8863721126123204E-4</v>
      </c>
      <c r="CB115" s="1">
        <f t="shared" si="57"/>
        <v>-2.8863721126123204E-4</v>
      </c>
      <c r="DE115" s="18"/>
    </row>
    <row r="116" spans="1:109" ht="14.45" customHeight="1" x14ac:dyDescent="0.25">
      <c r="A116" s="17"/>
      <c r="BJ116" s="18"/>
      <c r="BS116" s="17"/>
      <c r="DE116" s="18"/>
    </row>
    <row r="117" spans="1:109" ht="14.45" customHeight="1" x14ac:dyDescent="0.25">
      <c r="A117" s="17"/>
      <c r="BJ117" s="18"/>
      <c r="BS117" s="17"/>
      <c r="DE117" s="18"/>
    </row>
    <row r="118" spans="1:109" ht="14.45" customHeight="1" x14ac:dyDescent="0.25">
      <c r="A118" s="17"/>
      <c r="BJ118" s="18"/>
      <c r="BS118" s="17"/>
      <c r="DE118" s="18"/>
    </row>
    <row r="119" spans="1:109" x14ac:dyDescent="0.25">
      <c r="A119" s="17"/>
      <c r="BJ119" s="18"/>
      <c r="BS119" s="17"/>
      <c r="DE119" s="18"/>
    </row>
    <row r="120" spans="1:109" x14ac:dyDescent="0.25">
      <c r="A120" s="17"/>
      <c r="AK120" s="57" t="s">
        <v>45</v>
      </c>
      <c r="AL120" s="57"/>
      <c r="AM120" s="57"/>
      <c r="AN120" s="57"/>
      <c r="AQ120" s="83" t="s">
        <v>45</v>
      </c>
      <c r="AR120" s="84"/>
      <c r="AS120" s="84"/>
      <c r="AT120" s="85"/>
      <c r="BJ120" s="18"/>
      <c r="BS120" s="17"/>
      <c r="DE120" s="18"/>
    </row>
    <row r="121" spans="1:109" x14ac:dyDescent="0.25">
      <c r="A121" s="17"/>
      <c r="AK121" s="4" t="s">
        <v>18</v>
      </c>
      <c r="AL121" s="13">
        <f t="array" ref="AL121:AM123">LINEST(AM90:AM97,AK90:AK97,1,1)</f>
        <v>1.9112577107622726</v>
      </c>
      <c r="AM121" s="13">
        <v>-0.1901770276589474</v>
      </c>
      <c r="AN121" s="4" t="s">
        <v>30</v>
      </c>
      <c r="AQ121" s="4" t="s">
        <v>18</v>
      </c>
      <c r="AR121" s="13">
        <f t="array" ref="AR121:AS123">LINEST(AS90:AS96,AR90:AR96,1,1)</f>
        <v>1.9311824588839299</v>
      </c>
      <c r="AS121" s="13">
        <v>-0.18147725885096477</v>
      </c>
      <c r="AT121" s="4" t="s">
        <v>30</v>
      </c>
      <c r="BJ121" s="18"/>
      <c r="BS121" s="17"/>
      <c r="DE121" s="18"/>
    </row>
    <row r="122" spans="1:109" x14ac:dyDescent="0.25">
      <c r="A122" s="17"/>
      <c r="AK122" s="4" t="s">
        <v>28</v>
      </c>
      <c r="AL122" s="13">
        <v>5.0941711668782988E-2</v>
      </c>
      <c r="AM122" s="13">
        <v>2.8757193575080477E-2</v>
      </c>
      <c r="AN122" s="4" t="s">
        <v>31</v>
      </c>
      <c r="AQ122" s="4" t="s">
        <v>28</v>
      </c>
      <c r="AR122" s="13">
        <v>1.3450491262049252E-2</v>
      </c>
      <c r="AS122" s="13">
        <v>7.5527177201424097E-3</v>
      </c>
      <c r="AT122" s="4" t="s">
        <v>31</v>
      </c>
      <c r="BJ122" s="18"/>
      <c r="BS122" s="17"/>
      <c r="DE122" s="18"/>
    </row>
    <row r="123" spans="1:109" ht="17.25" x14ac:dyDescent="0.25">
      <c r="A123" s="17"/>
      <c r="AK123" s="4" t="s">
        <v>29</v>
      </c>
      <c r="AL123" s="24">
        <v>0.99575563632066177</v>
      </c>
      <c r="AM123" s="13">
        <v>7.7492524766369407E-3</v>
      </c>
      <c r="AN123" s="4" t="s">
        <v>32</v>
      </c>
      <c r="AQ123" s="4" t="s">
        <v>29</v>
      </c>
      <c r="AR123" s="24">
        <v>0.99975750970789856</v>
      </c>
      <c r="AS123" s="13">
        <v>2.0189881694801163E-3</v>
      </c>
      <c r="AT123" s="4" t="s">
        <v>32</v>
      </c>
      <c r="BJ123" s="18"/>
      <c r="BS123" s="17"/>
      <c r="DE123" s="18"/>
    </row>
    <row r="124" spans="1:109" x14ac:dyDescent="0.25">
      <c r="A124" s="17"/>
      <c r="BJ124" s="18"/>
      <c r="BS124" s="17"/>
      <c r="DE124" s="18"/>
    </row>
    <row r="125" spans="1:109" ht="15.75" thickBot="1" x14ac:dyDescent="0.3">
      <c r="A125" s="17"/>
      <c r="BJ125" s="18"/>
      <c r="BS125" s="19"/>
      <c r="BT125" s="20"/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  <c r="CJ125" s="20"/>
      <c r="CK125" s="20"/>
      <c r="CL125" s="20"/>
      <c r="CM125" s="20"/>
      <c r="CN125" s="20"/>
      <c r="CO125" s="20"/>
      <c r="CP125" s="20"/>
      <c r="CQ125" s="20"/>
      <c r="CR125" s="20"/>
      <c r="CS125" s="20"/>
      <c r="CT125" s="20"/>
      <c r="CU125" s="20"/>
      <c r="CV125" s="20"/>
      <c r="CW125" s="20"/>
      <c r="CX125" s="20"/>
      <c r="CY125" s="20"/>
      <c r="CZ125" s="20"/>
      <c r="DA125" s="20"/>
      <c r="DB125" s="20"/>
      <c r="DC125" s="20"/>
      <c r="DD125" s="20"/>
      <c r="DE125" s="21"/>
    </row>
    <row r="126" spans="1:109" ht="14.45" customHeight="1" x14ac:dyDescent="0.25">
      <c r="A126" s="17"/>
      <c r="AL126" s="75" t="s">
        <v>46</v>
      </c>
      <c r="AM126" s="74">
        <f>(AL121-2)/2</f>
        <v>-4.4371144618863712E-2</v>
      </c>
      <c r="AR126" s="77" t="s">
        <v>46</v>
      </c>
      <c r="AS126" s="86">
        <f>(AR121-2)/2</f>
        <v>-3.440877055803504E-2</v>
      </c>
      <c r="BJ126" s="18"/>
    </row>
    <row r="127" spans="1:109" x14ac:dyDescent="0.25">
      <c r="A127" s="17"/>
      <c r="AL127" s="75"/>
      <c r="AM127" s="74"/>
      <c r="AR127" s="78"/>
      <c r="AS127" s="87"/>
      <c r="BJ127" s="18"/>
    </row>
    <row r="128" spans="1:109" ht="14.45" customHeight="1" x14ac:dyDescent="0.25">
      <c r="A128" s="17"/>
      <c r="AL128" s="75" t="s">
        <v>47</v>
      </c>
      <c r="AM128" s="74">
        <f>AL122/AL121</f>
        <v>2.6653502236736955E-2</v>
      </c>
      <c r="AR128" s="77" t="s">
        <v>47</v>
      </c>
      <c r="AS128" s="86">
        <f>AR122/AR121</f>
        <v>6.9648992513232375E-3</v>
      </c>
      <c r="BJ128" s="18"/>
    </row>
    <row r="129" spans="1:62" x14ac:dyDescent="0.25">
      <c r="A129" s="17"/>
      <c r="AL129" s="75"/>
      <c r="AM129" s="74"/>
      <c r="AR129" s="78"/>
      <c r="AS129" s="87"/>
      <c r="BJ129" s="18"/>
    </row>
    <row r="130" spans="1:62" x14ac:dyDescent="0.25">
      <c r="A130" s="17"/>
      <c r="BJ130" s="18"/>
    </row>
    <row r="131" spans="1:62" x14ac:dyDescent="0.25">
      <c r="A131" s="17"/>
      <c r="BJ131" s="18"/>
    </row>
    <row r="132" spans="1:62" x14ac:dyDescent="0.25">
      <c r="A132" s="17"/>
      <c r="BJ132" s="18"/>
    </row>
    <row r="133" spans="1:62" ht="15.75" thickBot="1" x14ac:dyDescent="0.3">
      <c r="A133" s="19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BJ133" s="21"/>
    </row>
    <row r="134" spans="1:62" x14ac:dyDescent="0.25"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</row>
    <row r="140" spans="1:62" ht="14.45" customHeight="1" x14ac:dyDescent="0.25"/>
    <row r="142" spans="1:62" ht="14.45" customHeight="1" x14ac:dyDescent="0.25"/>
  </sheetData>
  <mergeCells count="217">
    <mergeCell ref="D110:G110"/>
    <mergeCell ref="AQ120:AT120"/>
    <mergeCell ref="AR126:AR127"/>
    <mergeCell ref="AS126:AS127"/>
    <mergeCell ref="AR128:AR129"/>
    <mergeCell ref="AS128:AS129"/>
    <mergeCell ref="AR88:AU88"/>
    <mergeCell ref="J110:J111"/>
    <mergeCell ref="K110:K111"/>
    <mergeCell ref="J112:J113"/>
    <mergeCell ref="K112:K113"/>
    <mergeCell ref="AM126:AM127"/>
    <mergeCell ref="Z107:Z108"/>
    <mergeCell ref="AA107:AA108"/>
    <mergeCell ref="AL128:AL129"/>
    <mergeCell ref="AM128:AM129"/>
    <mergeCell ref="AL126:AL127"/>
    <mergeCell ref="BS92:BV92"/>
    <mergeCell ref="BX92:CA92"/>
    <mergeCell ref="CD92:CG92"/>
    <mergeCell ref="CK92:CN92"/>
    <mergeCell ref="BY103:CB103"/>
    <mergeCell ref="U105:X105"/>
    <mergeCell ref="Z105:Z106"/>
    <mergeCell ref="AA105:AA106"/>
    <mergeCell ref="AK120:AN120"/>
    <mergeCell ref="DZ77:EC77"/>
    <mergeCell ref="EE77:EE78"/>
    <mergeCell ref="EF77:EF78"/>
    <mergeCell ref="EE79:EE80"/>
    <mergeCell ref="EF79:EF80"/>
    <mergeCell ref="DL80:DO80"/>
    <mergeCell ref="N49:Q49"/>
    <mergeCell ref="C66:F66"/>
    <mergeCell ref="H66:K66"/>
    <mergeCell ref="V67:Y67"/>
    <mergeCell ref="AK67:AN67"/>
    <mergeCell ref="D78:I78"/>
    <mergeCell ref="AY52:BB52"/>
    <mergeCell ref="AR67:AU67"/>
    <mergeCell ref="CI42:CL42"/>
    <mergeCell ref="AB45:AF45"/>
    <mergeCell ref="DI46:DI47"/>
    <mergeCell ref="DJ46:DJ47"/>
    <mergeCell ref="DK46:DK47"/>
    <mergeCell ref="DL46:DQ46"/>
    <mergeCell ref="BV42:BV43"/>
    <mergeCell ref="BW42:BW43"/>
    <mergeCell ref="BX42:BX43"/>
    <mergeCell ref="BY42:CD42"/>
    <mergeCell ref="CE42:CH42"/>
    <mergeCell ref="C33:C34"/>
    <mergeCell ref="D33:D34"/>
    <mergeCell ref="E33:E34"/>
    <mergeCell ref="F33:K33"/>
    <mergeCell ref="L33:O33"/>
    <mergeCell ref="S23:S24"/>
    <mergeCell ref="T23:T24"/>
    <mergeCell ref="W23:W24"/>
    <mergeCell ref="X23:X24"/>
    <mergeCell ref="D23:D24"/>
    <mergeCell ref="E23:E24"/>
    <mergeCell ref="F23:F24"/>
    <mergeCell ref="G23:G24"/>
    <mergeCell ref="H23:H24"/>
    <mergeCell ref="P33:U33"/>
    <mergeCell ref="Y23:Y24"/>
    <mergeCell ref="Z23:Z24"/>
    <mergeCell ref="K23:K24"/>
    <mergeCell ref="L23:L24"/>
    <mergeCell ref="M23:M24"/>
    <mergeCell ref="N23:N24"/>
    <mergeCell ref="Q23:Q24"/>
    <mergeCell ref="R23:R24"/>
    <mergeCell ref="T21:T22"/>
    <mergeCell ref="W21:W22"/>
    <mergeCell ref="X21:X22"/>
    <mergeCell ref="Y21:Y22"/>
    <mergeCell ref="Z21:Z22"/>
    <mergeCell ref="L21:L22"/>
    <mergeCell ref="M21:M22"/>
    <mergeCell ref="N21:N22"/>
    <mergeCell ref="Q21:Q22"/>
    <mergeCell ref="R21:R22"/>
    <mergeCell ref="S21:S22"/>
    <mergeCell ref="D21:D22"/>
    <mergeCell ref="E21:E22"/>
    <mergeCell ref="F21:F22"/>
    <mergeCell ref="G21:G22"/>
    <mergeCell ref="H21:H22"/>
    <mergeCell ref="K21:K22"/>
    <mergeCell ref="S19:S20"/>
    <mergeCell ref="T19:T20"/>
    <mergeCell ref="W19:W20"/>
    <mergeCell ref="D19:D20"/>
    <mergeCell ref="E19:E20"/>
    <mergeCell ref="F19:F20"/>
    <mergeCell ref="G19:G20"/>
    <mergeCell ref="H19:H20"/>
    <mergeCell ref="X19:X20"/>
    <mergeCell ref="Y19:Y20"/>
    <mergeCell ref="Z19:Z20"/>
    <mergeCell ref="K19:K20"/>
    <mergeCell ref="L19:L20"/>
    <mergeCell ref="M19:M20"/>
    <mergeCell ref="N19:N20"/>
    <mergeCell ref="Q19:Q20"/>
    <mergeCell ref="R19:R20"/>
    <mergeCell ref="L17:L18"/>
    <mergeCell ref="M17:M18"/>
    <mergeCell ref="N17:N18"/>
    <mergeCell ref="Q17:Q18"/>
    <mergeCell ref="D17:D18"/>
    <mergeCell ref="E17:E18"/>
    <mergeCell ref="F17:F18"/>
    <mergeCell ref="G17:G18"/>
    <mergeCell ref="H17:H18"/>
    <mergeCell ref="K17:K18"/>
    <mergeCell ref="M15:M16"/>
    <mergeCell ref="N15:N16"/>
    <mergeCell ref="Q15:Q16"/>
    <mergeCell ref="R15:R16"/>
    <mergeCell ref="T17:T18"/>
    <mergeCell ref="W17:W18"/>
    <mergeCell ref="X17:X18"/>
    <mergeCell ref="Y17:Y18"/>
    <mergeCell ref="Z17:Z18"/>
    <mergeCell ref="R17:R18"/>
    <mergeCell ref="S17:S18"/>
    <mergeCell ref="T13:T14"/>
    <mergeCell ref="W13:W14"/>
    <mergeCell ref="X13:X14"/>
    <mergeCell ref="Y13:Y14"/>
    <mergeCell ref="Z13:Z14"/>
    <mergeCell ref="D15:D16"/>
    <mergeCell ref="E15:E16"/>
    <mergeCell ref="F15:F16"/>
    <mergeCell ref="G15:G16"/>
    <mergeCell ref="H15:H16"/>
    <mergeCell ref="L13:L14"/>
    <mergeCell ref="M13:M14"/>
    <mergeCell ref="N13:N14"/>
    <mergeCell ref="Q13:Q14"/>
    <mergeCell ref="R13:R14"/>
    <mergeCell ref="S13:S14"/>
    <mergeCell ref="S15:S16"/>
    <mergeCell ref="T15:T16"/>
    <mergeCell ref="W15:W16"/>
    <mergeCell ref="X15:X16"/>
    <mergeCell ref="Y15:Y16"/>
    <mergeCell ref="Z15:Z16"/>
    <mergeCell ref="K15:K16"/>
    <mergeCell ref="L15:L16"/>
    <mergeCell ref="D13:D14"/>
    <mergeCell ref="E13:E14"/>
    <mergeCell ref="F13:F14"/>
    <mergeCell ref="G13:G14"/>
    <mergeCell ref="H13:H14"/>
    <mergeCell ref="K13:K14"/>
    <mergeCell ref="M11:M12"/>
    <mergeCell ref="N11:N12"/>
    <mergeCell ref="Q11:Q12"/>
    <mergeCell ref="D11:D12"/>
    <mergeCell ref="E11:E12"/>
    <mergeCell ref="F11:F12"/>
    <mergeCell ref="G11:G12"/>
    <mergeCell ref="H11:H12"/>
    <mergeCell ref="K11:K12"/>
    <mergeCell ref="L11:L12"/>
    <mergeCell ref="S9:S10"/>
    <mergeCell ref="T9:T10"/>
    <mergeCell ref="W9:W10"/>
    <mergeCell ref="W11:W12"/>
    <mergeCell ref="X11:X12"/>
    <mergeCell ref="Y11:Y12"/>
    <mergeCell ref="Z11:Z12"/>
    <mergeCell ref="R11:R12"/>
    <mergeCell ref="S11:S12"/>
    <mergeCell ref="T11:T12"/>
    <mergeCell ref="X9:X10"/>
    <mergeCell ref="Y9:Y10"/>
    <mergeCell ref="Z9:Z10"/>
    <mergeCell ref="R9:R10"/>
    <mergeCell ref="N9:N10"/>
    <mergeCell ref="Q9:Q10"/>
    <mergeCell ref="D9:D10"/>
    <mergeCell ref="E9:E10"/>
    <mergeCell ref="F9:F10"/>
    <mergeCell ref="G9:G10"/>
    <mergeCell ref="H9:H10"/>
    <mergeCell ref="K9:K10"/>
    <mergeCell ref="L9:L10"/>
    <mergeCell ref="M9:M10"/>
    <mergeCell ref="Q7:Q8"/>
    <mergeCell ref="AC5:AE5"/>
    <mergeCell ref="F5:F6"/>
    <mergeCell ref="G5:G6"/>
    <mergeCell ref="H5:H6"/>
    <mergeCell ref="I5:N5"/>
    <mergeCell ref="O5:T5"/>
    <mergeCell ref="U5:Z5"/>
    <mergeCell ref="Y7:Y8"/>
    <mergeCell ref="Z7:Z8"/>
    <mergeCell ref="R7:R8"/>
    <mergeCell ref="S7:S8"/>
    <mergeCell ref="T7:T8"/>
    <mergeCell ref="W7:W8"/>
    <mergeCell ref="X7:X8"/>
    <mergeCell ref="D7:D8"/>
    <mergeCell ref="E7:E8"/>
    <mergeCell ref="F7:F8"/>
    <mergeCell ref="G7:G8"/>
    <mergeCell ref="H7:H8"/>
    <mergeCell ref="K7:K8"/>
    <mergeCell ref="L7:L8"/>
    <mergeCell ref="M7:M8"/>
    <mergeCell ref="N7:N8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78E16-F283-4BDE-B20F-1977F5073772}">
  <sheetPr codeName="Sheet2"/>
  <dimension ref="B2:BL120"/>
  <sheetViews>
    <sheetView topLeftCell="A27" zoomScale="55" zoomScaleNormal="55" workbookViewId="0">
      <selection activeCell="C37" sqref="C37"/>
    </sheetView>
  </sheetViews>
  <sheetFormatPr defaultColWidth="8.85546875" defaultRowHeight="15" x14ac:dyDescent="0.25"/>
  <cols>
    <col min="1" max="2" width="8.85546875" style="1"/>
    <col min="3" max="3" width="11.85546875" style="1" customWidth="1"/>
    <col min="4" max="4" width="12.42578125" style="1" bestFit="1" customWidth="1"/>
    <col min="5" max="5" width="11.7109375" style="1" customWidth="1"/>
    <col min="6" max="6" width="12.42578125" style="1" bestFit="1" customWidth="1"/>
    <col min="7" max="7" width="13.7109375" style="1" customWidth="1"/>
    <col min="8" max="9" width="8.85546875" style="1"/>
    <col min="10" max="10" width="12.140625" style="1" customWidth="1"/>
    <col min="11" max="11" width="14.28515625" style="1" customWidth="1"/>
    <col min="12" max="12" width="13.42578125" style="1" customWidth="1"/>
    <col min="13" max="13" width="11.7109375" style="1" customWidth="1"/>
    <col min="14" max="14" width="13.42578125" style="1" customWidth="1"/>
    <col min="15" max="15" width="13.5703125" style="1" customWidth="1"/>
    <col min="16" max="16" width="13.42578125" style="1" customWidth="1"/>
    <col min="17" max="17" width="11.85546875" style="1" customWidth="1"/>
    <col min="18" max="18" width="13.42578125" style="1" customWidth="1"/>
    <col min="19" max="19" width="13.28515625" style="1" bestFit="1" customWidth="1"/>
    <col min="20" max="21" width="8.85546875" style="1"/>
    <col min="22" max="22" width="10.7109375" style="1" customWidth="1"/>
    <col min="23" max="23" width="11.28515625" style="1" customWidth="1"/>
    <col min="24" max="24" width="12.85546875" style="1" customWidth="1"/>
    <col min="25" max="25" width="10.42578125" style="1" customWidth="1"/>
    <col min="26" max="26" width="10.28515625" style="1" customWidth="1"/>
    <col min="27" max="29" width="13" style="1" bestFit="1" customWidth="1"/>
    <col min="30" max="30" width="8.85546875" style="1"/>
    <col min="31" max="31" width="11.7109375" style="1" customWidth="1"/>
    <col min="32" max="32" width="11.85546875" style="1" customWidth="1"/>
    <col min="33" max="33" width="11.7109375" style="1" customWidth="1"/>
    <col min="34" max="34" width="12.85546875" style="1" customWidth="1"/>
    <col min="35" max="35" width="15.7109375" style="1" customWidth="1"/>
    <col min="36" max="36" width="8.85546875" style="1"/>
    <col min="37" max="37" width="13" style="1" bestFit="1" customWidth="1"/>
    <col min="38" max="39" width="13" style="1" customWidth="1"/>
    <col min="40" max="41" width="8.85546875" style="1"/>
    <col min="42" max="42" width="9" style="1" bestFit="1" customWidth="1"/>
    <col min="43" max="43" width="13" style="1" bestFit="1" customWidth="1"/>
    <col min="44" max="45" width="8.85546875" style="1"/>
    <col min="46" max="46" width="11.28515625" style="1" customWidth="1"/>
    <col min="47" max="47" width="12.42578125" style="1" bestFit="1" customWidth="1"/>
    <col min="48" max="62" width="8.85546875" style="1"/>
    <col min="63" max="63" width="11.28515625" style="1" customWidth="1"/>
    <col min="64" max="16384" width="8.85546875" style="1"/>
  </cols>
  <sheetData>
    <row r="2" spans="2:32" x14ac:dyDescent="0.25">
      <c r="D2" s="4" t="s">
        <v>3</v>
      </c>
      <c r="E2" s="2">
        <v>5.0000000000000001E-4</v>
      </c>
      <c r="G2" s="4" t="s">
        <v>11</v>
      </c>
      <c r="H2" s="2">
        <v>0.01</v>
      </c>
      <c r="J2" s="4" t="s">
        <v>16</v>
      </c>
      <c r="K2" s="2"/>
      <c r="M2" s="4" t="s">
        <v>15</v>
      </c>
      <c r="N2" s="2">
        <v>1E-4</v>
      </c>
    </row>
    <row r="3" spans="2:32" ht="17.25" x14ac:dyDescent="0.25">
      <c r="D3" s="4" t="s">
        <v>4</v>
      </c>
      <c r="E3" s="2">
        <f>E2*0.01</f>
        <v>5.0000000000000004E-6</v>
      </c>
      <c r="G3" s="4"/>
      <c r="H3" s="2"/>
      <c r="J3" s="4" t="s">
        <v>19</v>
      </c>
      <c r="K3" s="2">
        <v>5.0000000000000001E-4</v>
      </c>
      <c r="M3" s="4" t="s">
        <v>26</v>
      </c>
      <c r="N3" s="2">
        <f>SQRT((AC12/2*PI()*AB12*AB13)^2+(PI()/4*AB12^2*AC13)^2)</f>
        <v>2.7404613087652397E-8</v>
      </c>
    </row>
    <row r="5" spans="2:32" ht="16.149999999999999" customHeight="1" x14ac:dyDescent="0.25">
      <c r="D5" s="60" t="s">
        <v>0</v>
      </c>
      <c r="E5" s="60" t="s">
        <v>1</v>
      </c>
      <c r="F5" s="60" t="s">
        <v>2</v>
      </c>
      <c r="G5" s="57" t="s">
        <v>12</v>
      </c>
      <c r="H5" s="57"/>
      <c r="I5" s="57"/>
      <c r="J5" s="57"/>
      <c r="K5" s="57"/>
      <c r="L5" s="57"/>
      <c r="M5" s="57" t="s">
        <v>13</v>
      </c>
      <c r="N5" s="57"/>
      <c r="O5" s="57"/>
      <c r="P5" s="57"/>
      <c r="Q5" s="57"/>
      <c r="R5" s="57"/>
      <c r="S5" s="57" t="s">
        <v>14</v>
      </c>
      <c r="T5" s="57"/>
      <c r="U5" s="57"/>
      <c r="V5" s="57"/>
      <c r="W5" s="57"/>
      <c r="X5" s="57"/>
      <c r="AA5" s="57" t="s">
        <v>17</v>
      </c>
      <c r="AB5" s="57"/>
      <c r="AC5" s="57"/>
    </row>
    <row r="6" spans="2:32" ht="14.45" customHeight="1" x14ac:dyDescent="0.25">
      <c r="D6" s="60"/>
      <c r="E6" s="60"/>
      <c r="F6" s="60"/>
      <c r="G6" s="4" t="s">
        <v>5</v>
      </c>
      <c r="H6" s="4" t="s">
        <v>6</v>
      </c>
      <c r="I6" s="4" t="s">
        <v>9</v>
      </c>
      <c r="J6" s="4" t="s">
        <v>8</v>
      </c>
      <c r="K6" s="4" t="s">
        <v>7</v>
      </c>
      <c r="L6" s="4" t="s">
        <v>10</v>
      </c>
      <c r="M6" s="4" t="s">
        <v>5</v>
      </c>
      <c r="N6" s="4" t="s">
        <v>6</v>
      </c>
      <c r="O6" s="4" t="s">
        <v>9</v>
      </c>
      <c r="P6" s="4" t="s">
        <v>8</v>
      </c>
      <c r="Q6" s="4" t="s">
        <v>7</v>
      </c>
      <c r="R6" s="4" t="s">
        <v>10</v>
      </c>
      <c r="S6" s="4" t="s">
        <v>5</v>
      </c>
      <c r="T6" s="4" t="s">
        <v>6</v>
      </c>
      <c r="U6" s="4" t="s">
        <v>9</v>
      </c>
      <c r="V6" s="4" t="s">
        <v>8</v>
      </c>
      <c r="W6" s="4" t="s">
        <v>7</v>
      </c>
      <c r="X6" s="4" t="s">
        <v>10</v>
      </c>
      <c r="AA6" s="4" t="s">
        <v>103</v>
      </c>
      <c r="AB6" s="4" t="s">
        <v>79</v>
      </c>
      <c r="AC6" s="4" t="s">
        <v>102</v>
      </c>
      <c r="AE6" s="4" t="s">
        <v>23</v>
      </c>
      <c r="AF6" s="2">
        <f>PI()*(AB12/2)^2 * AC12</f>
        <v>2.4115617186045466E-6</v>
      </c>
    </row>
    <row r="7" spans="2:32" ht="17.25" x14ac:dyDescent="0.25">
      <c r="B7" s="63">
        <v>0</v>
      </c>
      <c r="C7" s="80">
        <f>(B7/12*(35^4-18^4)+18^4)^(0.25)</f>
        <v>17.999999999999996</v>
      </c>
      <c r="D7" s="80">
        <v>18</v>
      </c>
      <c r="E7" s="71">
        <f>(D7*10^-2)^4</f>
        <v>1.0497599999999998E-3</v>
      </c>
      <c r="F7" s="71">
        <f>ABS(4*E7^3*E$3)</f>
        <v>2.3136627628523511E-14</v>
      </c>
      <c r="G7" s="8">
        <v>0.59</v>
      </c>
      <c r="H7" s="2">
        <f>G7/25</f>
        <v>2.3599999999999999E-2</v>
      </c>
      <c r="I7" s="71">
        <f>AVERAGE(H7:H8)</f>
        <v>2.3800000000000002E-2</v>
      </c>
      <c r="J7" s="71">
        <f>SQRT(2)/50 * H$2</f>
        <v>2.8284271247461902E-4</v>
      </c>
      <c r="K7" s="71">
        <f>I7^2</f>
        <v>5.6644000000000009E-4</v>
      </c>
      <c r="L7" s="71">
        <f>ABS(2*I7*J7)</f>
        <v>1.3463313113791866E-5</v>
      </c>
      <c r="M7" s="8">
        <v>1.17</v>
      </c>
      <c r="N7" s="2">
        <f>M7/50</f>
        <v>2.3399999999999997E-2</v>
      </c>
      <c r="O7" s="71">
        <f>AVERAGE(N7:N8)</f>
        <v>2.35E-2</v>
      </c>
      <c r="P7" s="71">
        <f>SQRT(2)/100 * H$2</f>
        <v>1.4142135623730951E-4</v>
      </c>
      <c r="Q7" s="71">
        <f>O7^2</f>
        <v>5.5225000000000001E-4</v>
      </c>
      <c r="R7" s="71">
        <f>ABS(2*O7*P7)</f>
        <v>6.6468037431535469E-6</v>
      </c>
      <c r="S7" s="8">
        <v>1.77</v>
      </c>
      <c r="T7" s="2">
        <f>S7/75</f>
        <v>2.3599999999999999E-2</v>
      </c>
      <c r="U7" s="71">
        <f>AVERAGE(T7:T8)</f>
        <v>2.3666666666666666E-2</v>
      </c>
      <c r="V7" s="71">
        <f>SQRT(2)/150 * H$2</f>
        <v>9.4280904158206352E-5</v>
      </c>
      <c r="W7" s="71">
        <f>U7^2</f>
        <v>5.6011111111111105E-4</v>
      </c>
      <c r="X7" s="71">
        <f>ABS(2*U7*V7)</f>
        <v>4.462629463488434E-6</v>
      </c>
      <c r="AA7" s="2">
        <v>21.6</v>
      </c>
      <c r="AB7" s="7">
        <v>1.85</v>
      </c>
      <c r="AC7" s="11">
        <v>895</v>
      </c>
      <c r="AE7" s="5" t="s">
        <v>22</v>
      </c>
      <c r="AF7" s="2">
        <f>AA12/AF6</f>
        <v>8948.5580375223817</v>
      </c>
    </row>
    <row r="8" spans="2:32" ht="17.25" x14ac:dyDescent="0.25">
      <c r="B8" s="63"/>
      <c r="C8" s="80"/>
      <c r="D8" s="80"/>
      <c r="E8" s="71"/>
      <c r="F8" s="71"/>
      <c r="G8" s="8">
        <v>0.6</v>
      </c>
      <c r="H8" s="2">
        <f t="shared" ref="H8:H24" si="0">G8/25</f>
        <v>2.4E-2</v>
      </c>
      <c r="I8" s="71"/>
      <c r="J8" s="71"/>
      <c r="K8" s="71"/>
      <c r="L8" s="71"/>
      <c r="M8" s="8">
        <v>1.18</v>
      </c>
      <c r="N8" s="2">
        <f t="shared" ref="N8:N24" si="1">M8/50</f>
        <v>2.3599999999999999E-2</v>
      </c>
      <c r="O8" s="71"/>
      <c r="P8" s="71"/>
      <c r="Q8" s="71"/>
      <c r="R8" s="71"/>
      <c r="S8" s="2">
        <v>1.78</v>
      </c>
      <c r="T8" s="2">
        <f t="shared" ref="T8:T24" si="2">S8/75</f>
        <v>2.3733333333333332E-2</v>
      </c>
      <c r="U8" s="71"/>
      <c r="V8" s="71"/>
      <c r="W8" s="71"/>
      <c r="X8" s="71"/>
      <c r="AA8" s="2">
        <v>21.6</v>
      </c>
      <c r="AB8" s="2">
        <v>1.825</v>
      </c>
      <c r="AC8" s="11">
        <v>895.2</v>
      </c>
      <c r="AE8" s="5" t="s">
        <v>24</v>
      </c>
      <c r="AF8" s="2">
        <f>SQRT((1/AF6 * AA13)^2+(AA12/AF6^2*N3)^2)</f>
        <v>101.9602140827115</v>
      </c>
    </row>
    <row r="9" spans="2:32" x14ac:dyDescent="0.25">
      <c r="B9" s="63">
        <v>1</v>
      </c>
      <c r="C9" s="80">
        <f>(B9/12*(35^4-18^4)+18^4)^(0.25)</f>
        <v>21.688802875937288</v>
      </c>
      <c r="D9" s="80">
        <v>21.7</v>
      </c>
      <c r="E9" s="71">
        <f>(D9*10^-2)^4</f>
        <v>2.2173739209999997E-3</v>
      </c>
      <c r="F9" s="71">
        <f>ABS(4*E9^3*E$3)</f>
        <v>2.180453361591296E-13</v>
      </c>
      <c r="G9" s="8">
        <v>0.85</v>
      </c>
      <c r="H9" s="2">
        <f t="shared" si="0"/>
        <v>3.4000000000000002E-2</v>
      </c>
      <c r="I9" s="71">
        <f>AVERAGE(H9:H10)</f>
        <v>3.4000000000000002E-2</v>
      </c>
      <c r="J9" s="71">
        <f>SQRT(2)/50 * H$2</f>
        <v>2.8284271247461902E-4</v>
      </c>
      <c r="K9" s="71">
        <f>I9^2</f>
        <v>1.1560000000000001E-3</v>
      </c>
      <c r="L9" s="71">
        <f>ABS(2*I9*J9)</f>
        <v>1.9233304448274093E-5</v>
      </c>
      <c r="M9" s="8">
        <v>1.72</v>
      </c>
      <c r="N9" s="2">
        <f t="shared" si="1"/>
        <v>3.44E-2</v>
      </c>
      <c r="O9" s="71">
        <f>AVERAGE(N9:N10)</f>
        <v>3.44E-2</v>
      </c>
      <c r="P9" s="71">
        <f>SQRT(2)/100 * H$2</f>
        <v>1.4142135623730951E-4</v>
      </c>
      <c r="Q9" s="71">
        <f>O9^2</f>
        <v>1.1833600000000001E-3</v>
      </c>
      <c r="R9" s="71">
        <f>ABS(2*O9*P9)</f>
        <v>9.7297893091268945E-6</v>
      </c>
      <c r="S9" s="8">
        <v>2.58</v>
      </c>
      <c r="T9" s="2">
        <f t="shared" si="2"/>
        <v>3.44E-2</v>
      </c>
      <c r="U9" s="71">
        <f>AVERAGE(T9:T10)</f>
        <v>3.44E-2</v>
      </c>
      <c r="V9" s="71">
        <f>SQRT(2)/150 * H$2</f>
        <v>9.4280904158206352E-5</v>
      </c>
      <c r="W9" s="71">
        <f>U9^2</f>
        <v>1.1833600000000001E-3</v>
      </c>
      <c r="X9" s="71">
        <f>ABS(2*U9*V9)</f>
        <v>6.4865262060845966E-6</v>
      </c>
      <c r="AA9" s="2">
        <v>21.6</v>
      </c>
      <c r="AB9" s="2">
        <v>1.8280000000000001</v>
      </c>
      <c r="AC9" s="11">
        <v>894.8</v>
      </c>
      <c r="AE9" s="5" t="s">
        <v>25</v>
      </c>
      <c r="AF9" s="6">
        <f>AF8/AF7</f>
        <v>1.1394038419953253E-2</v>
      </c>
    </row>
    <row r="10" spans="2:32" x14ac:dyDescent="0.25">
      <c r="B10" s="63"/>
      <c r="C10" s="80"/>
      <c r="D10" s="80"/>
      <c r="E10" s="71"/>
      <c r="F10" s="71"/>
      <c r="G10" s="8">
        <v>0.85</v>
      </c>
      <c r="H10" s="2">
        <f t="shared" si="0"/>
        <v>3.4000000000000002E-2</v>
      </c>
      <c r="I10" s="71"/>
      <c r="J10" s="71"/>
      <c r="K10" s="71"/>
      <c r="L10" s="71"/>
      <c r="M10" s="8">
        <v>1.72</v>
      </c>
      <c r="N10" s="2">
        <f>M10/50</f>
        <v>3.44E-2</v>
      </c>
      <c r="O10" s="71"/>
      <c r="P10" s="71"/>
      <c r="Q10" s="71"/>
      <c r="R10" s="71"/>
      <c r="S10" s="12">
        <v>2.58</v>
      </c>
      <c r="T10" s="2">
        <f t="shared" si="2"/>
        <v>3.44E-2</v>
      </c>
      <c r="U10" s="71"/>
      <c r="V10" s="71"/>
      <c r="W10" s="71"/>
      <c r="X10" s="71"/>
      <c r="AA10" s="2">
        <v>21.5</v>
      </c>
      <c r="AB10" s="7">
        <v>1.8779999999999999</v>
      </c>
      <c r="AC10" s="11">
        <v>895.1</v>
      </c>
    </row>
    <row r="11" spans="2:32" x14ac:dyDescent="0.25">
      <c r="B11" s="63">
        <v>2</v>
      </c>
      <c r="C11" s="80">
        <f>(B11/12*(35^4-18^4)+18^4)^(0.25)</f>
        <v>24.104355136538413</v>
      </c>
      <c r="D11" s="80">
        <v>24.1</v>
      </c>
      <c r="E11" s="71">
        <f>(D11*10^-2)^4</f>
        <v>3.373402561000001E-3</v>
      </c>
      <c r="F11" s="71">
        <f>ABS(4*E11^3*E$3)</f>
        <v>7.6777595444371106E-13</v>
      </c>
      <c r="G11" s="8">
        <v>1.05</v>
      </c>
      <c r="H11" s="2">
        <f t="shared" si="0"/>
        <v>4.2000000000000003E-2</v>
      </c>
      <c r="I11" s="71">
        <f>AVERAGE(H11:H12)</f>
        <v>4.1800000000000004E-2</v>
      </c>
      <c r="J11" s="71">
        <f>SQRT(2)/50 * H$2</f>
        <v>2.8284271247461902E-4</v>
      </c>
      <c r="K11" s="71">
        <f>I11^2</f>
        <v>1.7472400000000004E-3</v>
      </c>
      <c r="L11" s="71">
        <f>ABS(2*I11*J11)</f>
        <v>2.3645650762878153E-5</v>
      </c>
      <c r="M11" s="8">
        <v>2.1</v>
      </c>
      <c r="N11" s="2">
        <f t="shared" si="1"/>
        <v>4.2000000000000003E-2</v>
      </c>
      <c r="O11" s="71">
        <f>AVERAGE(N11:N12)</f>
        <v>4.2099999999999999E-2</v>
      </c>
      <c r="P11" s="71">
        <f>SQRT(2)/100 * H$2</f>
        <v>1.4142135623730951E-4</v>
      </c>
      <c r="Q11" s="71">
        <f>O11^2</f>
        <v>1.7724099999999999E-3</v>
      </c>
      <c r="R11" s="71">
        <f>ABS(2*O11*P11)</f>
        <v>1.1907678195181461E-5</v>
      </c>
      <c r="S11" s="8">
        <v>3.17</v>
      </c>
      <c r="T11" s="2">
        <f t="shared" si="2"/>
        <v>4.2266666666666668E-2</v>
      </c>
      <c r="U11" s="71">
        <f>AVERAGE(T11:T12)</f>
        <v>4.2266666666666668E-2</v>
      </c>
      <c r="V11" s="71">
        <f>SQRT(2)/150 * H$2</f>
        <v>9.4280904158206352E-5</v>
      </c>
      <c r="W11" s="71">
        <f>U11^2</f>
        <v>1.7864711111111112E-3</v>
      </c>
      <c r="X11" s="71">
        <f>ABS(2*U11*V11)</f>
        <v>7.9698790981737111E-6</v>
      </c>
      <c r="AA11" s="2">
        <v>21.6</v>
      </c>
      <c r="AB11" s="7">
        <v>1.88</v>
      </c>
      <c r="AC11" s="11">
        <v>895</v>
      </c>
    </row>
    <row r="12" spans="2:32" x14ac:dyDescent="0.25">
      <c r="B12" s="63"/>
      <c r="C12" s="80"/>
      <c r="D12" s="80"/>
      <c r="E12" s="71"/>
      <c r="F12" s="71"/>
      <c r="G12" s="8">
        <v>1.04</v>
      </c>
      <c r="H12" s="2">
        <f t="shared" si="0"/>
        <v>4.1599999999999998E-2</v>
      </c>
      <c r="I12" s="71"/>
      <c r="J12" s="71"/>
      <c r="K12" s="71"/>
      <c r="L12" s="71"/>
      <c r="M12" s="8">
        <v>2.11</v>
      </c>
      <c r="N12" s="2">
        <f t="shared" si="1"/>
        <v>4.2199999999999994E-2</v>
      </c>
      <c r="O12" s="71"/>
      <c r="P12" s="71"/>
      <c r="Q12" s="71"/>
      <c r="R12" s="71"/>
      <c r="S12" s="8">
        <v>3.17</v>
      </c>
      <c r="T12" s="2">
        <f t="shared" si="2"/>
        <v>4.2266666666666668E-2</v>
      </c>
      <c r="U12" s="71"/>
      <c r="V12" s="71"/>
      <c r="W12" s="71"/>
      <c r="X12" s="71"/>
      <c r="Z12" s="4" t="s">
        <v>20</v>
      </c>
      <c r="AA12" s="2">
        <f>AVERAGE(AA7:AA11)/1000</f>
        <v>2.1580000000000002E-2</v>
      </c>
      <c r="AB12" s="2">
        <f>AVERAGE(AB7:AB11)/1000</f>
        <v>1.8521999999999998E-3</v>
      </c>
      <c r="AC12" s="2">
        <f>AVERAGE(AC7:AC11)/1000</f>
        <v>0.89502000000000015</v>
      </c>
    </row>
    <row r="13" spans="2:32" x14ac:dyDescent="0.25">
      <c r="B13" s="63">
        <v>3</v>
      </c>
      <c r="C13" s="80">
        <f>(B13/12*(35^4-18^4)+18^4)^(0.25)</f>
        <v>25.955968296806816</v>
      </c>
      <c r="D13" s="80">
        <v>26</v>
      </c>
      <c r="E13" s="71">
        <f>(D13*10^-2)^4</f>
        <v>4.5697600000000008E-3</v>
      </c>
      <c r="F13" s="71">
        <f>ABS(4*E13^3*E$3)</f>
        <v>1.908579133233645E-12</v>
      </c>
      <c r="G13" s="8">
        <v>1.19</v>
      </c>
      <c r="H13" s="2">
        <f t="shared" si="0"/>
        <v>4.7599999999999996E-2</v>
      </c>
      <c r="I13" s="71">
        <f>AVERAGE(H13:H14)</f>
        <v>4.7599999999999996E-2</v>
      </c>
      <c r="J13" s="71">
        <f>SQRT(2)/50 * H$2</f>
        <v>2.8284271247461902E-4</v>
      </c>
      <c r="K13" s="71">
        <f>I13^2</f>
        <v>2.2657599999999995E-3</v>
      </c>
      <c r="L13" s="71">
        <f>ABS(2*I13*J13)</f>
        <v>2.6926626227583728E-5</v>
      </c>
      <c r="M13" s="8">
        <v>2.39</v>
      </c>
      <c r="N13" s="2">
        <f t="shared" si="1"/>
        <v>4.7800000000000002E-2</v>
      </c>
      <c r="O13" s="71">
        <f>AVERAGE(N13:N14)</f>
        <v>4.7899999999999998E-2</v>
      </c>
      <c r="P13" s="71">
        <f>SQRT(2)/100 * H$2</f>
        <v>1.4142135623730951E-4</v>
      </c>
      <c r="Q13" s="71">
        <f>O13^2</f>
        <v>2.2944099999999998E-3</v>
      </c>
      <c r="R13" s="71">
        <f>ABS(2*O13*P13)</f>
        <v>1.354816592753425E-5</v>
      </c>
      <c r="S13" s="8">
        <v>3.81</v>
      </c>
      <c r="T13" s="2">
        <f t="shared" si="2"/>
        <v>5.0799999999999998E-2</v>
      </c>
      <c r="U13" s="71">
        <f>AVERAGE(T13:T14)</f>
        <v>5.1133333333333336E-2</v>
      </c>
      <c r="V13" s="71">
        <f>SQRT(2)/150 * H$2</f>
        <v>9.4280904158206352E-5</v>
      </c>
      <c r="W13" s="71">
        <f>U13^2</f>
        <v>2.614617777777778E-3</v>
      </c>
      <c r="X13" s="71">
        <f>ABS(2*U13*V13)</f>
        <v>9.6417937985792362E-6</v>
      </c>
      <c r="Z13" s="4" t="s">
        <v>21</v>
      </c>
      <c r="AA13" s="2">
        <f>_xlfn.STDEV.P(AA7:AA11)/SQRT(5)/1000</f>
        <v>1.7888543819998574E-5</v>
      </c>
      <c r="AB13" s="2">
        <f>_xlfn.STDEV.P(AB7:AB11)/SQRT(5)/1000</f>
        <v>1.0523877612363202E-5</v>
      </c>
      <c r="AC13" s="2">
        <f>_xlfn.STDEV.P(AC7:AC11)/SQRT(5)/1000</f>
        <v>5.9329587896778792E-5</v>
      </c>
    </row>
    <row r="14" spans="2:32" x14ac:dyDescent="0.25">
      <c r="B14" s="63"/>
      <c r="C14" s="80"/>
      <c r="D14" s="80"/>
      <c r="E14" s="71"/>
      <c r="F14" s="71"/>
      <c r="G14" s="8">
        <v>1.19</v>
      </c>
      <c r="H14" s="2">
        <f t="shared" si="0"/>
        <v>4.7599999999999996E-2</v>
      </c>
      <c r="I14" s="71"/>
      <c r="J14" s="71"/>
      <c r="K14" s="71"/>
      <c r="L14" s="71"/>
      <c r="M14" s="8">
        <v>2.4</v>
      </c>
      <c r="N14" s="2">
        <f t="shared" si="1"/>
        <v>4.8000000000000001E-2</v>
      </c>
      <c r="O14" s="71"/>
      <c r="P14" s="71"/>
      <c r="Q14" s="71"/>
      <c r="R14" s="71"/>
      <c r="S14" s="8">
        <v>3.86</v>
      </c>
      <c r="T14" s="2">
        <f t="shared" si="2"/>
        <v>5.1466666666666668E-2</v>
      </c>
      <c r="U14" s="71"/>
      <c r="V14" s="71"/>
      <c r="W14" s="71"/>
      <c r="X14" s="71"/>
    </row>
    <row r="15" spans="2:32" x14ac:dyDescent="0.25">
      <c r="B15" s="63">
        <v>4</v>
      </c>
      <c r="C15" s="80">
        <f>(B15/12*(35^4-18^4)+18^4)^(0.25)</f>
        <v>27.479279623846551</v>
      </c>
      <c r="D15" s="80">
        <v>27.5</v>
      </c>
      <c r="E15" s="71">
        <f>(D15*10^-2)^4</f>
        <v>5.7191406250000016E-3</v>
      </c>
      <c r="F15" s="71">
        <f>ABS(4*E15^3*E$3)</f>
        <v>3.7412981709492242E-12</v>
      </c>
      <c r="G15" s="8">
        <v>1.35</v>
      </c>
      <c r="H15" s="2">
        <f t="shared" si="0"/>
        <v>5.4000000000000006E-2</v>
      </c>
      <c r="I15" s="71">
        <f>AVERAGE(H15:H16)</f>
        <v>5.3800000000000001E-2</v>
      </c>
      <c r="J15" s="71">
        <f>SQRT(2)/50 * H$2</f>
        <v>2.8284271247461902E-4</v>
      </c>
      <c r="K15" s="71">
        <f>I15^2</f>
        <v>2.8944399999999999E-3</v>
      </c>
      <c r="L15" s="71">
        <f>ABS(2*I15*J15)</f>
        <v>3.0433875862269005E-5</v>
      </c>
      <c r="M15" s="8">
        <v>2.71</v>
      </c>
      <c r="N15" s="2">
        <f t="shared" si="1"/>
        <v>5.4199999999999998E-2</v>
      </c>
      <c r="O15" s="71">
        <f>AVERAGE(N15:N16)</f>
        <v>5.4300000000000001E-2</v>
      </c>
      <c r="P15" s="71">
        <f>SQRT(2)/100 * H$2</f>
        <v>1.4142135623730951E-4</v>
      </c>
      <c r="Q15" s="71">
        <f>O15^2</f>
        <v>2.9484900000000002E-3</v>
      </c>
      <c r="R15" s="71">
        <f>ABS(2*O15*P15)</f>
        <v>1.5358359287371814E-5</v>
      </c>
      <c r="S15" s="8">
        <v>4.09</v>
      </c>
      <c r="T15" s="2">
        <f t="shared" si="2"/>
        <v>5.4533333333333329E-2</v>
      </c>
      <c r="U15" s="71">
        <f>AVERAGE(T15:T16)</f>
        <v>5.4533333333333329E-2</v>
      </c>
      <c r="V15" s="71">
        <f>SQRT(2)/150 * H$2</f>
        <v>9.4280904158206352E-5</v>
      </c>
      <c r="W15" s="71">
        <f>U15^2</f>
        <v>2.9738844444444439E-3</v>
      </c>
      <c r="X15" s="71">
        <f>ABS(2*U15*V15)</f>
        <v>1.0282903946855039E-5</v>
      </c>
    </row>
    <row r="16" spans="2:32" x14ac:dyDescent="0.25">
      <c r="B16" s="63"/>
      <c r="C16" s="80"/>
      <c r="D16" s="80"/>
      <c r="E16" s="71"/>
      <c r="F16" s="71"/>
      <c r="G16" s="8">
        <v>1.34</v>
      </c>
      <c r="H16" s="2">
        <f t="shared" si="0"/>
        <v>5.3600000000000002E-2</v>
      </c>
      <c r="I16" s="71"/>
      <c r="J16" s="71"/>
      <c r="K16" s="71"/>
      <c r="L16" s="71"/>
      <c r="M16" s="8">
        <v>2.72</v>
      </c>
      <c r="N16" s="2">
        <f t="shared" si="1"/>
        <v>5.4400000000000004E-2</v>
      </c>
      <c r="O16" s="71"/>
      <c r="P16" s="71"/>
      <c r="Q16" s="71"/>
      <c r="R16" s="71"/>
      <c r="S16" s="8">
        <v>4.09</v>
      </c>
      <c r="T16" s="2">
        <f t="shared" si="2"/>
        <v>5.4533333333333329E-2</v>
      </c>
      <c r="U16" s="71"/>
      <c r="V16" s="71"/>
      <c r="W16" s="71"/>
      <c r="X16" s="71"/>
    </row>
    <row r="17" spans="2:24" x14ac:dyDescent="0.25">
      <c r="B17" s="63">
        <v>5</v>
      </c>
      <c r="C17" s="80">
        <f>(B17/12*(35^4-18^4)+18^4)^(0.25)</f>
        <v>28.784558239648899</v>
      </c>
      <c r="D17" s="80">
        <v>28.8</v>
      </c>
      <c r="E17" s="71">
        <f>(D17*10^-2)^4</f>
        <v>6.8797071360000026E-3</v>
      </c>
      <c r="F17" s="71">
        <f>ABS(4*E17^3*E$3)</f>
        <v>6.5123817229017856E-12</v>
      </c>
      <c r="G17" s="8">
        <v>1.46</v>
      </c>
      <c r="H17" s="2">
        <f t="shared" si="0"/>
        <v>5.8400000000000001E-2</v>
      </c>
      <c r="I17" s="71">
        <f>AVERAGE(H17:H18)</f>
        <v>5.8599999999999999E-2</v>
      </c>
      <c r="J17" s="71">
        <f>SQRT(2)/50 * H$2</f>
        <v>2.8284271247461902E-4</v>
      </c>
      <c r="K17" s="71">
        <f>I17^2</f>
        <v>3.4339599999999998E-3</v>
      </c>
      <c r="L17" s="71">
        <f>ABS(2*I17*J17)</f>
        <v>3.314916590202535E-5</v>
      </c>
      <c r="M17" s="8">
        <v>2.97</v>
      </c>
      <c r="N17" s="2">
        <f t="shared" si="1"/>
        <v>5.9400000000000001E-2</v>
      </c>
      <c r="O17" s="71">
        <f>AVERAGE(N17:N18)</f>
        <v>5.9300000000000005E-2</v>
      </c>
      <c r="P17" s="71">
        <f>SQRT(2)/100 * H$2</f>
        <v>1.4142135623730951E-4</v>
      </c>
      <c r="Q17" s="71">
        <f>O17^2</f>
        <v>3.5164900000000006E-3</v>
      </c>
      <c r="R17" s="71">
        <f>ABS(2*O17*P17)</f>
        <v>1.6772572849744909E-5</v>
      </c>
      <c r="S17" s="8">
        <v>4.47</v>
      </c>
      <c r="T17" s="2">
        <f t="shared" si="2"/>
        <v>5.9599999999999993E-2</v>
      </c>
      <c r="U17" s="71">
        <f>AVERAGE(T17:T18)</f>
        <v>5.9533333333333327E-2</v>
      </c>
      <c r="V17" s="71">
        <f>SQRT(2)/150 * H$2</f>
        <v>9.4280904158206352E-5</v>
      </c>
      <c r="W17" s="71">
        <f>U17^2</f>
        <v>3.5442177777777772E-3</v>
      </c>
      <c r="X17" s="71">
        <f>ABS(2*U17*V17)</f>
        <v>1.1225712988437101E-5</v>
      </c>
    </row>
    <row r="18" spans="2:24" x14ac:dyDescent="0.25">
      <c r="B18" s="63"/>
      <c r="C18" s="80"/>
      <c r="D18" s="80"/>
      <c r="E18" s="71"/>
      <c r="F18" s="71"/>
      <c r="G18" s="8">
        <v>1.47</v>
      </c>
      <c r="H18" s="2">
        <f t="shared" si="0"/>
        <v>5.8799999999999998E-2</v>
      </c>
      <c r="I18" s="71"/>
      <c r="J18" s="71"/>
      <c r="K18" s="71"/>
      <c r="L18" s="71"/>
      <c r="M18" s="8">
        <v>2.96</v>
      </c>
      <c r="N18" s="2">
        <f t="shared" si="1"/>
        <v>5.9200000000000003E-2</v>
      </c>
      <c r="O18" s="71"/>
      <c r="P18" s="71"/>
      <c r="Q18" s="71"/>
      <c r="R18" s="71"/>
      <c r="S18" s="8">
        <v>4.46</v>
      </c>
      <c r="T18" s="2">
        <f t="shared" si="2"/>
        <v>5.9466666666666668E-2</v>
      </c>
      <c r="U18" s="71"/>
      <c r="V18" s="71"/>
      <c r="W18" s="71"/>
      <c r="X18" s="71"/>
    </row>
    <row r="19" spans="2:24" x14ac:dyDescent="0.25">
      <c r="B19" s="63">
        <v>6</v>
      </c>
      <c r="C19" s="80">
        <f>(B19/12*(35^4-18^4)+18^4)^(0.25)</f>
        <v>29.933114612493615</v>
      </c>
      <c r="D19" s="80">
        <v>30</v>
      </c>
      <c r="E19" s="71">
        <f>(D19*10^-2)^4</f>
        <v>8.0999999999999996E-3</v>
      </c>
      <c r="F19" s="71">
        <f>ABS(4*E19^3*E$3)</f>
        <v>1.0628819999999999E-11</v>
      </c>
      <c r="G19" s="8">
        <v>1.57</v>
      </c>
      <c r="H19" s="2">
        <f t="shared" si="0"/>
        <v>6.2800000000000009E-2</v>
      </c>
      <c r="I19" s="71">
        <f>AVERAGE(H19:H20)</f>
        <v>6.2800000000000009E-2</v>
      </c>
      <c r="J19" s="71">
        <f>SQRT(2)/50 * H$2</f>
        <v>2.8284271247461902E-4</v>
      </c>
      <c r="K19" s="71">
        <f>I19^2</f>
        <v>3.9438400000000014E-3</v>
      </c>
      <c r="L19" s="71">
        <f>ABS(2*I19*J19)</f>
        <v>3.5525044686812156E-5</v>
      </c>
      <c r="M19" s="8">
        <v>3.16</v>
      </c>
      <c r="N19" s="2">
        <f t="shared" si="1"/>
        <v>6.3200000000000006E-2</v>
      </c>
      <c r="O19" s="71">
        <f>AVERAGE(N19:N20)</f>
        <v>6.3299999999999995E-2</v>
      </c>
      <c r="P19" s="71">
        <f>SQRT(2)/100 * H$2</f>
        <v>1.4142135623730951E-4</v>
      </c>
      <c r="Q19" s="71">
        <f>O19^2</f>
        <v>4.0068899999999991E-3</v>
      </c>
      <c r="R19" s="71">
        <f>ABS(2*O19*P19)</f>
        <v>1.7903943699643381E-5</v>
      </c>
      <c r="S19" s="8">
        <v>4.79</v>
      </c>
      <c r="T19" s="2">
        <f t="shared" si="2"/>
        <v>6.3866666666666669E-2</v>
      </c>
      <c r="U19" s="71">
        <f>AVERAGE(T19:T20)</f>
        <v>6.3799999999999996E-2</v>
      </c>
      <c r="V19" s="71">
        <f>SQRT(2)/150 * H$2</f>
        <v>9.4280904158206352E-5</v>
      </c>
      <c r="W19" s="71">
        <f>U19^2</f>
        <v>4.0704399999999998E-3</v>
      </c>
      <c r="X19" s="71">
        <f>ABS(2*U19*V19)</f>
        <v>1.2030243370587129E-5</v>
      </c>
    </row>
    <row r="20" spans="2:24" x14ac:dyDescent="0.25">
      <c r="B20" s="63"/>
      <c r="C20" s="80"/>
      <c r="D20" s="80"/>
      <c r="E20" s="71"/>
      <c r="F20" s="71"/>
      <c r="G20" s="8">
        <v>1.57</v>
      </c>
      <c r="H20" s="2">
        <f t="shared" si="0"/>
        <v>6.2800000000000009E-2</v>
      </c>
      <c r="I20" s="71"/>
      <c r="J20" s="71"/>
      <c r="K20" s="71"/>
      <c r="L20" s="71"/>
      <c r="M20" s="8">
        <v>3.17</v>
      </c>
      <c r="N20" s="2">
        <f t="shared" si="1"/>
        <v>6.3399999999999998E-2</v>
      </c>
      <c r="O20" s="71"/>
      <c r="P20" s="71"/>
      <c r="Q20" s="71"/>
      <c r="R20" s="71"/>
      <c r="S20" s="8">
        <v>4.78</v>
      </c>
      <c r="T20" s="2">
        <f t="shared" si="2"/>
        <v>6.3733333333333336E-2</v>
      </c>
      <c r="U20" s="71"/>
      <c r="V20" s="71"/>
      <c r="W20" s="71"/>
      <c r="X20" s="71"/>
    </row>
    <row r="21" spans="2:24" x14ac:dyDescent="0.25">
      <c r="B21" s="63">
        <v>7</v>
      </c>
      <c r="C21" s="80">
        <f>(B21/12*(35^4-18^4)+18^4)^(0.25)</f>
        <v>30.962871682538633</v>
      </c>
      <c r="D21" s="80">
        <v>31</v>
      </c>
      <c r="E21" s="71">
        <f>(D21*10^-2)^4</f>
        <v>9.2352100000000006E-3</v>
      </c>
      <c r="F21" s="71">
        <f>ABS(4*E21^3*E$3)</f>
        <v>1.5753255675771E-11</v>
      </c>
      <c r="G21" s="8">
        <v>1.7</v>
      </c>
      <c r="H21" s="2">
        <f t="shared" si="0"/>
        <v>6.8000000000000005E-2</v>
      </c>
      <c r="I21" s="71">
        <f>AVERAGE(H21:H22)</f>
        <v>6.8000000000000005E-2</v>
      </c>
      <c r="J21" s="71">
        <f>SQRT(2)/50 * H$2</f>
        <v>2.8284271247461902E-4</v>
      </c>
      <c r="K21" s="71">
        <f>I21^2</f>
        <v>4.6240000000000005E-3</v>
      </c>
      <c r="L21" s="71">
        <f>ABS(2*I21*J21)</f>
        <v>3.8466608896548187E-5</v>
      </c>
      <c r="M21" s="8">
        <v>3.43</v>
      </c>
      <c r="N21" s="2">
        <f t="shared" si="1"/>
        <v>6.8600000000000008E-2</v>
      </c>
      <c r="O21" s="71">
        <f>AVERAGE(N21:N22)</f>
        <v>6.8600000000000008E-2</v>
      </c>
      <c r="P21" s="71">
        <f>SQRT(2)/100 * H$2</f>
        <v>1.4142135623730951E-4</v>
      </c>
      <c r="Q21" s="71">
        <f>O21^2</f>
        <v>4.7059600000000012E-3</v>
      </c>
      <c r="R21" s="71">
        <f>ABS(2*O21*P21)</f>
        <v>1.9403010075758868E-5</v>
      </c>
      <c r="S21" s="8">
        <v>5.16</v>
      </c>
      <c r="T21" s="2">
        <f t="shared" si="2"/>
        <v>6.88E-2</v>
      </c>
      <c r="U21" s="71">
        <f>AVERAGE(T21:T22)</f>
        <v>6.88E-2</v>
      </c>
      <c r="V21" s="71">
        <f>SQRT(2)/150 * H$2</f>
        <v>9.4280904158206352E-5</v>
      </c>
      <c r="W21" s="71">
        <f>U21^2</f>
        <v>4.7334400000000002E-3</v>
      </c>
      <c r="X21" s="71">
        <f>ABS(2*U21*V21)</f>
        <v>1.2973052412169193E-5</v>
      </c>
    </row>
    <row r="22" spans="2:24" x14ac:dyDescent="0.25">
      <c r="B22" s="63"/>
      <c r="C22" s="80"/>
      <c r="D22" s="80"/>
      <c r="E22" s="71"/>
      <c r="F22" s="71"/>
      <c r="G22" s="8">
        <v>1.7</v>
      </c>
      <c r="H22" s="2">
        <f t="shared" si="0"/>
        <v>6.8000000000000005E-2</v>
      </c>
      <c r="I22" s="71"/>
      <c r="J22" s="71"/>
      <c r="K22" s="71"/>
      <c r="L22" s="71"/>
      <c r="M22" s="8">
        <v>3.43</v>
      </c>
      <c r="N22" s="2">
        <f t="shared" si="1"/>
        <v>6.8600000000000008E-2</v>
      </c>
      <c r="O22" s="71"/>
      <c r="P22" s="71"/>
      <c r="Q22" s="71"/>
      <c r="R22" s="71"/>
      <c r="S22" s="8">
        <v>5.16</v>
      </c>
      <c r="T22" s="2">
        <f t="shared" si="2"/>
        <v>6.88E-2</v>
      </c>
      <c r="U22" s="71"/>
      <c r="V22" s="71"/>
      <c r="W22" s="71"/>
      <c r="X22" s="71"/>
    </row>
    <row r="23" spans="2:24" x14ac:dyDescent="0.25">
      <c r="B23" s="63">
        <v>8</v>
      </c>
      <c r="C23" s="80">
        <f>(B23/12*(35^4-18^4)+18^4)^(0.25)</f>
        <v>31.899064662709737</v>
      </c>
      <c r="D23" s="80">
        <v>31.9</v>
      </c>
      <c r="E23" s="71">
        <f>(D23*10^-2)^4</f>
        <v>1.0355301121000001E-2</v>
      </c>
      <c r="F23" s="71">
        <f>ABS(4*E23^3*E$3)</f>
        <v>2.2208447114308659E-11</v>
      </c>
      <c r="G23" s="8">
        <v>1.8</v>
      </c>
      <c r="H23" s="2">
        <f t="shared" si="0"/>
        <v>7.2000000000000008E-2</v>
      </c>
      <c r="I23" s="71">
        <f>AVERAGE(H23:H24)</f>
        <v>7.2000000000000008E-2</v>
      </c>
      <c r="J23" s="71">
        <f>SQRT(2)/50 * H$2</f>
        <v>2.8284271247461902E-4</v>
      </c>
      <c r="K23" s="71">
        <f>I23^2</f>
        <v>5.1840000000000011E-3</v>
      </c>
      <c r="L23" s="71">
        <f>ABS(2*I23*J23)</f>
        <v>4.0729350596345144E-5</v>
      </c>
      <c r="M23" s="8">
        <v>3.63</v>
      </c>
      <c r="N23" s="2">
        <f t="shared" si="1"/>
        <v>7.2599999999999998E-2</v>
      </c>
      <c r="O23" s="71">
        <f>AVERAGE(N23:N24)</f>
        <v>7.2500000000000009E-2</v>
      </c>
      <c r="P23" s="71">
        <f>SQRT(2)/100 * H$2</f>
        <v>1.4142135623730951E-4</v>
      </c>
      <c r="Q23" s="71">
        <f>O23^2</f>
        <v>5.2562500000000014E-3</v>
      </c>
      <c r="R23" s="71">
        <f>ABS(2*O23*P23)</f>
        <v>2.0506096654409882E-5</v>
      </c>
      <c r="S23" s="8">
        <v>5.45</v>
      </c>
      <c r="T23" s="2">
        <f t="shared" si="2"/>
        <v>7.2666666666666671E-2</v>
      </c>
      <c r="U23" s="71">
        <f>AVERAGE(T23:T24)</f>
        <v>7.2666666666666671E-2</v>
      </c>
      <c r="V23" s="71">
        <f>SQRT(2)/150 * H$2</f>
        <v>9.4280904158206352E-5</v>
      </c>
      <c r="W23" s="71">
        <f>U23^2</f>
        <v>5.2804444444444452E-3</v>
      </c>
      <c r="X23" s="71">
        <f>ABS(2*U23*V23)</f>
        <v>1.3702158070992658E-5</v>
      </c>
    </row>
    <row r="24" spans="2:24" x14ac:dyDescent="0.25">
      <c r="B24" s="63"/>
      <c r="C24" s="80"/>
      <c r="D24" s="80"/>
      <c r="E24" s="71"/>
      <c r="F24" s="71"/>
      <c r="G24" s="8">
        <v>1.8</v>
      </c>
      <c r="H24" s="2">
        <f t="shared" si="0"/>
        <v>7.2000000000000008E-2</v>
      </c>
      <c r="I24" s="71"/>
      <c r="J24" s="71"/>
      <c r="K24" s="71"/>
      <c r="L24" s="71"/>
      <c r="M24" s="8">
        <v>3.62</v>
      </c>
      <c r="N24" s="2">
        <f t="shared" si="1"/>
        <v>7.2400000000000006E-2</v>
      </c>
      <c r="O24" s="71"/>
      <c r="P24" s="71"/>
      <c r="Q24" s="71"/>
      <c r="R24" s="71"/>
      <c r="S24" s="8">
        <v>5.45</v>
      </c>
      <c r="T24" s="2">
        <f t="shared" si="2"/>
        <v>7.2666666666666671E-2</v>
      </c>
      <c r="U24" s="71"/>
      <c r="V24" s="71"/>
      <c r="W24" s="71"/>
      <c r="X24" s="71"/>
    </row>
    <row r="35" spans="3:64" ht="16.149999999999999" customHeight="1" x14ac:dyDescent="0.25">
      <c r="C35" s="60" t="s">
        <v>0</v>
      </c>
      <c r="D35" s="60" t="s">
        <v>1</v>
      </c>
      <c r="E35" s="60" t="s">
        <v>2</v>
      </c>
      <c r="F35" s="57" t="s">
        <v>12</v>
      </c>
      <c r="G35" s="57"/>
      <c r="H35" s="57"/>
      <c r="I35" s="57"/>
      <c r="J35" s="57" t="s">
        <v>13</v>
      </c>
      <c r="K35" s="57"/>
      <c r="L35" s="57"/>
      <c r="M35" s="57"/>
      <c r="N35" s="57" t="s">
        <v>14</v>
      </c>
      <c r="O35" s="57"/>
      <c r="P35" s="57"/>
      <c r="Q35" s="57"/>
      <c r="AC35" s="60" t="s">
        <v>0</v>
      </c>
      <c r="AD35" s="60" t="s">
        <v>105</v>
      </c>
      <c r="AE35" s="60" t="s">
        <v>2</v>
      </c>
      <c r="AF35" s="83" t="s">
        <v>50</v>
      </c>
      <c r="AG35" s="84"/>
      <c r="AH35" s="84"/>
      <c r="AI35" s="84"/>
      <c r="AJ35" s="84"/>
      <c r="AK35" s="84"/>
      <c r="AL35" s="84"/>
      <c r="AM35" s="85"/>
    </row>
    <row r="36" spans="3:64" ht="18" x14ac:dyDescent="0.25">
      <c r="C36" s="60"/>
      <c r="D36" s="60"/>
      <c r="E36" s="60"/>
      <c r="F36" s="4" t="s">
        <v>7</v>
      </c>
      <c r="G36" s="4" t="s">
        <v>10</v>
      </c>
      <c r="H36" s="4" t="s">
        <v>39</v>
      </c>
      <c r="I36" s="4" t="s">
        <v>40</v>
      </c>
      <c r="J36" s="4" t="s">
        <v>7</v>
      </c>
      <c r="K36" s="4" t="s">
        <v>10</v>
      </c>
      <c r="L36" s="4" t="s">
        <v>39</v>
      </c>
      <c r="M36" s="4" t="s">
        <v>40</v>
      </c>
      <c r="N36" s="4" t="s">
        <v>7</v>
      </c>
      <c r="O36" s="4" t="s">
        <v>10</v>
      </c>
      <c r="P36" s="4" t="s">
        <v>39</v>
      </c>
      <c r="Q36" s="4" t="s">
        <v>40</v>
      </c>
      <c r="AC36" s="60"/>
      <c r="AD36" s="60"/>
      <c r="AE36" s="60"/>
      <c r="AF36" s="4" t="s">
        <v>9</v>
      </c>
      <c r="AG36" s="4" t="s">
        <v>8</v>
      </c>
      <c r="AH36" s="4" t="s">
        <v>7</v>
      </c>
      <c r="AI36" s="4" t="s">
        <v>10</v>
      </c>
      <c r="AJ36" s="4" t="s">
        <v>39</v>
      </c>
      <c r="AK36" s="4" t="s">
        <v>40</v>
      </c>
      <c r="AL36" s="4" t="s">
        <v>52</v>
      </c>
      <c r="AM36" s="4" t="s">
        <v>53</v>
      </c>
    </row>
    <row r="37" spans="3:64" x14ac:dyDescent="0.25">
      <c r="C37" s="2">
        <f>D7</f>
        <v>18</v>
      </c>
      <c r="D37" s="2">
        <f>E7</f>
        <v>1.0497599999999998E-3</v>
      </c>
      <c r="E37" s="2">
        <f>F7</f>
        <v>2.3136627628523511E-14</v>
      </c>
      <c r="F37" s="2">
        <f>K7</f>
        <v>5.6644000000000009E-4</v>
      </c>
      <c r="G37" s="2">
        <f>L7</f>
        <v>1.3463313113791866E-5</v>
      </c>
      <c r="H37" s="2">
        <f t="shared" ref="H37:H45" si="3">D37*C$102+D$102</f>
        <v>5.7149370657798401E-4</v>
      </c>
      <c r="I37" s="2">
        <f>F37-H37</f>
        <v>-5.0537065779839279E-6</v>
      </c>
      <c r="J37" s="2">
        <f>Q7</f>
        <v>5.5225000000000001E-4</v>
      </c>
      <c r="K37" s="2">
        <f>R7</f>
        <v>6.6468037431535469E-6</v>
      </c>
      <c r="L37" s="2">
        <f t="shared" ref="L37:L45" si="4">D37*L$102+M$102</f>
        <v>5.7560747898994537E-4</v>
      </c>
      <c r="M37" s="2">
        <f>J37-L37</f>
        <v>-2.3357478989945364E-5</v>
      </c>
      <c r="N37" s="2">
        <f>W7</f>
        <v>5.6011111111111105E-4</v>
      </c>
      <c r="O37" s="2">
        <f>X7</f>
        <v>4.462629463488434E-6</v>
      </c>
      <c r="P37" s="2">
        <f t="shared" ref="P37:P45" si="5">D37*S$102+T$102</f>
        <v>6.3501359611430476E-4</v>
      </c>
      <c r="Q37" s="2">
        <f>N37-P37</f>
        <v>-7.4902485003193703E-5</v>
      </c>
      <c r="AC37" s="2">
        <f>C37</f>
        <v>18</v>
      </c>
      <c r="AD37" s="2">
        <f>(AC37/100)^2</f>
        <v>3.2399999999999998E-2</v>
      </c>
      <c r="AE37" s="2">
        <f>E37</f>
        <v>2.3136627628523511E-14</v>
      </c>
      <c r="AF37" s="2">
        <f>AVERAGE(I7,O7,U7)</f>
        <v>2.3655555555555555E-2</v>
      </c>
      <c r="AG37" s="2">
        <f>_xlfn.STDEV.P(I7,O7,U7)/SQRT(3)</f>
        <v>7.0856023961885523E-5</v>
      </c>
      <c r="AH37" s="2">
        <f t="shared" ref="AH37:AH45" si="6">AVERAGE(F37,J37,N37)</f>
        <v>5.5960037037037038E-4</v>
      </c>
      <c r="AI37" s="2">
        <f>_xlfn.STDEV.P(F37,J37,N37)/SQRT(3)</f>
        <v>3.3511081775101674E-6</v>
      </c>
      <c r="AJ37" s="2">
        <f>AD37*AP$47+AQ$47</f>
        <v>2.0851247040131436E-4</v>
      </c>
      <c r="AK37" s="2">
        <f>AH37-AJ37</f>
        <v>3.5108789996905602E-4</v>
      </c>
      <c r="AL37" s="2">
        <f>LOG(AC37/100)</f>
        <v>-0.74472749489669399</v>
      </c>
      <c r="AM37" s="2">
        <f>LOG(AF37)</f>
        <v>-1.6260668480010023</v>
      </c>
    </row>
    <row r="38" spans="3:64" x14ac:dyDescent="0.25">
      <c r="C38" s="2">
        <f>D9</f>
        <v>21.7</v>
      </c>
      <c r="D38" s="2">
        <f>E9</f>
        <v>2.2173739209999997E-3</v>
      </c>
      <c r="E38" s="2">
        <f>F9</f>
        <v>2.180453361591296E-13</v>
      </c>
      <c r="F38" s="2">
        <f>K9</f>
        <v>1.1560000000000001E-3</v>
      </c>
      <c r="G38" s="2">
        <f>L9</f>
        <v>1.9233304448274093E-5</v>
      </c>
      <c r="H38" s="2">
        <f t="shared" si="3"/>
        <v>1.1454806099035824E-3</v>
      </c>
      <c r="I38" s="2">
        <f t="shared" ref="I38:I45" si="7">F38-H38</f>
        <v>1.0519390096417692E-5</v>
      </c>
      <c r="J38" s="2">
        <f>Q9</f>
        <v>1.1833600000000001E-3</v>
      </c>
      <c r="K38" s="2">
        <f>R9</f>
        <v>9.7297893091268945E-6</v>
      </c>
      <c r="L38" s="2">
        <f t="shared" si="4"/>
        <v>1.1602511704011727E-3</v>
      </c>
      <c r="M38" s="2">
        <f t="shared" ref="M38:M45" si="8">J38-L38</f>
        <v>2.3108829598827334E-5</v>
      </c>
      <c r="N38" s="2">
        <f>W9</f>
        <v>1.1833600000000001E-3</v>
      </c>
      <c r="O38" s="2">
        <f>X9</f>
        <v>6.4865262060845966E-6</v>
      </c>
      <c r="P38" s="2">
        <f t="shared" si="5"/>
        <v>1.2189859485706599E-3</v>
      </c>
      <c r="Q38" s="2">
        <f t="shared" ref="Q38:Q45" si="9">N38-P38</f>
        <v>-3.5625948570659803E-5</v>
      </c>
      <c r="AC38" s="2">
        <f t="shared" ref="AC38:AE45" si="10">C38</f>
        <v>21.7</v>
      </c>
      <c r="AD38" s="2">
        <f t="shared" ref="AD38:AD45" si="11">AC38^2/10000</f>
        <v>4.7088999999999999E-2</v>
      </c>
      <c r="AE38" s="2">
        <f t="shared" si="10"/>
        <v>2.180453361591296E-13</v>
      </c>
      <c r="AF38" s="2">
        <f>AVERAGE(I9,O9,U9)</f>
        <v>3.4266666666666667E-2</v>
      </c>
      <c r="AG38" s="2">
        <f>_xlfn.STDEV.P(I9,O9,U9)/SQRT(3)</f>
        <v>1.0886621079036282E-4</v>
      </c>
      <c r="AH38" s="2">
        <f t="shared" si="6"/>
        <v>1.1742400000000002E-3</v>
      </c>
      <c r="AI38" s="2">
        <f t="shared" ref="AI38:AI45" si="12">_xlfn.STDEV.P(F38,J38,N38)/SQRT(3)</f>
        <v>7.4464488180608418E-6</v>
      </c>
      <c r="AJ38" s="2">
        <f t="shared" ref="AJ38:AJ45" si="13">AD38*AP$47+AQ$47</f>
        <v>1.2036832433254758E-3</v>
      </c>
      <c r="AK38" s="2">
        <f t="shared" ref="AK38:AK45" si="14">AH38-AJ38</f>
        <v>-2.9443243325475528E-5</v>
      </c>
      <c r="AL38" s="2">
        <f t="shared" ref="AL38:AL45" si="15">LOG(AC38/100)</f>
        <v>-0.66354026615147055</v>
      </c>
      <c r="AM38" s="2">
        <f t="shared" ref="AM38:AM45" si="16">LOG(AF38)</f>
        <v>-1.4651281400604055</v>
      </c>
    </row>
    <row r="39" spans="3:64" x14ac:dyDescent="0.25">
      <c r="C39" s="2">
        <f>D11</f>
        <v>24.1</v>
      </c>
      <c r="D39" s="2">
        <f>E11</f>
        <v>3.373402561000001E-3</v>
      </c>
      <c r="E39" s="2">
        <f>F11</f>
        <v>7.6777595444371106E-13</v>
      </c>
      <c r="F39" s="2">
        <f>K11</f>
        <v>1.7472400000000004E-3</v>
      </c>
      <c r="G39" s="2">
        <f>L11</f>
        <v>2.3645650762878153E-5</v>
      </c>
      <c r="H39" s="2">
        <f t="shared" si="3"/>
        <v>1.7137723091503782E-3</v>
      </c>
      <c r="I39" s="2">
        <f t="shared" si="7"/>
        <v>3.3467690849622216E-5</v>
      </c>
      <c r="J39" s="2">
        <f>Q11</f>
        <v>1.7724099999999999E-3</v>
      </c>
      <c r="K39" s="2">
        <f>R11</f>
        <v>1.1907678195181461E-5</v>
      </c>
      <c r="L39" s="2">
        <f t="shared" si="4"/>
        <v>1.7390939191137427E-3</v>
      </c>
      <c r="M39" s="2">
        <f t="shared" si="8"/>
        <v>3.3316080886257142E-5</v>
      </c>
      <c r="N39" s="2">
        <f>W11</f>
        <v>1.7864711111111112E-3</v>
      </c>
      <c r="O39" s="2">
        <f>X11</f>
        <v>7.9698790981737111E-6</v>
      </c>
      <c r="P39" s="2">
        <f t="shared" si="5"/>
        <v>1.7971640194774741E-3</v>
      </c>
      <c r="Q39" s="2">
        <f t="shared" si="9"/>
        <v>-1.0692908366362894E-5</v>
      </c>
      <c r="AC39" s="2">
        <f t="shared" si="10"/>
        <v>24.1</v>
      </c>
      <c r="AD39" s="2">
        <f t="shared" si="11"/>
        <v>5.8081000000000008E-2</v>
      </c>
      <c r="AE39" s="2">
        <f t="shared" si="10"/>
        <v>7.6777595444371106E-13</v>
      </c>
      <c r="AF39" s="2">
        <f>AVERAGE(I11,O11,U11)</f>
        <v>4.2055555555555561E-2</v>
      </c>
      <c r="AG39" s="2">
        <f>_xlfn.STDEV.P(I11,O11,U11)/SQRT(3)</f>
        <v>1.1148086624660964E-4</v>
      </c>
      <c r="AH39" s="2">
        <f t="shared" si="6"/>
        <v>1.7687070370370371E-3</v>
      </c>
      <c r="AI39" s="2">
        <f t="shared" si="12"/>
        <v>9.3696195912568116E-6</v>
      </c>
      <c r="AJ39" s="2">
        <f t="shared" si="13"/>
        <v>1.9483845256443801E-3</v>
      </c>
      <c r="AK39" s="2">
        <f t="shared" si="14"/>
        <v>-1.79677488607343E-4</v>
      </c>
      <c r="AL39" s="2">
        <f t="shared" si="15"/>
        <v>-0.61798295742513154</v>
      </c>
      <c r="AM39" s="2">
        <f t="shared" si="16"/>
        <v>-1.3761766256032333</v>
      </c>
    </row>
    <row r="40" spans="3:64" x14ac:dyDescent="0.25">
      <c r="C40" s="2">
        <f>D13</f>
        <v>26</v>
      </c>
      <c r="D40" s="2">
        <f>E13</f>
        <v>4.5697600000000008E-3</v>
      </c>
      <c r="E40" s="2">
        <f>F13</f>
        <v>1.908579133233645E-12</v>
      </c>
      <c r="F40" s="2">
        <f>K13</f>
        <v>2.2657599999999995E-3</v>
      </c>
      <c r="G40" s="2">
        <f>L13</f>
        <v>2.6926626227583728E-5</v>
      </c>
      <c r="H40" s="2">
        <f t="shared" si="3"/>
        <v>2.3018892280494236E-3</v>
      </c>
      <c r="I40" s="2">
        <f t="shared" si="7"/>
        <v>-3.6129228049424159E-5</v>
      </c>
      <c r="J40" s="2">
        <f>Q13</f>
        <v>2.2944099999999998E-3</v>
      </c>
      <c r="K40" s="2">
        <f>R13</f>
        <v>1.354816592753425E-5</v>
      </c>
      <c r="L40" s="2">
        <f t="shared" si="4"/>
        <v>2.33812996759217E-3</v>
      </c>
      <c r="M40" s="2">
        <f t="shared" si="8"/>
        <v>-4.3719967592170238E-5</v>
      </c>
      <c r="N40" s="2">
        <f>W13</f>
        <v>2.614617777777778E-3</v>
      </c>
      <c r="O40" s="2">
        <f>X13</f>
        <v>9.6417937985792362E-6</v>
      </c>
      <c r="P40" s="2">
        <f t="shared" si="5"/>
        <v>2.3955122024394778E-3</v>
      </c>
      <c r="Q40" s="2">
        <f t="shared" si="9"/>
        <v>2.1910557533830026E-4</v>
      </c>
      <c r="AC40" s="2">
        <f t="shared" si="10"/>
        <v>26</v>
      </c>
      <c r="AD40" s="2">
        <f t="shared" si="11"/>
        <v>6.7599999999999993E-2</v>
      </c>
      <c r="AE40" s="2">
        <f t="shared" si="10"/>
        <v>1.908579133233645E-12</v>
      </c>
      <c r="AF40" s="2">
        <f>AVERAGE(I13,O13,U13)</f>
        <v>4.8877777777777777E-2</v>
      </c>
      <c r="AG40" s="2">
        <f>_xlfn.STDEV.P(I13,O13,U13)/SQRT(3)</f>
        <v>9.2353766068287179E-4</v>
      </c>
      <c r="AH40" s="2">
        <f t="shared" si="6"/>
        <v>2.3915959259259256E-3</v>
      </c>
      <c r="AI40" s="2">
        <f t="shared" si="12"/>
        <v>9.1298369740309488E-5</v>
      </c>
      <c r="AJ40" s="2">
        <f t="shared" si="13"/>
        <v>2.5932909581765531E-3</v>
      </c>
      <c r="AK40" s="2">
        <f t="shared" si="14"/>
        <v>-2.0169503225062752E-4</v>
      </c>
      <c r="AL40" s="2">
        <f t="shared" si="15"/>
        <v>-0.58502665202918203</v>
      </c>
      <c r="AM40" s="2">
        <f t="shared" si="16"/>
        <v>-1.3108885474624619</v>
      </c>
    </row>
    <row r="41" spans="3:64" x14ac:dyDescent="0.25">
      <c r="C41" s="2">
        <f>D15</f>
        <v>27.5</v>
      </c>
      <c r="D41" s="2">
        <f>E15</f>
        <v>5.7191406250000016E-3</v>
      </c>
      <c r="E41" s="2">
        <f>F15</f>
        <v>3.7412981709492242E-12</v>
      </c>
      <c r="F41" s="2">
        <f>K15</f>
        <v>2.8944399999999999E-3</v>
      </c>
      <c r="G41" s="2">
        <f>L15</f>
        <v>3.0433875862269005E-5</v>
      </c>
      <c r="H41" s="2">
        <f t="shared" si="3"/>
        <v>2.8669128320170504E-3</v>
      </c>
      <c r="I41" s="2">
        <f t="shared" si="7"/>
        <v>2.7527167982949446E-5</v>
      </c>
      <c r="J41" s="2">
        <f>Q15</f>
        <v>2.9484900000000002E-3</v>
      </c>
      <c r="K41" s="2">
        <f>R15</f>
        <v>1.5358359287371814E-5</v>
      </c>
      <c r="L41" s="2">
        <f t="shared" si="4"/>
        <v>2.9136439447302893E-3</v>
      </c>
      <c r="M41" s="2">
        <f t="shared" si="8"/>
        <v>3.4846055269710952E-5</v>
      </c>
      <c r="N41" s="2">
        <f>W15</f>
        <v>2.9738844444444439E-3</v>
      </c>
      <c r="O41" s="2">
        <f>X15</f>
        <v>1.0282903946855039E-5</v>
      </c>
      <c r="P41" s="2">
        <f t="shared" si="5"/>
        <v>2.97036532415813E-3</v>
      </c>
      <c r="Q41" s="2">
        <f t="shared" si="9"/>
        <v>3.5191202863139003E-6</v>
      </c>
      <c r="AC41" s="2">
        <f t="shared" si="10"/>
        <v>27.5</v>
      </c>
      <c r="AD41" s="2">
        <f t="shared" si="11"/>
        <v>7.5624999999999998E-2</v>
      </c>
      <c r="AE41" s="2">
        <f t="shared" si="10"/>
        <v>3.7412981709492242E-12</v>
      </c>
      <c r="AF41" s="2">
        <f>AVERAGE(I15,O15,U15)</f>
        <v>5.4211111111111106E-2</v>
      </c>
      <c r="AG41" s="2">
        <f>_xlfn.STDEV.P(I15,O15,U15)/SQRT(3)</f>
        <v>1.7661657803801932E-4</v>
      </c>
      <c r="AH41" s="2">
        <f t="shared" si="6"/>
        <v>2.9389381481481481E-3</v>
      </c>
      <c r="AI41" s="2">
        <f t="shared" si="12"/>
        <v>1.9126963769165646E-5</v>
      </c>
      <c r="AJ41" s="2">
        <f t="shared" si="13"/>
        <v>3.1369798037559934E-3</v>
      </c>
      <c r="AK41" s="2">
        <f t="shared" si="14"/>
        <v>-1.9804165560784528E-4</v>
      </c>
      <c r="AL41" s="2">
        <f t="shared" si="15"/>
        <v>-0.56066730616973737</v>
      </c>
      <c r="AM41" s="2">
        <f t="shared" si="16"/>
        <v>-1.2659116913270587</v>
      </c>
    </row>
    <row r="42" spans="3:64" x14ac:dyDescent="0.25">
      <c r="C42" s="2">
        <f>D17</f>
        <v>28.8</v>
      </c>
      <c r="D42" s="2">
        <f>E17</f>
        <v>6.8797071360000026E-3</v>
      </c>
      <c r="E42" s="2">
        <f>F17</f>
        <v>6.5123817229017856E-12</v>
      </c>
      <c r="F42" s="2">
        <f>K17</f>
        <v>3.4339599999999998E-3</v>
      </c>
      <c r="G42" s="2">
        <f>L17</f>
        <v>3.314916590202535E-5</v>
      </c>
      <c r="H42" s="2">
        <f t="shared" si="3"/>
        <v>3.4374353016204981E-3</v>
      </c>
      <c r="I42" s="2">
        <f t="shared" si="7"/>
        <v>-3.4753016204982883E-6</v>
      </c>
      <c r="J42" s="2">
        <f>Q17</f>
        <v>3.5164900000000006E-3</v>
      </c>
      <c r="K42" s="2">
        <f>R17</f>
        <v>1.6772572849744909E-5</v>
      </c>
      <c r="L42" s="2">
        <f t="shared" si="4"/>
        <v>3.4947588808541879E-3</v>
      </c>
      <c r="M42" s="2">
        <f t="shared" si="8"/>
        <v>2.1731119145812668E-5</v>
      </c>
      <c r="N42" s="2">
        <f>W17</f>
        <v>3.5442177777777772E-3</v>
      </c>
      <c r="O42" s="2">
        <f>X17</f>
        <v>1.1225712988437101E-5</v>
      </c>
      <c r="P42" s="2">
        <f t="shared" si="5"/>
        <v>3.5508129733522126E-3</v>
      </c>
      <c r="Q42" s="2">
        <f t="shared" si="9"/>
        <v>-6.5951955744354175E-6</v>
      </c>
      <c r="AC42" s="2">
        <f t="shared" si="10"/>
        <v>28.8</v>
      </c>
      <c r="AD42" s="2">
        <f t="shared" si="11"/>
        <v>8.2944000000000004E-2</v>
      </c>
      <c r="AE42" s="2">
        <f t="shared" si="10"/>
        <v>6.5123817229017856E-12</v>
      </c>
      <c r="AF42" s="2">
        <f>AVERAGE(I17,O17,U17)</f>
        <v>5.9144444444444444E-2</v>
      </c>
      <c r="AG42" s="2">
        <f>_xlfn.STDEV.P(I17,O17,U17)/SQRT(3)</f>
        <v>2.2897157801590656E-4</v>
      </c>
      <c r="AH42" s="2">
        <f t="shared" si="6"/>
        <v>3.4982225925925922E-3</v>
      </c>
      <c r="AI42" s="2">
        <f t="shared" si="12"/>
        <v>2.7036880244767748E-5</v>
      </c>
      <c r="AJ42" s="2">
        <f t="shared" si="13"/>
        <v>3.6328375808022139E-3</v>
      </c>
      <c r="AK42" s="2">
        <f t="shared" si="14"/>
        <v>-1.3461498820962169E-4</v>
      </c>
      <c r="AL42" s="2">
        <f t="shared" si="15"/>
        <v>-0.54060751224076908</v>
      </c>
      <c r="AM42" s="2">
        <f t="shared" si="16"/>
        <v>-1.2280860432665701</v>
      </c>
    </row>
    <row r="43" spans="3:64" x14ac:dyDescent="0.25">
      <c r="C43" s="2">
        <f>D19</f>
        <v>30</v>
      </c>
      <c r="D43" s="2">
        <f>E19</f>
        <v>8.0999999999999996E-3</v>
      </c>
      <c r="E43" s="2">
        <f>F19</f>
        <v>1.0628819999999999E-11</v>
      </c>
      <c r="F43" s="2">
        <f>K19</f>
        <v>3.9438400000000014E-3</v>
      </c>
      <c r="G43" s="2">
        <f>L19</f>
        <v>3.5525044686812156E-5</v>
      </c>
      <c r="H43" s="2">
        <f t="shared" si="3"/>
        <v>4.0373186274015073E-3</v>
      </c>
      <c r="I43" s="2">
        <f t="shared" si="7"/>
        <v>-9.3478627401505886E-5</v>
      </c>
      <c r="J43" s="2">
        <f>Q19</f>
        <v>4.0068899999999991E-3</v>
      </c>
      <c r="K43" s="2">
        <f>R19</f>
        <v>1.7903943699643381E-5</v>
      </c>
      <c r="L43" s="2">
        <f t="shared" si="4"/>
        <v>4.1057797943430544E-3</v>
      </c>
      <c r="M43" s="2">
        <f t="shared" si="8"/>
        <v>-9.8889794343055316E-5</v>
      </c>
      <c r="N43" s="2">
        <f>W19</f>
        <v>4.0704399999999998E-3</v>
      </c>
      <c r="O43" s="2">
        <f>X19</f>
        <v>1.2030243370587129E-5</v>
      </c>
      <c r="P43" s="2">
        <f t="shared" si="5"/>
        <v>4.1611322592557771E-3</v>
      </c>
      <c r="Q43" s="2">
        <f t="shared" si="9"/>
        <v>-9.0692259255777292E-5</v>
      </c>
      <c r="AC43" s="2">
        <f t="shared" si="10"/>
        <v>30</v>
      </c>
      <c r="AD43" s="2">
        <f t="shared" si="11"/>
        <v>0.09</v>
      </c>
      <c r="AE43" s="2">
        <f t="shared" si="10"/>
        <v>1.0628819999999999E-11</v>
      </c>
      <c r="AF43" s="2">
        <f>AVERAGE(I19,O19,U19)</f>
        <v>6.3299999999999995E-2</v>
      </c>
      <c r="AG43" s="2">
        <f>_xlfn.STDEV.P(I19,O19,U19)/SQRT(3)</f>
        <v>2.3570226039551276E-4</v>
      </c>
      <c r="AH43" s="2">
        <f t="shared" si="6"/>
        <v>4.0070566666666665E-3</v>
      </c>
      <c r="AI43" s="2">
        <f t="shared" si="12"/>
        <v>2.9839983740438058E-5</v>
      </c>
      <c r="AJ43" s="2">
        <f t="shared" si="13"/>
        <v>4.1108772685789774E-3</v>
      </c>
      <c r="AK43" s="2">
        <f t="shared" si="14"/>
        <v>-1.0382060191231092E-4</v>
      </c>
      <c r="AL43" s="2">
        <f t="shared" si="15"/>
        <v>-0.52287874528033762</v>
      </c>
      <c r="AM43" s="2">
        <f t="shared" si="16"/>
        <v>-1.198596289982645</v>
      </c>
    </row>
    <row r="44" spans="3:64" x14ac:dyDescent="0.25">
      <c r="C44" s="2">
        <f>D21</f>
        <v>31</v>
      </c>
      <c r="D44" s="2">
        <f>E21</f>
        <v>9.2352100000000006E-3</v>
      </c>
      <c r="E44" s="2">
        <f>F21</f>
        <v>1.5753255675771E-11</v>
      </c>
      <c r="F44" s="2">
        <f>K21</f>
        <v>4.6240000000000005E-3</v>
      </c>
      <c r="G44" s="2">
        <f>L21</f>
        <v>3.8466608896548187E-5</v>
      </c>
      <c r="H44" s="2">
        <f t="shared" si="3"/>
        <v>4.5953760989724136E-3</v>
      </c>
      <c r="I44" s="2">
        <f t="shared" si="7"/>
        <v>2.8623901027586933E-5</v>
      </c>
      <c r="J44" s="2">
        <f>Q21</f>
        <v>4.7059600000000012E-3</v>
      </c>
      <c r="K44" s="2">
        <f>R21</f>
        <v>1.9403010075758868E-5</v>
      </c>
      <c r="L44" s="2">
        <f t="shared" si="4"/>
        <v>4.674198304083433E-3</v>
      </c>
      <c r="M44" s="2">
        <f t="shared" si="8"/>
        <v>3.1761695916568237E-5</v>
      </c>
      <c r="N44" s="2">
        <f>W21</f>
        <v>4.7334400000000002E-3</v>
      </c>
      <c r="O44" s="2">
        <f>X21</f>
        <v>1.2973052412169193E-5</v>
      </c>
      <c r="P44" s="2">
        <f t="shared" si="5"/>
        <v>4.7288980612121409E-3</v>
      </c>
      <c r="Q44" s="2">
        <f t="shared" si="9"/>
        <v>4.5419387878593495E-6</v>
      </c>
      <c r="AC44" s="2">
        <f t="shared" si="10"/>
        <v>31</v>
      </c>
      <c r="AD44" s="2">
        <f t="shared" si="11"/>
        <v>9.6100000000000005E-2</v>
      </c>
      <c r="AE44" s="2">
        <f t="shared" si="10"/>
        <v>1.5753255675771E-11</v>
      </c>
      <c r="AF44" s="2">
        <f>AVERAGE(I21,O21,U21)</f>
        <v>6.8466666666666662E-2</v>
      </c>
      <c r="AG44" s="2">
        <f>_xlfn.STDEV.P(I21,O21,U21)/SQRT(3)</f>
        <v>1.9626135258506261E-4</v>
      </c>
      <c r="AH44" s="2">
        <f t="shared" si="6"/>
        <v>4.6878000000000006E-3</v>
      </c>
      <c r="AI44" s="2">
        <f t="shared" si="12"/>
        <v>2.6839513160015903E-5</v>
      </c>
      <c r="AJ44" s="2">
        <f t="shared" si="13"/>
        <v>4.5241485406082096E-3</v>
      </c>
      <c r="AK44" s="2">
        <f t="shared" si="14"/>
        <v>1.63651459391791E-4</v>
      </c>
      <c r="AL44" s="2">
        <f t="shared" si="15"/>
        <v>-0.50863830616572736</v>
      </c>
      <c r="AM44" s="2">
        <f t="shared" si="16"/>
        <v>-1.164520815458403</v>
      </c>
    </row>
    <row r="45" spans="3:64" x14ac:dyDescent="0.25">
      <c r="C45" s="2">
        <f>D23</f>
        <v>31.9</v>
      </c>
      <c r="D45" s="2">
        <f>E23</f>
        <v>1.0355301121000001E-2</v>
      </c>
      <c r="E45" s="2">
        <f>F23</f>
        <v>2.2208447114308659E-11</v>
      </c>
      <c r="F45" s="2">
        <f>K23</f>
        <v>5.1840000000000011E-3</v>
      </c>
      <c r="G45" s="2">
        <f>L23</f>
        <v>4.0729350596345144E-5</v>
      </c>
      <c r="H45" s="2">
        <f t="shared" si="3"/>
        <v>5.1460012863071662E-3</v>
      </c>
      <c r="I45" s="2">
        <f t="shared" si="7"/>
        <v>3.799871369283489E-5</v>
      </c>
      <c r="J45" s="2">
        <f>Q23</f>
        <v>5.2562500000000014E-3</v>
      </c>
      <c r="K45" s="2">
        <f>R23</f>
        <v>2.0506096654409882E-5</v>
      </c>
      <c r="L45" s="2">
        <f t="shared" si="4"/>
        <v>5.2350465398920054E-3</v>
      </c>
      <c r="M45" s="2">
        <f t="shared" si="8"/>
        <v>2.1203460107995994E-5</v>
      </c>
      <c r="N45" s="2">
        <f>W23</f>
        <v>5.2804444444444452E-3</v>
      </c>
      <c r="O45" s="2">
        <f>X23</f>
        <v>1.3702158070992658E-5</v>
      </c>
      <c r="P45" s="2">
        <f t="shared" si="5"/>
        <v>5.2891022820864874E-3</v>
      </c>
      <c r="Q45" s="2">
        <f t="shared" si="9"/>
        <v>-8.6578376420421224E-6</v>
      </c>
      <c r="AC45" s="2">
        <f t="shared" si="10"/>
        <v>31.9</v>
      </c>
      <c r="AD45" s="2">
        <f t="shared" si="11"/>
        <v>0.10176099999999999</v>
      </c>
      <c r="AE45" s="2">
        <f t="shared" si="10"/>
        <v>2.2208447114308659E-11</v>
      </c>
      <c r="AF45" s="2">
        <f>AVERAGE(I23,O23,U23)</f>
        <v>7.2388888888888892E-2</v>
      </c>
      <c r="AG45" s="2">
        <f>_xlfn.STDEV.P(I23,O23,U23)/SQRT(3)</f>
        <v>1.6355112715421864E-4</v>
      </c>
      <c r="AH45" s="2">
        <f t="shared" si="6"/>
        <v>5.240231481481482E-3</v>
      </c>
      <c r="AI45" s="2">
        <f t="shared" si="12"/>
        <v>2.3654116004034596E-5</v>
      </c>
      <c r="AJ45" s="2">
        <f t="shared" si="13"/>
        <v>4.9076778309291077E-3</v>
      </c>
      <c r="AK45" s="2">
        <f t="shared" si="14"/>
        <v>3.3255365055237431E-4</v>
      </c>
      <c r="AL45" s="2">
        <f t="shared" si="15"/>
        <v>-0.49620931694281889</v>
      </c>
      <c r="AM45" s="2">
        <f t="shared" si="16"/>
        <v>-1.1403280893907213</v>
      </c>
    </row>
    <row r="46" spans="3:64" ht="17.25" x14ac:dyDescent="0.25">
      <c r="AO46" s="57" t="s">
        <v>51</v>
      </c>
      <c r="AP46" s="57"/>
      <c r="AQ46" s="57"/>
      <c r="AR46" s="57"/>
      <c r="AT46" s="3" t="s">
        <v>36</v>
      </c>
      <c r="AU46" s="2">
        <f>5.029*PI()^2 *AF7 /(AP47 *AB12^ 2)</f>
        <v>1910967488703.28</v>
      </c>
      <c r="BF46" s="57" t="s">
        <v>54</v>
      </c>
      <c r="BG46" s="57"/>
      <c r="BH46" s="57"/>
      <c r="BI46" s="57"/>
      <c r="BK46" s="75" t="s">
        <v>46</v>
      </c>
      <c r="BL46" s="88">
        <f>(BG47-2)/2</f>
        <v>-2.8960437700503827E-2</v>
      </c>
    </row>
    <row r="47" spans="3:64" ht="17.25" x14ac:dyDescent="0.25">
      <c r="S47" s="61" t="s">
        <v>35</v>
      </c>
      <c r="T47" s="61"/>
      <c r="U47" s="61"/>
      <c r="V47" s="61"/>
      <c r="W47" s="61"/>
      <c r="AO47" s="4" t="s">
        <v>18</v>
      </c>
      <c r="AP47" s="2">
        <f t="array" ref="AP47:AQ49">LINEST(AH37:AH45,AD37:AD45,1,1)</f>
        <v>6.7749388857251097E-2</v>
      </c>
      <c r="AQ47" s="2">
        <v>-1.986567728573621E-3</v>
      </c>
      <c r="AR47" s="4" t="s">
        <v>30</v>
      </c>
      <c r="AT47" s="3" t="s">
        <v>37</v>
      </c>
      <c r="AU47" s="9">
        <f>SQRT((PI()^2*5.029/((AP47*AB12^2)^2) * AP47 *AB12^ 2*AF8 )^2+(PI()^2*5.029/((AP47*AB12^2)^2)*AF7*AB12^2*AP48)^2+(PI()^2*5.029/((AP47*AB12^2)^2)*AF7*AB12*AP47*AB13)^2)</f>
        <v>105709875082.52533</v>
      </c>
      <c r="BF47" s="4" t="s">
        <v>18</v>
      </c>
      <c r="BG47" s="2">
        <f t="array" ref="BG47:BH49">LINEST(AM37:AM45,AL37:AL45,1,1)</f>
        <v>1.9420791245989923</v>
      </c>
      <c r="BH47" s="2">
        <v>-0.17762972192586823</v>
      </c>
      <c r="BI47" s="4" t="s">
        <v>30</v>
      </c>
      <c r="BK47" s="75"/>
      <c r="BL47" s="88"/>
    </row>
    <row r="48" spans="3:64" x14ac:dyDescent="0.25">
      <c r="AO48" s="4" t="s">
        <v>28</v>
      </c>
      <c r="AP48" s="2">
        <v>3.647104189042395E-3</v>
      </c>
      <c r="AQ48" s="2">
        <v>2.7588562799434963E-4</v>
      </c>
      <c r="AR48" s="4" t="s">
        <v>31</v>
      </c>
      <c r="AT48" s="3" t="s">
        <v>38</v>
      </c>
      <c r="AU48" s="6">
        <f>AU47/AU46</f>
        <v>5.5317463906336045E-2</v>
      </c>
      <c r="BF48" s="4" t="s">
        <v>28</v>
      </c>
      <c r="BG48" s="2">
        <v>1.1574996211111226E-2</v>
      </c>
      <c r="BH48" s="2">
        <v>6.7976835847436785E-3</v>
      </c>
      <c r="BI48" s="4" t="s">
        <v>31</v>
      </c>
      <c r="BK48" s="75" t="s">
        <v>47</v>
      </c>
      <c r="BL48" s="88">
        <f>BG48/BG47</f>
        <v>5.9601053656870313E-3</v>
      </c>
    </row>
    <row r="49" spans="41:64" ht="18" x14ac:dyDescent="0.25">
      <c r="AO49" s="4" t="s">
        <v>29</v>
      </c>
      <c r="AP49" s="2">
        <v>0.98011791419584038</v>
      </c>
      <c r="AQ49" s="2">
        <v>2.3981797992698271E-4</v>
      </c>
      <c r="AR49" s="4" t="s">
        <v>32</v>
      </c>
      <c r="AT49" s="3" t="s">
        <v>48</v>
      </c>
      <c r="AU49" s="9">
        <f>200*10^9</f>
        <v>200000000000</v>
      </c>
      <c r="BF49" s="4" t="s">
        <v>29</v>
      </c>
      <c r="BG49" s="2">
        <v>0.99975140182462963</v>
      </c>
      <c r="BH49" s="2">
        <v>2.6606919274365817E-3</v>
      </c>
      <c r="BI49" s="4" t="s">
        <v>32</v>
      </c>
      <c r="BK49" s="75"/>
      <c r="BL49" s="88"/>
    </row>
    <row r="50" spans="41:64" x14ac:dyDescent="0.25">
      <c r="AT50" s="3" t="s">
        <v>49</v>
      </c>
      <c r="AU50" s="6">
        <f>(AU46-AU49)/AU49</f>
        <v>8.5548374435163996</v>
      </c>
    </row>
    <row r="75" spans="8:26" x14ac:dyDescent="0.25">
      <c r="H75" s="4" t="s">
        <v>41</v>
      </c>
      <c r="I75" s="4" t="s">
        <v>42</v>
      </c>
      <c r="P75" s="4" t="s">
        <v>41</v>
      </c>
      <c r="Q75" s="4" t="s">
        <v>42</v>
      </c>
      <c r="Y75" s="4" t="s">
        <v>41</v>
      </c>
      <c r="Z75" s="4" t="s">
        <v>42</v>
      </c>
    </row>
    <row r="76" spans="8:26" x14ac:dyDescent="0.25">
      <c r="H76" s="2">
        <f t="shared" ref="H76:H84" si="17">LOG(C37/100)</f>
        <v>-0.74472749489669399</v>
      </c>
      <c r="I76" s="2">
        <f>LOG(I7)</f>
        <v>-1.6234230429434879</v>
      </c>
      <c r="P76" s="2">
        <f>H76</f>
        <v>-0.74472749489669399</v>
      </c>
      <c r="Q76" s="2">
        <f>LOG(O7)</f>
        <v>-1.6289321377282637</v>
      </c>
      <c r="Y76" s="2">
        <f>P76</f>
        <v>-0.74472749489669399</v>
      </c>
      <c r="Z76" s="2">
        <f>LOG(U7)</f>
        <v>-1.6258629060005871</v>
      </c>
    </row>
    <row r="77" spans="8:26" x14ac:dyDescent="0.25">
      <c r="H77" s="2">
        <f t="shared" si="17"/>
        <v>-0.66354026615147055</v>
      </c>
      <c r="I77" s="2">
        <f>LOG(I9)</f>
        <v>-1.4685210829577449</v>
      </c>
      <c r="P77" s="2">
        <f t="shared" ref="P77:P84" si="18">H77</f>
        <v>-0.66354026615147055</v>
      </c>
      <c r="Q77" s="2">
        <f>LOG(O9)</f>
        <v>-1.4634415574284698</v>
      </c>
      <c r="Y77" s="2">
        <f t="shared" ref="Y77:Y84" si="19">P77</f>
        <v>-0.66354026615147055</v>
      </c>
      <c r="Z77" s="2">
        <f>LOG(U9)</f>
        <v>-1.4634415574284698</v>
      </c>
    </row>
    <row r="78" spans="8:26" x14ac:dyDescent="0.25">
      <c r="H78" s="2">
        <f t="shared" si="17"/>
        <v>-0.61798295742513154</v>
      </c>
      <c r="I78" s="2">
        <f>LOG(I11)</f>
        <v>-1.3788237182249647</v>
      </c>
      <c r="P78" s="2">
        <f t="shared" si="18"/>
        <v>-0.61798295742513154</v>
      </c>
      <c r="Q78" s="2">
        <f>LOG(O11)</f>
        <v>-1.3757179041643317</v>
      </c>
      <c r="Y78" s="2">
        <f t="shared" si="19"/>
        <v>-0.61798295742513154</v>
      </c>
      <c r="Z78" s="2">
        <f>LOG(U11)</f>
        <v>-1.3740020011739484</v>
      </c>
    </row>
    <row r="79" spans="8:26" x14ac:dyDescent="0.25">
      <c r="H79" s="2">
        <f t="shared" si="17"/>
        <v>-0.58502665202918203</v>
      </c>
      <c r="I79" s="2">
        <f>LOG(I13)</f>
        <v>-1.3223930472795069</v>
      </c>
      <c r="P79" s="2">
        <f t="shared" si="18"/>
        <v>-0.58502665202918203</v>
      </c>
      <c r="Q79" s="2">
        <f>LOG(O13)</f>
        <v>-1.3196644865854368</v>
      </c>
      <c r="Y79" s="2">
        <f t="shared" si="19"/>
        <v>-0.58502665202918203</v>
      </c>
      <c r="Z79" s="2">
        <f>LOG(U13)</f>
        <v>-1.2912958951067002</v>
      </c>
    </row>
    <row r="80" spans="8:26" x14ac:dyDescent="0.25">
      <c r="H80" s="2">
        <f t="shared" si="17"/>
        <v>-0.56066730616973737</v>
      </c>
      <c r="I80" s="2">
        <f>LOG(I15)</f>
        <v>-1.2692177243336109</v>
      </c>
      <c r="P80" s="2">
        <f t="shared" si="18"/>
        <v>-0.56066730616973737</v>
      </c>
      <c r="Q80" s="2">
        <f>LOG(O15)</f>
        <v>-1.2652001704111531</v>
      </c>
      <c r="Y80" s="2">
        <f t="shared" si="19"/>
        <v>-0.56066730616973737</v>
      </c>
      <c r="Z80" s="2">
        <f>LOG(U15)</f>
        <v>-1.2633379553843582</v>
      </c>
    </row>
    <row r="81" spans="8:26" x14ac:dyDescent="0.25">
      <c r="H81" s="2">
        <f t="shared" si="17"/>
        <v>-0.54060751224076908</v>
      </c>
      <c r="I81" s="2">
        <f>LOG(I17)</f>
        <v>-1.2321023839819094</v>
      </c>
      <c r="P81" s="2">
        <f t="shared" si="18"/>
        <v>-0.54060751224076908</v>
      </c>
      <c r="Q81" s="2">
        <f>LOG(O17)</f>
        <v>-1.2269453066357374</v>
      </c>
      <c r="Y81" s="2">
        <f t="shared" si="19"/>
        <v>-0.54060751224076908</v>
      </c>
      <c r="Z81" s="2">
        <f>LOG(U17)</f>
        <v>-1.225239800167135</v>
      </c>
    </row>
    <row r="82" spans="8:26" x14ac:dyDescent="0.25">
      <c r="H82" s="2">
        <f t="shared" si="17"/>
        <v>-0.52287874528033762</v>
      </c>
      <c r="I82" s="2">
        <f>LOG(I19)</f>
        <v>-1.2020403562628039</v>
      </c>
      <c r="P82" s="2">
        <f t="shared" si="18"/>
        <v>-0.52287874528033762</v>
      </c>
      <c r="Q82" s="2">
        <f>LOG(O19)</f>
        <v>-1.198596289982645</v>
      </c>
      <c r="Y82" s="2">
        <f t="shared" si="19"/>
        <v>-0.52287874528033762</v>
      </c>
      <c r="Z82" s="2">
        <f>LOG(U19)</f>
        <v>-1.1951793212788377</v>
      </c>
    </row>
    <row r="83" spans="8:26" x14ac:dyDescent="0.25">
      <c r="H83" s="2">
        <f t="shared" si="17"/>
        <v>-0.50863830616572736</v>
      </c>
      <c r="I83" s="2">
        <f>LOG(I21)</f>
        <v>-1.1674910872937636</v>
      </c>
      <c r="P83" s="2">
        <f t="shared" si="18"/>
        <v>-0.50863830616572736</v>
      </c>
      <c r="Q83" s="2">
        <f>LOG(O21)</f>
        <v>-1.1636758842932482</v>
      </c>
      <c r="Y83" s="2">
        <f t="shared" si="19"/>
        <v>-0.50863830616572736</v>
      </c>
      <c r="Z83" s="2">
        <f>LOG(U21)</f>
        <v>-1.1624115617644888</v>
      </c>
    </row>
    <row r="84" spans="8:26" x14ac:dyDescent="0.25">
      <c r="H84" s="2">
        <f t="shared" si="17"/>
        <v>-0.49620931694281889</v>
      </c>
      <c r="I84" s="2">
        <f>LOG(I23)</f>
        <v>-1.1426675035687315</v>
      </c>
      <c r="P84" s="2">
        <f t="shared" si="18"/>
        <v>-0.49620931694281889</v>
      </c>
      <c r="Q84" s="2">
        <f>LOG(O23)</f>
        <v>-1.1396619934290062</v>
      </c>
      <c r="Y84" s="2">
        <f t="shared" si="19"/>
        <v>-0.49620931694281889</v>
      </c>
      <c r="Z84" s="2">
        <f>LOG(U23)</f>
        <v>-1.1386647611150575</v>
      </c>
    </row>
    <row r="101" spans="2:21" ht="17.25" x14ac:dyDescent="0.25">
      <c r="B101" s="57" t="s">
        <v>27</v>
      </c>
      <c r="C101" s="57"/>
      <c r="D101" s="57"/>
      <c r="E101" s="57"/>
      <c r="K101" s="57" t="s">
        <v>33</v>
      </c>
      <c r="L101" s="57"/>
      <c r="M101" s="57"/>
      <c r="N101" s="57"/>
      <c r="R101" s="57" t="s">
        <v>34</v>
      </c>
      <c r="S101" s="57"/>
      <c r="T101" s="57"/>
      <c r="U101" s="57"/>
    </row>
    <row r="102" spans="2:21" x14ac:dyDescent="0.25">
      <c r="B102" s="4" t="s">
        <v>18</v>
      </c>
      <c r="C102" s="2">
        <f t="array" ref="C102:D104">LINEST(F37:F45,D37:D45,1,1)</f>
        <v>0.4915896367816589</v>
      </c>
      <c r="D102" s="2">
        <v>5.5442569470069789E-5</v>
      </c>
      <c r="E102" s="4" t="s">
        <v>30</v>
      </c>
      <c r="K102" s="4" t="s">
        <v>18</v>
      </c>
      <c r="L102" s="2">
        <f t="array" ref="L102:M104">LINEST(J37:J45,D37:D45,1,1)</f>
        <v>0.50071661608017726</v>
      </c>
      <c r="M102" s="2">
        <v>4.9975204093618587E-5</v>
      </c>
      <c r="N102" s="4" t="s">
        <v>30</v>
      </c>
      <c r="R102" s="4" t="s">
        <v>18</v>
      </c>
      <c r="S102" s="2">
        <f t="array" ref="S102:T104">LINEST(N37:N45,D37:D45,1,1)</f>
        <v>0.50014164952419671</v>
      </c>
      <c r="T102" s="2">
        <v>1.0998489810978406E-4</v>
      </c>
      <c r="U102" s="4" t="s">
        <v>30</v>
      </c>
    </row>
    <row r="103" spans="2:21" x14ac:dyDescent="0.25">
      <c r="B103" s="4" t="s">
        <v>28</v>
      </c>
      <c r="C103" s="2">
        <v>5.0043171789404782E-3</v>
      </c>
      <c r="D103" s="2">
        <v>3.2365188925025776E-5</v>
      </c>
      <c r="E103" s="4" t="s">
        <v>31</v>
      </c>
      <c r="K103" s="4" t="s">
        <v>28</v>
      </c>
      <c r="L103" s="2">
        <v>5.4540854204062593E-3</v>
      </c>
      <c r="M103" s="2">
        <v>3.5274044136836833E-5</v>
      </c>
      <c r="N103" s="4" t="s">
        <v>31</v>
      </c>
      <c r="R103" s="4" t="s">
        <v>28</v>
      </c>
      <c r="S103" s="2">
        <v>1.052315531268665E-2</v>
      </c>
      <c r="T103" s="2">
        <v>6.8058018227893605E-5</v>
      </c>
      <c r="U103" s="4" t="s">
        <v>31</v>
      </c>
    </row>
    <row r="104" spans="2:21" ht="17.25" x14ac:dyDescent="0.25">
      <c r="B104" s="4" t="s">
        <v>29</v>
      </c>
      <c r="C104" s="2">
        <v>0.99927511797336399</v>
      </c>
      <c r="D104" s="2">
        <v>4.5249958800552205E-5</v>
      </c>
      <c r="E104" s="4" t="s">
        <v>32</v>
      </c>
      <c r="K104" s="4" t="s">
        <v>29</v>
      </c>
      <c r="L104" s="2">
        <v>0.99917015428300948</v>
      </c>
      <c r="M104" s="2">
        <v>4.9316846183664154E-5</v>
      </c>
      <c r="N104" s="4" t="s">
        <v>32</v>
      </c>
      <c r="R104" s="4" t="s">
        <v>29</v>
      </c>
      <c r="S104" s="2">
        <v>0.99691069908352437</v>
      </c>
      <c r="T104" s="2">
        <v>9.5152310959574089E-5</v>
      </c>
      <c r="U104" s="4" t="s">
        <v>32</v>
      </c>
    </row>
    <row r="106" spans="2:21" x14ac:dyDescent="0.25">
      <c r="B106" s="57" t="s">
        <v>43</v>
      </c>
      <c r="C106" s="57"/>
      <c r="D106" s="57"/>
      <c r="E106" s="57"/>
      <c r="K106" s="57" t="s">
        <v>44</v>
      </c>
      <c r="L106" s="57"/>
      <c r="M106" s="57"/>
      <c r="N106" s="57"/>
      <c r="R106" s="57" t="s">
        <v>45</v>
      </c>
      <c r="S106" s="57"/>
      <c r="T106" s="57"/>
      <c r="U106" s="57"/>
    </row>
    <row r="107" spans="2:21" x14ac:dyDescent="0.25">
      <c r="B107" s="4" t="s">
        <v>18</v>
      </c>
      <c r="C107" s="2">
        <f t="array" ref="C107:D109">LINEST(I76:I84,H76:H84,1,1)</f>
        <v>1.9252290776962084</v>
      </c>
      <c r="D107" s="2">
        <v>-0.1908825881223366</v>
      </c>
      <c r="E107" s="4" t="s">
        <v>30</v>
      </c>
      <c r="K107" s="4" t="s">
        <v>18</v>
      </c>
      <c r="L107" s="2">
        <f t="array" ref="L107:M109">LINEST(Q76:Q84,P76:P84,1,1)</f>
        <v>1.9518971655075836</v>
      </c>
      <c r="M107" s="2">
        <v>-0.1725945409100671</v>
      </c>
      <c r="N107" s="4" t="s">
        <v>30</v>
      </c>
      <c r="R107" s="4" t="s">
        <v>18</v>
      </c>
      <c r="S107" s="2">
        <f t="array" ref="S107:T109">LINEST(Z76:Z84,Y76:Y84,1,1)</f>
        <v>1.9491401377553785</v>
      </c>
      <c r="T107" s="2">
        <v>-0.16948872115151814</v>
      </c>
      <c r="U107" s="4" t="s">
        <v>30</v>
      </c>
    </row>
    <row r="108" spans="2:21" x14ac:dyDescent="0.25">
      <c r="B108" s="4" t="s">
        <v>28</v>
      </c>
      <c r="C108" s="2">
        <v>1.4036804975698477E-2</v>
      </c>
      <c r="D108" s="2">
        <v>8.243437580909032E-3</v>
      </c>
      <c r="E108" s="4" t="s">
        <v>31</v>
      </c>
      <c r="K108" s="4" t="s">
        <v>28</v>
      </c>
      <c r="L108" s="2">
        <v>1.6475387476289828E-2</v>
      </c>
      <c r="M108" s="2">
        <v>9.6755514176635055E-3</v>
      </c>
      <c r="N108" s="4" t="s">
        <v>31</v>
      </c>
      <c r="R108" s="4" t="s">
        <v>28</v>
      </c>
      <c r="S108" s="2">
        <v>3.3673346308101815E-2</v>
      </c>
      <c r="T108" s="2">
        <v>1.9775449535114606E-2</v>
      </c>
      <c r="U108" s="4" t="s">
        <v>31</v>
      </c>
    </row>
    <row r="109" spans="2:21" ht="17.25" x14ac:dyDescent="0.25">
      <c r="B109" s="4" t="s">
        <v>29</v>
      </c>
      <c r="C109" s="2">
        <v>0.99962802977927645</v>
      </c>
      <c r="D109" s="2">
        <v>3.2265767525687271E-3</v>
      </c>
      <c r="E109" s="4" t="s">
        <v>32</v>
      </c>
      <c r="K109" s="4" t="s">
        <v>29</v>
      </c>
      <c r="L109" s="2">
        <v>0.99950153013150633</v>
      </c>
      <c r="M109" s="2">
        <v>3.7871226616449792E-3</v>
      </c>
      <c r="N109" s="4" t="s">
        <v>32</v>
      </c>
      <c r="R109" s="4" t="s">
        <v>29</v>
      </c>
      <c r="S109" s="2">
        <v>0.9979151343540521</v>
      </c>
      <c r="T109" s="2">
        <v>7.7403395264819402E-3</v>
      </c>
      <c r="U109" s="4" t="s">
        <v>32</v>
      </c>
    </row>
    <row r="111" spans="2:21" ht="17.25" x14ac:dyDescent="0.25">
      <c r="C111" s="3" t="s">
        <v>36</v>
      </c>
      <c r="D111" s="2">
        <f>5.029*PI()^2 *AF7 /(C102 * AB12^2)</f>
        <v>263363728196.78912</v>
      </c>
      <c r="L111" s="3" t="s">
        <v>36</v>
      </c>
      <c r="M111" s="2">
        <f>5.029*PI()^2 *AF7 /(L102 * AB12^2)</f>
        <v>258563177909.38303</v>
      </c>
      <c r="R111" s="3" t="s">
        <v>36</v>
      </c>
      <c r="S111" s="2">
        <f>5.029*PI()^2 *AF7 /(S102 * AB12^2)</f>
        <v>258860424059.6434</v>
      </c>
    </row>
    <row r="112" spans="2:21" ht="17.25" x14ac:dyDescent="0.25">
      <c r="C112" s="3" t="s">
        <v>37</v>
      </c>
      <c r="D112" s="9">
        <f>SQRT((PI()^2*5.029/((C102*AB12^2)^2) * C102 * AB12^2*AF8 )^2+(PI()^2*5.029/((C102*AB12^2)^2)*AF7*AB12^2*C103)^2+(PI()^2*5.029/((C102*AB12^2)^2)*AF7*AB12*C102*AB13)^2)</f>
        <v>4293208042.2587013</v>
      </c>
      <c r="L112" s="3" t="s">
        <v>37</v>
      </c>
      <c r="M112" s="9">
        <f>SQRT((PI()^2*5.029/((L102*AB12^2)^2) * L102 * AB12^2*AF8 )^2+(PI()^2*5.029/((L102*AB12^2)^2)*AF7*AB12^2*L103)^2+(PI()^2*5.029/((L102*AB12^2)^2)*AF7*AB12*L102*AB13)^2)</f>
        <v>4332419540.8038473</v>
      </c>
      <c r="R112" s="3" t="s">
        <v>37</v>
      </c>
      <c r="S112" s="9">
        <f>SQRT((PI()^2*5.029/((S102*AB12^2)^2) * S102 * AB12^2*AF8 )^2+(PI()^2*5.029/((S102*AB12^2)^2)*AF7*AB12^2*S103)^2+(PI()^2*5.029/((S102*AB12^2)^2)*AF7*AB12*S102*AB13)^2)</f>
        <v>6366090888.82026</v>
      </c>
    </row>
    <row r="113" spans="3:19" x14ac:dyDescent="0.25">
      <c r="C113" s="3" t="s">
        <v>38</v>
      </c>
      <c r="D113" s="6">
        <f>D112/D111</f>
        <v>1.6301440109667477E-2</v>
      </c>
      <c r="L113" s="3" t="s">
        <v>38</v>
      </c>
      <c r="M113" s="6">
        <f>M112/M111</f>
        <v>1.6755748346820684E-2</v>
      </c>
      <c r="R113" s="3" t="s">
        <v>38</v>
      </c>
      <c r="S113" s="6">
        <f>S112/S111</f>
        <v>2.45927546164935E-2</v>
      </c>
    </row>
    <row r="114" spans="3:19" ht="18" x14ac:dyDescent="0.25">
      <c r="C114" s="3" t="s">
        <v>48</v>
      </c>
      <c r="D114" s="9">
        <f>200*10^9</f>
        <v>200000000000</v>
      </c>
      <c r="L114" s="3" t="s">
        <v>48</v>
      </c>
      <c r="M114" s="9">
        <f>200*10^9</f>
        <v>200000000000</v>
      </c>
      <c r="R114" s="3" t="s">
        <v>48</v>
      </c>
      <c r="S114" s="9">
        <f>200*10^9</f>
        <v>200000000000</v>
      </c>
    </row>
    <row r="115" spans="3:19" x14ac:dyDescent="0.25">
      <c r="C115" s="3" t="s">
        <v>49</v>
      </c>
      <c r="D115" s="6">
        <f>(D111-D114)/D114</f>
        <v>0.31681864098394563</v>
      </c>
      <c r="L115" s="3" t="s">
        <v>49</v>
      </c>
      <c r="M115" s="6">
        <f>(M111-M114)/M114</f>
        <v>0.29281588954691512</v>
      </c>
      <c r="R115" s="3" t="s">
        <v>49</v>
      </c>
      <c r="S115" s="6">
        <f>(S111-S114)/S114</f>
        <v>0.29430212029821701</v>
      </c>
    </row>
    <row r="117" spans="3:19" ht="14.45" customHeight="1" x14ac:dyDescent="0.25">
      <c r="C117" s="75" t="s">
        <v>46</v>
      </c>
      <c r="D117" s="88">
        <f>(C107-2)/2</f>
        <v>-3.7385461151895782E-2</v>
      </c>
      <c r="L117" s="75" t="s">
        <v>46</v>
      </c>
      <c r="M117" s="88">
        <f>(L107-2)/2</f>
        <v>-2.4051417246208184E-2</v>
      </c>
      <c r="R117" s="75" t="s">
        <v>46</v>
      </c>
      <c r="S117" s="88">
        <f>(S107-2)/2</f>
        <v>-2.5429931122310734E-2</v>
      </c>
    </row>
    <row r="118" spans="3:19" x14ac:dyDescent="0.25">
      <c r="C118" s="75"/>
      <c r="D118" s="88"/>
      <c r="L118" s="75"/>
      <c r="M118" s="88"/>
      <c r="R118" s="75"/>
      <c r="S118" s="88"/>
    </row>
    <row r="119" spans="3:19" ht="14.45" customHeight="1" x14ac:dyDescent="0.25">
      <c r="C119" s="75" t="s">
        <v>47</v>
      </c>
      <c r="D119" s="88">
        <f>C108/C107</f>
        <v>7.290979103897274E-3</v>
      </c>
      <c r="L119" s="75" t="s">
        <v>47</v>
      </c>
      <c r="M119" s="88">
        <f>L108/L107</f>
        <v>8.4407046474733027E-3</v>
      </c>
      <c r="R119" s="75" t="s">
        <v>47</v>
      </c>
      <c r="S119" s="88">
        <f>S108/S107</f>
        <v>1.7276000660927281E-2</v>
      </c>
    </row>
    <row r="120" spans="3:19" x14ac:dyDescent="0.25">
      <c r="C120" s="75"/>
      <c r="D120" s="88"/>
      <c r="L120" s="75"/>
      <c r="M120" s="88"/>
      <c r="R120" s="75"/>
      <c r="S120" s="88"/>
    </row>
  </sheetData>
  <mergeCells count="195">
    <mergeCell ref="B7:B8"/>
    <mergeCell ref="C7:C8"/>
    <mergeCell ref="D7:D8"/>
    <mergeCell ref="E7:E8"/>
    <mergeCell ref="F7:F8"/>
    <mergeCell ref="I7:I8"/>
    <mergeCell ref="J7:J8"/>
    <mergeCell ref="K7:K8"/>
    <mergeCell ref="L7:L8"/>
    <mergeCell ref="O7:O8"/>
    <mergeCell ref="AA5:AC5"/>
    <mergeCell ref="D5:D6"/>
    <mergeCell ref="E5:E6"/>
    <mergeCell ref="F5:F6"/>
    <mergeCell ref="G5:L5"/>
    <mergeCell ref="M5:R5"/>
    <mergeCell ref="S5:X5"/>
    <mergeCell ref="W7:W8"/>
    <mergeCell ref="X7:X8"/>
    <mergeCell ref="P7:P8"/>
    <mergeCell ref="Q7:Q8"/>
    <mergeCell ref="R7:R8"/>
    <mergeCell ref="U7:U8"/>
    <mergeCell ref="V7:V8"/>
    <mergeCell ref="L9:L10"/>
    <mergeCell ref="O9:O10"/>
    <mergeCell ref="B9:B10"/>
    <mergeCell ref="C9:C10"/>
    <mergeCell ref="D9:D10"/>
    <mergeCell ref="E9:E10"/>
    <mergeCell ref="F9:F10"/>
    <mergeCell ref="I9:I10"/>
    <mergeCell ref="J9:J10"/>
    <mergeCell ref="K9:K10"/>
    <mergeCell ref="Q9:Q10"/>
    <mergeCell ref="R9:R10"/>
    <mergeCell ref="U9:U10"/>
    <mergeCell ref="U11:U12"/>
    <mergeCell ref="V11:V12"/>
    <mergeCell ref="W11:W12"/>
    <mergeCell ref="X11:X12"/>
    <mergeCell ref="P11:P12"/>
    <mergeCell ref="Q11:Q12"/>
    <mergeCell ref="R11:R12"/>
    <mergeCell ref="V9:V10"/>
    <mergeCell ref="W9:W10"/>
    <mergeCell ref="X9:X10"/>
    <mergeCell ref="P9:P10"/>
    <mergeCell ref="B13:B14"/>
    <mergeCell ref="C13:C14"/>
    <mergeCell ref="D13:D14"/>
    <mergeCell ref="E13:E14"/>
    <mergeCell ref="F13:F14"/>
    <mergeCell ref="I13:I14"/>
    <mergeCell ref="K11:K12"/>
    <mergeCell ref="L11:L12"/>
    <mergeCell ref="O11:O12"/>
    <mergeCell ref="B11:B12"/>
    <mergeCell ref="C11:C12"/>
    <mergeCell ref="D11:D12"/>
    <mergeCell ref="E11:E12"/>
    <mergeCell ref="F11:F12"/>
    <mergeCell ref="I11:I12"/>
    <mergeCell ref="J11:J12"/>
    <mergeCell ref="R13:R14"/>
    <mergeCell ref="U13:U14"/>
    <mergeCell ref="V13:V14"/>
    <mergeCell ref="W13:W14"/>
    <mergeCell ref="X13:X14"/>
    <mergeCell ref="B15:B16"/>
    <mergeCell ref="C15:C16"/>
    <mergeCell ref="D15:D16"/>
    <mergeCell ref="E15:E16"/>
    <mergeCell ref="F15:F16"/>
    <mergeCell ref="J13:J14"/>
    <mergeCell ref="K13:K14"/>
    <mergeCell ref="L13:L14"/>
    <mergeCell ref="O13:O14"/>
    <mergeCell ref="P13:P14"/>
    <mergeCell ref="Q13:Q14"/>
    <mergeCell ref="Q15:Q16"/>
    <mergeCell ref="R15:R16"/>
    <mergeCell ref="U15:U16"/>
    <mergeCell ref="V15:V16"/>
    <mergeCell ref="W15:W16"/>
    <mergeCell ref="X15:X16"/>
    <mergeCell ref="I15:I16"/>
    <mergeCell ref="J15:J16"/>
    <mergeCell ref="K15:K16"/>
    <mergeCell ref="L15:L16"/>
    <mergeCell ref="O15:O16"/>
    <mergeCell ref="P15:P16"/>
    <mergeCell ref="R17:R18"/>
    <mergeCell ref="U17:U18"/>
    <mergeCell ref="V17:V18"/>
    <mergeCell ref="W17:W18"/>
    <mergeCell ref="X17:X18"/>
    <mergeCell ref="P17:P18"/>
    <mergeCell ref="Q17:Q18"/>
    <mergeCell ref="B19:B20"/>
    <mergeCell ref="C19:C20"/>
    <mergeCell ref="D19:D20"/>
    <mergeCell ref="E19:E20"/>
    <mergeCell ref="F19:F20"/>
    <mergeCell ref="J17:J18"/>
    <mergeCell ref="K17:K18"/>
    <mergeCell ref="L17:L18"/>
    <mergeCell ref="O17:O18"/>
    <mergeCell ref="B17:B18"/>
    <mergeCell ref="C17:C18"/>
    <mergeCell ref="D17:D18"/>
    <mergeCell ref="E17:E18"/>
    <mergeCell ref="F17:F18"/>
    <mergeCell ref="I17:I18"/>
    <mergeCell ref="Q19:Q20"/>
    <mergeCell ref="R19:R20"/>
    <mergeCell ref="U19:U20"/>
    <mergeCell ref="V19:V20"/>
    <mergeCell ref="W19:W20"/>
    <mergeCell ref="X19:X20"/>
    <mergeCell ref="I19:I20"/>
    <mergeCell ref="J19:J20"/>
    <mergeCell ref="K19:K20"/>
    <mergeCell ref="L19:L20"/>
    <mergeCell ref="O19:O20"/>
    <mergeCell ref="P19:P20"/>
    <mergeCell ref="R21:R22"/>
    <mergeCell ref="U21:U22"/>
    <mergeCell ref="V21:V22"/>
    <mergeCell ref="W21:W22"/>
    <mergeCell ref="X21:X22"/>
    <mergeCell ref="B23:B24"/>
    <mergeCell ref="C23:C24"/>
    <mergeCell ref="D23:D24"/>
    <mergeCell ref="E23:E24"/>
    <mergeCell ref="F23:F24"/>
    <mergeCell ref="J21:J22"/>
    <mergeCell ref="K21:K22"/>
    <mergeCell ref="L21:L22"/>
    <mergeCell ref="O21:O22"/>
    <mergeCell ref="P21:P22"/>
    <mergeCell ref="Q21:Q22"/>
    <mergeCell ref="B21:B22"/>
    <mergeCell ref="C21:C22"/>
    <mergeCell ref="D21:D22"/>
    <mergeCell ref="E21:E22"/>
    <mergeCell ref="F21:F22"/>
    <mergeCell ref="I21:I22"/>
    <mergeCell ref="Q23:Q24"/>
    <mergeCell ref="R23:R24"/>
    <mergeCell ref="U23:U24"/>
    <mergeCell ref="V23:V24"/>
    <mergeCell ref="W23:W24"/>
    <mergeCell ref="X23:X24"/>
    <mergeCell ref="I23:I24"/>
    <mergeCell ref="J23:J24"/>
    <mergeCell ref="K23:K24"/>
    <mergeCell ref="L23:L24"/>
    <mergeCell ref="O23:O24"/>
    <mergeCell ref="P23:P24"/>
    <mergeCell ref="BK46:BK47"/>
    <mergeCell ref="BL46:BL47"/>
    <mergeCell ref="S47:W47"/>
    <mergeCell ref="BK48:BK49"/>
    <mergeCell ref="BL48:BL49"/>
    <mergeCell ref="B101:E101"/>
    <mergeCell ref="K101:N101"/>
    <mergeCell ref="R101:U101"/>
    <mergeCell ref="AC35:AC36"/>
    <mergeCell ref="AD35:AD36"/>
    <mergeCell ref="AE35:AE36"/>
    <mergeCell ref="AF35:AM35"/>
    <mergeCell ref="AO46:AR46"/>
    <mergeCell ref="BF46:BI46"/>
    <mergeCell ref="C35:C36"/>
    <mergeCell ref="D35:D36"/>
    <mergeCell ref="E35:E36"/>
    <mergeCell ref="F35:I35"/>
    <mergeCell ref="J35:M35"/>
    <mergeCell ref="N35:Q35"/>
    <mergeCell ref="C119:C120"/>
    <mergeCell ref="D119:D120"/>
    <mergeCell ref="L119:L120"/>
    <mergeCell ref="M119:M120"/>
    <mergeCell ref="R119:R120"/>
    <mergeCell ref="S119:S120"/>
    <mergeCell ref="B106:E106"/>
    <mergeCell ref="K106:N106"/>
    <mergeCell ref="R106:U106"/>
    <mergeCell ref="C117:C118"/>
    <mergeCell ref="D117:D118"/>
    <mergeCell ref="L117:L118"/>
    <mergeCell ref="M117:M118"/>
    <mergeCell ref="R117:R118"/>
    <mergeCell ref="S117:S11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Barra #1</vt:lpstr>
      <vt:lpstr>Pêndulo</vt:lpstr>
      <vt:lpstr>Barra #2</vt:lpstr>
      <vt:lpstr>Barra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nunop</dc:creator>
  <cp:lastModifiedBy>Sérgio Sousa</cp:lastModifiedBy>
  <dcterms:created xsi:type="dcterms:W3CDTF">2023-03-14T15:21:36Z</dcterms:created>
  <dcterms:modified xsi:type="dcterms:W3CDTF">2023-03-20T21:48:24Z</dcterms:modified>
</cp:coreProperties>
</file>