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ergi\Desktop\"/>
    </mc:Choice>
  </mc:AlternateContent>
  <xr:revisionPtr revIDLastSave="0" documentId="13_ncr:1_{B79F6C21-73BA-4F5F-B9DC-29C2AD804073}" xr6:coauthVersionLast="47" xr6:coauthVersionMax="47" xr10:uidLastSave="{00000000-0000-0000-0000-000000000000}"/>
  <bookViews>
    <workbookView xWindow="-120" yWindow="-120" windowWidth="29040" windowHeight="15720" firstSheet="3" activeTab="6" xr2:uid="{00000000-000D-0000-FFFF-FFFF00000000}"/>
  </bookViews>
  <sheets>
    <sheet name="Varrimento Inicial " sheetId="3" r:id="rId1"/>
    <sheet name="P = K' d^-2" sheetId="4" r:id="rId2"/>
    <sheet name="Coeficiente de Absorção #1" sheetId="5" r:id="rId3"/>
    <sheet name="Coeficiente de Absorção #2" sheetId="6" r:id="rId4"/>
    <sheet name="Coeficiente de Absorção #3" sheetId="7" r:id="rId5"/>
    <sheet name="Coeficiente de Absorção #4" sheetId="8" r:id="rId6"/>
    <sheet name="Coeficiente de Absorção #5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8" l="1"/>
  <c r="G16" i="6"/>
  <c r="D15" i="5"/>
  <c r="E15" i="5"/>
  <c r="G35" i="3"/>
  <c r="B35" i="3"/>
  <c r="C35" i="3"/>
  <c r="D35" i="3"/>
  <c r="E35" i="3"/>
  <c r="F35" i="3"/>
  <c r="F8" i="3"/>
  <c r="E13" i="5"/>
  <c r="G9" i="4"/>
  <c r="B9" i="4"/>
  <c r="D59" i="4"/>
  <c r="C60" i="4"/>
  <c r="C59" i="4"/>
  <c r="I44" i="3"/>
  <c r="I37" i="3"/>
  <c r="I38" i="3"/>
  <c r="I39" i="3"/>
  <c r="I40" i="3"/>
  <c r="I41" i="3"/>
  <c r="I42" i="3"/>
  <c r="I43" i="3"/>
  <c r="I45" i="3"/>
  <c r="I46" i="3"/>
  <c r="I47" i="3"/>
  <c r="I48" i="3"/>
  <c r="I49" i="3"/>
  <c r="I50" i="3"/>
  <c r="I51" i="3"/>
  <c r="I52" i="3"/>
  <c r="I53" i="3"/>
  <c r="I54" i="3"/>
  <c r="I36" i="3"/>
  <c r="I10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36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K9" i="3"/>
  <c r="I9" i="3"/>
  <c r="J20" i="4"/>
  <c r="J10" i="4"/>
  <c r="J11" i="4"/>
  <c r="J12" i="4"/>
  <c r="J13" i="4"/>
  <c r="J14" i="4"/>
  <c r="J15" i="4"/>
  <c r="J16" i="4"/>
  <c r="J17" i="4"/>
  <c r="J18" i="4"/>
  <c r="J19" i="4"/>
  <c r="J21" i="4"/>
  <c r="J22" i="4"/>
  <c r="J23" i="4"/>
  <c r="J24" i="4"/>
  <c r="J25" i="4"/>
  <c r="J26" i="4"/>
  <c r="J27" i="4"/>
  <c r="J28" i="4"/>
  <c r="J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9" i="4"/>
  <c r="G16" i="5"/>
  <c r="G17" i="5"/>
  <c r="G18" i="5"/>
  <c r="G19" i="5"/>
  <c r="G20" i="5"/>
  <c r="F16" i="5"/>
  <c r="F17" i="5"/>
  <c r="F18" i="5"/>
  <c r="F19" i="5"/>
  <c r="F20" i="5"/>
  <c r="L7" i="9"/>
  <c r="L4" i="9"/>
  <c r="L7" i="8"/>
  <c r="M7" i="8" s="1"/>
  <c r="L4" i="8"/>
  <c r="L7" i="7"/>
  <c r="M7" i="7" s="1"/>
  <c r="G20" i="7" s="1"/>
  <c r="L4" i="7"/>
  <c r="L7" i="6"/>
  <c r="L4" i="6"/>
  <c r="C4" i="9"/>
  <c r="D4" i="9"/>
  <c r="E4" i="9"/>
  <c r="C5" i="9"/>
  <c r="D5" i="9"/>
  <c r="E5" i="9"/>
  <c r="C6" i="9"/>
  <c r="F6" i="9" s="1"/>
  <c r="D6" i="9"/>
  <c r="G6" i="9" s="1"/>
  <c r="E6" i="9"/>
  <c r="C7" i="9"/>
  <c r="D7" i="9"/>
  <c r="G7" i="9" s="1"/>
  <c r="E7" i="9"/>
  <c r="C8" i="9"/>
  <c r="D8" i="9"/>
  <c r="G8" i="9" s="1"/>
  <c r="E8" i="9"/>
  <c r="C9" i="9"/>
  <c r="F9" i="9" s="1"/>
  <c r="D9" i="9"/>
  <c r="E9" i="9"/>
  <c r="D3" i="9"/>
  <c r="E3" i="9"/>
  <c r="C3" i="9"/>
  <c r="C6" i="8"/>
  <c r="D6" i="8"/>
  <c r="E6" i="8"/>
  <c r="C7" i="8"/>
  <c r="D7" i="8"/>
  <c r="E7" i="8"/>
  <c r="C8" i="8"/>
  <c r="D8" i="8"/>
  <c r="G8" i="8" s="1"/>
  <c r="E8" i="8"/>
  <c r="C9" i="8"/>
  <c r="D9" i="8"/>
  <c r="E9" i="8"/>
  <c r="C5" i="8"/>
  <c r="D5" i="8"/>
  <c r="G5" i="8" s="1"/>
  <c r="E5" i="8"/>
  <c r="C4" i="8"/>
  <c r="F4" i="8" s="1"/>
  <c r="D4" i="8"/>
  <c r="E4" i="8"/>
  <c r="H4" i="8" s="1"/>
  <c r="D3" i="8"/>
  <c r="E3" i="8"/>
  <c r="C3" i="8"/>
  <c r="F3" i="8" s="1"/>
  <c r="C4" i="7"/>
  <c r="D4" i="7"/>
  <c r="E4" i="7"/>
  <c r="C5" i="7"/>
  <c r="D5" i="7"/>
  <c r="E5" i="7"/>
  <c r="C6" i="7"/>
  <c r="D6" i="7"/>
  <c r="G6" i="7" s="1"/>
  <c r="E6" i="7"/>
  <c r="C7" i="7"/>
  <c r="D7" i="7"/>
  <c r="E7" i="7"/>
  <c r="C8" i="7"/>
  <c r="F8" i="7" s="1"/>
  <c r="I8" i="7" s="1"/>
  <c r="D8" i="7"/>
  <c r="E8" i="7"/>
  <c r="C9" i="7"/>
  <c r="F9" i="7" s="1"/>
  <c r="I9" i="7" s="1"/>
  <c r="D9" i="7"/>
  <c r="E9" i="7"/>
  <c r="D3" i="7"/>
  <c r="E3" i="7"/>
  <c r="C3" i="7"/>
  <c r="C6" i="6"/>
  <c r="C9" i="6"/>
  <c r="D9" i="6"/>
  <c r="E9" i="6"/>
  <c r="C4" i="6"/>
  <c r="D4" i="6"/>
  <c r="E4" i="6"/>
  <c r="C5" i="6"/>
  <c r="D5" i="6"/>
  <c r="E5" i="6"/>
  <c r="H5" i="6" s="1"/>
  <c r="F6" i="6"/>
  <c r="D6" i="6"/>
  <c r="E6" i="6"/>
  <c r="C7" i="6"/>
  <c r="D7" i="6"/>
  <c r="E7" i="6"/>
  <c r="C8" i="6"/>
  <c r="D8" i="6"/>
  <c r="G8" i="6" s="1"/>
  <c r="E8" i="6"/>
  <c r="H8" i="6" s="1"/>
  <c r="D3" i="6"/>
  <c r="E3" i="6"/>
  <c r="C3" i="6"/>
  <c r="F3" i="6" s="1"/>
  <c r="M7" i="5"/>
  <c r="H9" i="5"/>
  <c r="G9" i="5"/>
  <c r="F9" i="5"/>
  <c r="I9" i="5" s="1"/>
  <c r="H8" i="5"/>
  <c r="I8" i="5" s="1"/>
  <c r="G8" i="5"/>
  <c r="F8" i="5"/>
  <c r="H7" i="5"/>
  <c r="G7" i="5"/>
  <c r="F7" i="5"/>
  <c r="I7" i="5" s="1"/>
  <c r="H6" i="5"/>
  <c r="I6" i="5" s="1"/>
  <c r="G6" i="5"/>
  <c r="F6" i="5"/>
  <c r="H5" i="5"/>
  <c r="G5" i="5"/>
  <c r="I5" i="5" s="1"/>
  <c r="F5" i="5"/>
  <c r="H4" i="5"/>
  <c r="I4" i="5" s="1"/>
  <c r="G4" i="5"/>
  <c r="F4" i="5"/>
  <c r="H3" i="5"/>
  <c r="G3" i="5"/>
  <c r="I3" i="5" s="1"/>
  <c r="F3" i="5"/>
  <c r="G2" i="4"/>
  <c r="A30" i="4"/>
  <c r="E2" i="4"/>
  <c r="E3" i="4" s="1"/>
  <c r="C2" i="4"/>
  <c r="H25" i="3"/>
  <c r="J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9" i="3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9" i="4"/>
  <c r="A35" i="4"/>
  <c r="E17" i="5"/>
  <c r="E18" i="5"/>
  <c r="E19" i="5"/>
  <c r="E20" i="5"/>
  <c r="E16" i="5"/>
  <c r="G16" i="9"/>
  <c r="G17" i="9"/>
  <c r="G18" i="9"/>
  <c r="G19" i="9"/>
  <c r="G20" i="9"/>
  <c r="E20" i="9"/>
  <c r="F20" i="9" s="1"/>
  <c r="E19" i="9"/>
  <c r="F19" i="9" s="1"/>
  <c r="E18" i="9"/>
  <c r="F18" i="9" s="1"/>
  <c r="E17" i="9"/>
  <c r="F17" i="9" s="1"/>
  <c r="F16" i="9"/>
  <c r="E13" i="9"/>
  <c r="H9" i="9"/>
  <c r="G9" i="9"/>
  <c r="F8" i="9"/>
  <c r="H8" i="9"/>
  <c r="H7" i="9"/>
  <c r="F7" i="9"/>
  <c r="H6" i="9"/>
  <c r="H5" i="9"/>
  <c r="G5" i="9"/>
  <c r="F5" i="9"/>
  <c r="D12" i="9"/>
  <c r="H4" i="9"/>
  <c r="G4" i="9"/>
  <c r="F4" i="9"/>
  <c r="I4" i="9" s="1"/>
  <c r="H3" i="9"/>
  <c r="G3" i="9"/>
  <c r="F3" i="9"/>
  <c r="I3" i="9" s="1"/>
  <c r="C16" i="9" s="1"/>
  <c r="E20" i="8"/>
  <c r="F20" i="8" s="1"/>
  <c r="F19" i="8"/>
  <c r="E19" i="8"/>
  <c r="E18" i="8"/>
  <c r="F18" i="8" s="1"/>
  <c r="E17" i="8"/>
  <c r="F17" i="8" s="1"/>
  <c r="F16" i="8"/>
  <c r="E13" i="8"/>
  <c r="H9" i="8"/>
  <c r="G9" i="8"/>
  <c r="F9" i="8"/>
  <c r="H8" i="8"/>
  <c r="F8" i="8"/>
  <c r="H7" i="8"/>
  <c r="G7" i="8"/>
  <c r="F7" i="8"/>
  <c r="I7" i="8" s="1"/>
  <c r="F6" i="8"/>
  <c r="H6" i="8"/>
  <c r="G6" i="8"/>
  <c r="H5" i="8"/>
  <c r="F5" i="8"/>
  <c r="D12" i="8"/>
  <c r="G4" i="8"/>
  <c r="H3" i="8"/>
  <c r="G3" i="8"/>
  <c r="E20" i="7"/>
  <c r="F20" i="7" s="1"/>
  <c r="E19" i="7"/>
  <c r="F19" i="7" s="1"/>
  <c r="E18" i="7"/>
  <c r="F18" i="7" s="1"/>
  <c r="E17" i="7"/>
  <c r="F17" i="7" s="1"/>
  <c r="F16" i="7"/>
  <c r="E13" i="7"/>
  <c r="G9" i="7"/>
  <c r="H9" i="7"/>
  <c r="H8" i="7"/>
  <c r="G8" i="7"/>
  <c r="H7" i="7"/>
  <c r="G7" i="7"/>
  <c r="F7" i="7"/>
  <c r="F6" i="7"/>
  <c r="H6" i="7"/>
  <c r="H5" i="7"/>
  <c r="G5" i="7"/>
  <c r="F5" i="7"/>
  <c r="D12" i="7"/>
  <c r="H4" i="7"/>
  <c r="G4" i="7"/>
  <c r="F4" i="7"/>
  <c r="G3" i="7"/>
  <c r="F3" i="7"/>
  <c r="H3" i="7"/>
  <c r="E20" i="6"/>
  <c r="F20" i="6" s="1"/>
  <c r="F19" i="6"/>
  <c r="E19" i="6"/>
  <c r="E18" i="6"/>
  <c r="F18" i="6" s="1"/>
  <c r="E17" i="6"/>
  <c r="F17" i="6" s="1"/>
  <c r="F16" i="6"/>
  <c r="E13" i="6"/>
  <c r="H9" i="6"/>
  <c r="G9" i="6"/>
  <c r="F9" i="6"/>
  <c r="F8" i="6"/>
  <c r="D15" i="6"/>
  <c r="H7" i="6"/>
  <c r="G7" i="6"/>
  <c r="F7" i="6"/>
  <c r="H6" i="6"/>
  <c r="G6" i="6"/>
  <c r="G5" i="6"/>
  <c r="F5" i="6"/>
  <c r="D12" i="6"/>
  <c r="H4" i="6"/>
  <c r="G4" i="6"/>
  <c r="F4" i="6"/>
  <c r="H3" i="6"/>
  <c r="G3" i="6"/>
  <c r="D15" i="7" l="1"/>
  <c r="G19" i="7"/>
  <c r="M4" i="6"/>
  <c r="M4" i="7"/>
  <c r="C15" i="7" s="1"/>
  <c r="I6" i="9"/>
  <c r="I7" i="9"/>
  <c r="I4" i="7"/>
  <c r="I6" i="7"/>
  <c r="C16" i="7"/>
  <c r="I3" i="7"/>
  <c r="I5" i="9"/>
  <c r="I9" i="9"/>
  <c r="I8" i="6"/>
  <c r="I5" i="7"/>
  <c r="I8" i="9"/>
  <c r="I3" i="8"/>
  <c r="C16" i="8" s="1"/>
  <c r="I4" i="8"/>
  <c r="I4" i="6"/>
  <c r="I8" i="8"/>
  <c r="I9" i="8"/>
  <c r="I7" i="7"/>
  <c r="C18" i="7" s="1"/>
  <c r="I7" i="6"/>
  <c r="I5" i="6"/>
  <c r="C16" i="6" s="1"/>
  <c r="D15" i="8"/>
  <c r="M7" i="6"/>
  <c r="E15" i="9"/>
  <c r="M4" i="9"/>
  <c r="D15" i="9"/>
  <c r="C2" i="9"/>
  <c r="G20" i="8"/>
  <c r="G18" i="8"/>
  <c r="G17" i="8"/>
  <c r="E15" i="8"/>
  <c r="G19" i="8"/>
  <c r="I5" i="8"/>
  <c r="I6" i="8"/>
  <c r="M4" i="8"/>
  <c r="C2" i="8"/>
  <c r="G18" i="7"/>
  <c r="E15" i="7"/>
  <c r="G17" i="7"/>
  <c r="C2" i="7"/>
  <c r="G16" i="7"/>
  <c r="I6" i="6"/>
  <c r="I3" i="6"/>
  <c r="I9" i="6"/>
  <c r="E12" i="6"/>
  <c r="F2" i="7" l="1"/>
  <c r="E12" i="7"/>
  <c r="G17" i="6"/>
  <c r="E15" i="6"/>
  <c r="C19" i="9"/>
  <c r="C18" i="8"/>
  <c r="C18" i="6"/>
  <c r="C18" i="9"/>
  <c r="C17" i="9"/>
  <c r="G26" i="9" s="1" a="1"/>
  <c r="G26" i="9" s="1"/>
  <c r="C20" i="7"/>
  <c r="C17" i="8"/>
  <c r="C19" i="7"/>
  <c r="G26" i="8" a="1"/>
  <c r="C17" i="7"/>
  <c r="C20" i="8"/>
  <c r="C19" i="8"/>
  <c r="C20" i="9"/>
  <c r="C19" i="6"/>
  <c r="C20" i="6"/>
  <c r="C17" i="6"/>
  <c r="G20" i="6"/>
  <c r="G19" i="6"/>
  <c r="G18" i="6"/>
  <c r="F2" i="9"/>
  <c r="E12" i="9"/>
  <c r="C15" i="9"/>
  <c r="C15" i="8"/>
  <c r="E12" i="8"/>
  <c r="F2" i="8"/>
  <c r="G26" i="7" a="1"/>
  <c r="G26" i="6" a="1"/>
  <c r="G27" i="8" l="1"/>
  <c r="G26" i="8"/>
  <c r="G28" i="8"/>
  <c r="H26" i="8"/>
  <c r="H27" i="8"/>
  <c r="H28" i="8"/>
  <c r="H26" i="9"/>
  <c r="H18" i="9" s="1"/>
  <c r="I18" i="9" s="1"/>
  <c r="G27" i="9"/>
  <c r="H27" i="9"/>
  <c r="H28" i="9"/>
  <c r="G28" i="9"/>
  <c r="H28" i="7"/>
  <c r="G28" i="7"/>
  <c r="H27" i="7"/>
  <c r="G27" i="7"/>
  <c r="G26" i="7"/>
  <c r="H26" i="7"/>
  <c r="H28" i="6"/>
  <c r="G28" i="6"/>
  <c r="H27" i="6"/>
  <c r="G27" i="6"/>
  <c r="G26" i="6"/>
  <c r="H26" i="6"/>
  <c r="H19" i="9" l="1"/>
  <c r="I19" i="9" s="1"/>
  <c r="H16" i="9"/>
  <c r="I16" i="9" s="1"/>
  <c r="H20" i="9"/>
  <c r="I20" i="9" s="1"/>
  <c r="H17" i="9"/>
  <c r="I17" i="9" s="1"/>
  <c r="H19" i="8"/>
  <c r="I19" i="8" s="1"/>
  <c r="H17" i="8"/>
  <c r="I17" i="8" s="1"/>
  <c r="H20" i="8"/>
  <c r="I20" i="8" s="1"/>
  <c r="H16" i="8"/>
  <c r="I16" i="8" s="1"/>
  <c r="H18" i="8"/>
  <c r="I18" i="8" s="1"/>
  <c r="H17" i="7"/>
  <c r="I17" i="7" s="1"/>
  <c r="H19" i="7"/>
  <c r="I19" i="7" s="1"/>
  <c r="H16" i="7"/>
  <c r="I16" i="7" s="1"/>
  <c r="H18" i="7"/>
  <c r="I18" i="7" s="1"/>
  <c r="H20" i="7"/>
  <c r="I20" i="7" s="1"/>
  <c r="H20" i="6"/>
  <c r="I20" i="6" s="1"/>
  <c r="H18" i="6"/>
  <c r="I18" i="6" s="1"/>
  <c r="H17" i="6"/>
  <c r="I17" i="6" s="1"/>
  <c r="H19" i="6"/>
  <c r="I19" i="6" s="1"/>
  <c r="H16" i="6"/>
  <c r="I16" i="6" s="1"/>
  <c r="A31" i="4"/>
  <c r="A32" i="4"/>
  <c r="A33" i="4"/>
  <c r="A34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B24" i="4"/>
  <c r="B25" i="4"/>
  <c r="B26" i="4"/>
  <c r="B27" i="4"/>
  <c r="C27" i="4" s="1"/>
  <c r="B28" i="4"/>
  <c r="C28" i="4" s="1"/>
  <c r="B10" i="4"/>
  <c r="B11" i="4"/>
  <c r="B12" i="4"/>
  <c r="B13" i="4"/>
  <c r="B14" i="4"/>
  <c r="B15" i="4"/>
  <c r="C15" i="4" s="1"/>
  <c r="B16" i="4"/>
  <c r="C16" i="4" s="1"/>
  <c r="B17" i="4"/>
  <c r="C17" i="4" s="1"/>
  <c r="B18" i="4"/>
  <c r="B19" i="4"/>
  <c r="B20" i="4"/>
  <c r="B21" i="4"/>
  <c r="C21" i="4" s="1"/>
  <c r="B22" i="4"/>
  <c r="C22" i="4" s="1"/>
  <c r="B23" i="4"/>
  <c r="C23" i="4" s="1"/>
  <c r="C25" i="4"/>
  <c r="C14" i="4"/>
  <c r="C9" i="4"/>
  <c r="B67" i="4"/>
  <c r="B68" i="4"/>
  <c r="B69" i="4" s="1"/>
  <c r="C67" i="4"/>
  <c r="C10" i="4"/>
  <c r="C11" i="4"/>
  <c r="C12" i="4"/>
  <c r="C13" i="4"/>
  <c r="C18" i="4"/>
  <c r="C19" i="4"/>
  <c r="C20" i="4"/>
  <c r="C24" i="4"/>
  <c r="C26" i="4"/>
  <c r="C61" i="4"/>
  <c r="C62" i="4"/>
  <c r="C63" i="4"/>
  <c r="C64" i="4"/>
  <c r="C65" i="4"/>
  <c r="C66" i="4"/>
  <c r="C68" i="4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P59" i="3" a="1"/>
  <c r="P59" i="3" s="1"/>
  <c r="J24" i="3"/>
  <c r="J25" i="3"/>
  <c r="J26" i="3"/>
  <c r="J27" i="3"/>
  <c r="E44" i="3"/>
  <c r="E45" i="3"/>
  <c r="E46" i="3"/>
  <c r="E47" i="3"/>
  <c r="E48" i="3"/>
  <c r="J48" i="3" s="1"/>
  <c r="E49" i="3"/>
  <c r="J49" i="3" s="1"/>
  <c r="E50" i="3"/>
  <c r="J50" i="3" s="1"/>
  <c r="E51" i="3"/>
  <c r="E52" i="3"/>
  <c r="E53" i="3"/>
  <c r="E54" i="3"/>
  <c r="E43" i="3"/>
  <c r="J54" i="3"/>
  <c r="C54" i="3"/>
  <c r="J53" i="3"/>
  <c r="C53" i="3"/>
  <c r="J52" i="3"/>
  <c r="C52" i="3"/>
  <c r="J51" i="3"/>
  <c r="C51" i="3"/>
  <c r="C50" i="3"/>
  <c r="H50" i="3" s="1"/>
  <c r="H49" i="3"/>
  <c r="C49" i="3"/>
  <c r="H48" i="3"/>
  <c r="C48" i="3"/>
  <c r="J47" i="3"/>
  <c r="C47" i="3"/>
  <c r="J46" i="3"/>
  <c r="C46" i="3"/>
  <c r="J45" i="3"/>
  <c r="C45" i="3"/>
  <c r="H45" i="3" s="1"/>
  <c r="J44" i="3"/>
  <c r="C44" i="3"/>
  <c r="J43" i="3"/>
  <c r="C43" i="3"/>
  <c r="H43" i="3" s="1"/>
  <c r="J42" i="3"/>
  <c r="C42" i="3"/>
  <c r="H42" i="3" s="1"/>
  <c r="J41" i="3"/>
  <c r="C41" i="3"/>
  <c r="J40" i="3"/>
  <c r="C40" i="3"/>
  <c r="J39" i="3"/>
  <c r="C39" i="3"/>
  <c r="J38" i="3"/>
  <c r="C38" i="3"/>
  <c r="H38" i="3" s="1"/>
  <c r="J37" i="3"/>
  <c r="C37" i="3"/>
  <c r="H37" i="3" s="1"/>
  <c r="J36" i="3"/>
  <c r="C36" i="3"/>
  <c r="J19" i="3"/>
  <c r="J20" i="3"/>
  <c r="J21" i="3"/>
  <c r="J22" i="3"/>
  <c r="J23" i="3"/>
  <c r="H19" i="3"/>
  <c r="H20" i="3"/>
  <c r="H21" i="3"/>
  <c r="H22" i="3"/>
  <c r="H23" i="3"/>
  <c r="H24" i="3"/>
  <c r="H26" i="3"/>
  <c r="H27" i="3"/>
  <c r="C27" i="3"/>
  <c r="C26" i="3"/>
  <c r="C25" i="3"/>
  <c r="C24" i="3"/>
  <c r="C23" i="3"/>
  <c r="C22" i="3"/>
  <c r="C21" i="3"/>
  <c r="C20" i="3"/>
  <c r="C19" i="3"/>
  <c r="C69" i="4" l="1"/>
  <c r="B70" i="4"/>
  <c r="P61" i="3"/>
  <c r="Q61" i="3"/>
  <c r="P60" i="3"/>
  <c r="Q59" i="3"/>
  <c r="Q60" i="3"/>
  <c r="H47" i="3"/>
  <c r="H54" i="3"/>
  <c r="H39" i="3"/>
  <c r="H46" i="3"/>
  <c r="H36" i="3"/>
  <c r="H40" i="3"/>
  <c r="H41" i="3"/>
  <c r="H44" i="3"/>
  <c r="H53" i="3"/>
  <c r="H52" i="3"/>
  <c r="H51" i="3"/>
  <c r="B71" i="4" l="1"/>
  <c r="C70" i="4"/>
  <c r="B72" i="4" l="1"/>
  <c r="C71" i="4"/>
  <c r="J11" i="3"/>
  <c r="J12" i="3"/>
  <c r="J16" i="3"/>
  <c r="J17" i="3"/>
  <c r="J10" i="3"/>
  <c r="D8" i="3"/>
  <c r="F8" i="4"/>
  <c r="D8" i="4"/>
  <c r="B8" i="4"/>
  <c r="D12" i="5"/>
  <c r="B8" i="3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V3" i="4" s="1" a="1"/>
  <c r="C3" i="3"/>
  <c r="E3" i="3"/>
  <c r="G8" i="3"/>
  <c r="J18" i="3"/>
  <c r="C18" i="3"/>
  <c r="H18" i="3" s="1"/>
  <c r="C17" i="3"/>
  <c r="H17" i="3" s="1"/>
  <c r="C16" i="3"/>
  <c r="H16" i="3" s="1"/>
  <c r="J15" i="3"/>
  <c r="C15" i="3"/>
  <c r="H15" i="3" s="1"/>
  <c r="J14" i="3"/>
  <c r="C14" i="3"/>
  <c r="H14" i="3" s="1"/>
  <c r="J13" i="3"/>
  <c r="C13" i="3"/>
  <c r="H13" i="3" s="1"/>
  <c r="C12" i="3"/>
  <c r="H12" i="3" s="1"/>
  <c r="C11" i="3"/>
  <c r="H11" i="3" s="1"/>
  <c r="C10" i="3"/>
  <c r="H10" i="3" s="1"/>
  <c r="W3" i="3" a="1"/>
  <c r="C9" i="3"/>
  <c r="H9" i="3" s="1"/>
  <c r="E8" i="3" l="1"/>
  <c r="W3" i="3"/>
  <c r="W5" i="3"/>
  <c r="X5" i="3"/>
  <c r="X4" i="3"/>
  <c r="W4" i="3"/>
  <c r="X3" i="3"/>
  <c r="C8" i="3"/>
  <c r="V3" i="4"/>
  <c r="AD3" i="4" s="1"/>
  <c r="W5" i="4"/>
  <c r="W3" i="4"/>
  <c r="V5" i="4"/>
  <c r="W4" i="4"/>
  <c r="V4" i="4"/>
  <c r="C72" i="4"/>
  <c r="B73" i="4"/>
  <c r="E8" i="4"/>
  <c r="C3" i="4"/>
  <c r="M4" i="5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E12" i="5" l="1"/>
  <c r="C17" i="5"/>
  <c r="C16" i="5"/>
  <c r="C20" i="5"/>
  <c r="C19" i="5"/>
  <c r="C18" i="5"/>
  <c r="B74" i="4"/>
  <c r="C73" i="4"/>
  <c r="L15" i="3"/>
  <c r="M15" i="3" s="1"/>
  <c r="C8" i="4"/>
  <c r="G26" i="5" l="1" a="1"/>
  <c r="B75" i="4"/>
  <c r="C74" i="4"/>
  <c r="L22" i="3"/>
  <c r="M22" i="3" s="1"/>
  <c r="M49" i="3"/>
  <c r="L19" i="3"/>
  <c r="M19" i="3" s="1"/>
  <c r="L23" i="3"/>
  <c r="M23" i="3" s="1"/>
  <c r="L25" i="3"/>
  <c r="M25" i="3" s="1"/>
  <c r="L27" i="3"/>
  <c r="M27" i="3" s="1"/>
  <c r="L20" i="3"/>
  <c r="M20" i="3" s="1"/>
  <c r="L24" i="3"/>
  <c r="M24" i="3" s="1"/>
  <c r="L26" i="3"/>
  <c r="M26" i="3" s="1"/>
  <c r="L21" i="3"/>
  <c r="M21" i="3" s="1"/>
  <c r="M45" i="3"/>
  <c r="M38" i="3"/>
  <c r="M48" i="3"/>
  <c r="M37" i="3"/>
  <c r="M43" i="3"/>
  <c r="M42" i="3"/>
  <c r="M50" i="3"/>
  <c r="M40" i="3"/>
  <c r="M52" i="3"/>
  <c r="M53" i="3"/>
  <c r="M47" i="3"/>
  <c r="M36" i="3"/>
  <c r="M51" i="3"/>
  <c r="M44" i="3"/>
  <c r="M46" i="3"/>
  <c r="M41" i="3"/>
  <c r="M39" i="3"/>
  <c r="M54" i="3"/>
  <c r="L11" i="3"/>
  <c r="M11" i="3" s="1"/>
  <c r="L16" i="3"/>
  <c r="M16" i="3" s="1"/>
  <c r="L10" i="3"/>
  <c r="M10" i="3" s="1"/>
  <c r="L9" i="3"/>
  <c r="M9" i="3" s="1"/>
  <c r="L14" i="3"/>
  <c r="M14" i="3" s="1"/>
  <c r="L12" i="3"/>
  <c r="M12" i="3" s="1"/>
  <c r="L13" i="3"/>
  <c r="M13" i="3" s="1"/>
  <c r="L17" i="3"/>
  <c r="M17" i="3" s="1"/>
  <c r="L18" i="3"/>
  <c r="M18" i="3" s="1"/>
  <c r="G27" i="5" l="1"/>
  <c r="H28" i="5"/>
  <c r="G28" i="5"/>
  <c r="H26" i="5"/>
  <c r="H27" i="5"/>
  <c r="G26" i="5"/>
  <c r="B76" i="4"/>
  <c r="C75" i="4"/>
  <c r="K14" i="4"/>
  <c r="L14" i="4" s="1"/>
  <c r="K15" i="4"/>
  <c r="L15" i="4" s="1"/>
  <c r="K10" i="4"/>
  <c r="L10" i="4" s="1"/>
  <c r="K21" i="4"/>
  <c r="L21" i="4" s="1"/>
  <c r="K13" i="4"/>
  <c r="L13" i="4" s="1"/>
  <c r="K24" i="4"/>
  <c r="L24" i="4" s="1"/>
  <c r="K26" i="4"/>
  <c r="L26" i="4" s="1"/>
  <c r="K23" i="4"/>
  <c r="L23" i="4" s="1"/>
  <c r="K18" i="4"/>
  <c r="L18" i="4" s="1"/>
  <c r="K17" i="4"/>
  <c r="L17" i="4" s="1"/>
  <c r="K11" i="4"/>
  <c r="L11" i="4" s="1"/>
  <c r="K28" i="4"/>
  <c r="L28" i="4" s="1"/>
  <c r="K16" i="4"/>
  <c r="L16" i="4" s="1"/>
  <c r="K20" i="4"/>
  <c r="L20" i="4" s="1"/>
  <c r="K27" i="4"/>
  <c r="L27" i="4" s="1"/>
  <c r="K25" i="4"/>
  <c r="L25" i="4" s="1"/>
  <c r="K12" i="4"/>
  <c r="L12" i="4" s="1"/>
  <c r="K19" i="4"/>
  <c r="L19" i="4" s="1"/>
  <c r="K9" i="4"/>
  <c r="L9" i="4" s="1"/>
  <c r="K22" i="4"/>
  <c r="L22" i="4" s="1"/>
  <c r="H16" i="5" l="1"/>
  <c r="I16" i="5" s="1"/>
  <c r="H20" i="5"/>
  <c r="I20" i="5" s="1"/>
  <c r="H18" i="5"/>
  <c r="I18" i="5" s="1"/>
  <c r="H17" i="5"/>
  <c r="I17" i="5" s="1"/>
  <c r="H19" i="5"/>
  <c r="I19" i="5" s="1"/>
  <c r="C76" i="4"/>
  <c r="B77" i="4"/>
  <c r="C77" i="4" l="1"/>
  <c r="B78" i="4"/>
  <c r="C78" i="4" s="1"/>
</calcChain>
</file>

<file path=xl/sharedStrings.xml><?xml version="1.0" encoding="utf-8"?>
<sst xmlns="http://schemas.openxmlformats.org/spreadsheetml/2006/main" count="202" uniqueCount="73">
  <si>
    <t xml:space="preserve"> </t>
  </si>
  <si>
    <t>u( V [mV] ) :</t>
  </si>
  <si>
    <t>u( V [V] ) :</t>
  </si>
  <si>
    <t>Log (D)</t>
  </si>
  <si>
    <t>u(Log(D))</t>
  </si>
  <si>
    <t>Log(V)</t>
  </si>
  <si>
    <t>u(Log(V))</t>
  </si>
  <si>
    <t>Aj. Linear</t>
  </si>
  <si>
    <t>Resíduos</t>
  </si>
  <si>
    <t>m</t>
  </si>
  <si>
    <t>s(m)</t>
  </si>
  <si>
    <t>s(b)</t>
  </si>
  <si>
    <t>b</t>
  </si>
  <si>
    <t>s(y)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</si>
  <si>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</si>
  <si>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u( fase [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])</t>
    </r>
  </si>
  <si>
    <t>Aj. Linear - Log(V)[Log(D)]</t>
  </si>
  <si>
    <t xml:space="preserve">Aj. Linear </t>
  </si>
  <si>
    <t>Ensaio 1</t>
  </si>
  <si>
    <t>Distância :</t>
  </si>
  <si>
    <t>cm</t>
  </si>
  <si>
    <t>u( d [cm] ) :</t>
  </si>
  <si>
    <t>u( d [m] ) :</t>
  </si>
  <si>
    <t>u(V) (V)</t>
  </si>
  <si>
    <t>Nº filtro (mm)</t>
  </si>
  <si>
    <t>u(Medida)</t>
  </si>
  <si>
    <t xml:space="preserve">Média </t>
  </si>
  <si>
    <t>Nº Filtros</t>
  </si>
  <si>
    <t>mV</t>
  </si>
  <si>
    <t>V</t>
  </si>
  <si>
    <t>Ln(V)</t>
  </si>
  <si>
    <t>Aj. Linear 1</t>
  </si>
  <si>
    <t>contada a partir da luz (8cm)</t>
  </si>
  <si>
    <t>AC</t>
  </si>
  <si>
    <t>CC</t>
  </si>
  <si>
    <t>Verificamos que o d min é 20 cm e d maximo 80cm</t>
  </si>
  <si>
    <t>Verificamos que os dados em corrente continua são melhores</t>
  </si>
  <si>
    <t>n</t>
  </si>
  <si>
    <r>
      <t>d</t>
    </r>
    <r>
      <rPr>
        <vertAlign val="subscript"/>
        <sz val="11"/>
        <color theme="1"/>
        <rFont val="Calibri (Body)"/>
      </rPr>
      <t>n</t>
    </r>
  </si>
  <si>
    <t>mm</t>
  </si>
  <si>
    <t>3+4</t>
  </si>
  <si>
    <t>3+4+5</t>
  </si>
  <si>
    <t>3+4+5+6</t>
  </si>
  <si>
    <t>3+4+5+6+7</t>
  </si>
  <si>
    <t>7+6</t>
  </si>
  <si>
    <t>7+6+5+4+3</t>
  </si>
  <si>
    <t>7+6+5</t>
  </si>
  <si>
    <t>7+6+5+4</t>
  </si>
  <si>
    <t>6+5</t>
  </si>
  <si>
    <t>6+5+4</t>
  </si>
  <si>
    <t>6+5+4+3</t>
  </si>
  <si>
    <t>6+5+4+3+7</t>
  </si>
  <si>
    <t>1+2</t>
  </si>
  <si>
    <t>1+2+3</t>
  </si>
  <si>
    <t>1+2+3+6</t>
  </si>
  <si>
    <t>1+2+3+6+7</t>
  </si>
  <si>
    <t>1+3</t>
  </si>
  <si>
    <t>1+3+5</t>
  </si>
  <si>
    <t>1+3+5+7</t>
  </si>
  <si>
    <t>1+3+5+7+2</t>
  </si>
  <si>
    <t>Aj. Linear 2</t>
  </si>
  <si>
    <t>Aj. Linear 3</t>
  </si>
  <si>
    <t>Aj. Linear 4</t>
  </si>
  <si>
    <t>Aj. Linear 5</t>
  </si>
  <si>
    <t>0,2 ?</t>
  </si>
  <si>
    <t>u(Ln(V))</t>
  </si>
  <si>
    <r>
      <t>d</t>
    </r>
    <r>
      <rPr>
        <vertAlign val="subscript"/>
        <sz val="11"/>
        <color theme="1"/>
        <rFont val="Calibri"/>
        <family val="2"/>
        <scheme val="minor"/>
      </rPr>
      <t>filtro</t>
    </r>
  </si>
  <si>
    <r>
      <t>(d</t>
    </r>
    <r>
      <rPr>
        <vertAlign val="subscript"/>
        <sz val="11"/>
        <rFont val="Calibri"/>
        <family val="2"/>
        <scheme val="minor"/>
      </rPr>
      <t xml:space="preserve">filtro </t>
    </r>
    <r>
      <rPr>
        <sz val="11"/>
        <rFont val="Calibri"/>
        <family val="2"/>
        <scheme val="minor"/>
      </rPr>
      <t>± 0,001 ) mm</t>
    </r>
  </si>
  <si>
    <r>
      <t>(d</t>
    </r>
    <r>
      <rPr>
        <vertAlign val="subscript"/>
        <sz val="11"/>
        <rFont val="Calibri"/>
        <family val="2"/>
        <scheme val="minor"/>
      </rPr>
      <t xml:space="preserve">filtro </t>
    </r>
    <r>
      <rPr>
        <sz val="11"/>
        <rFont val="Calibri"/>
        <family val="2"/>
        <scheme val="minor"/>
      </rPr>
      <t>± 0,00001 ) m</t>
    </r>
  </si>
  <si>
    <r>
      <t>(d</t>
    </r>
    <r>
      <rPr>
        <vertAlign val="subscript"/>
        <sz val="11"/>
        <rFont val="Calibri"/>
        <family val="2"/>
        <scheme val="minor"/>
      </rPr>
      <t>filtro</t>
    </r>
    <r>
      <rPr>
        <sz val="11"/>
        <rFont val="Calibri"/>
        <family val="2"/>
        <scheme val="minor"/>
      </rPr>
      <t xml:space="preserve"> ± 0,00001 ) m</t>
    </r>
  </si>
  <si>
    <t>Ensaio 2</t>
  </si>
  <si>
    <t>Ensaio 3</t>
  </si>
  <si>
    <t>Ensaio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</si>
</sst>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 (Body)"/>
    </font>
    <font>
      <vertAlign val="subscript"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1" fontId="0" fillId="0" borderId="0" xfId="0" applyNumberFormat="1" applyAlignment="1">
      <alignment horizontal="center" vertical="center"/>
    </xf>
    <xf numFmtId="166" fontId="0" fillId="6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4" fontId="0" fillId="0" borderId="0" xfId="0" applyNumberFormat="1" applyAlignment="1">
      <alignment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[</a:t>
            </a:r>
            <a:r>
              <a:rPr lang="en-US"/>
              <a:t>V(d)]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V(d)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'Varrimento Inicial '!$C$9:$C$27</c:f>
              <c:numCache>
                <c:formatCode>0.0000</c:formatCode>
                <c:ptCount val="19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  <c:pt idx="17">
                  <c:v>1.05</c:v>
                </c:pt>
                <c:pt idx="18">
                  <c:v>1.1000000000000001</c:v>
                </c:pt>
              </c:numCache>
            </c:numRef>
          </c:xVal>
          <c:yVal>
            <c:numRef>
              <c:f>'Varrimento Inicial '!$E$9:$E$27</c:f>
              <c:numCache>
                <c:formatCode>0.000</c:formatCode>
                <c:ptCount val="19"/>
                <c:pt idx="0">
                  <c:v>6.26</c:v>
                </c:pt>
                <c:pt idx="1">
                  <c:v>4.28</c:v>
                </c:pt>
                <c:pt idx="2">
                  <c:v>3.04</c:v>
                </c:pt>
                <c:pt idx="3">
                  <c:v>2.2799999999999998</c:v>
                </c:pt>
                <c:pt idx="4">
                  <c:v>1.76</c:v>
                </c:pt>
                <c:pt idx="5">
                  <c:v>1.4</c:v>
                </c:pt>
                <c:pt idx="6">
                  <c:v>1.1200000000000001</c:v>
                </c:pt>
                <c:pt idx="7">
                  <c:v>0.96</c:v>
                </c:pt>
                <c:pt idx="8">
                  <c:v>0.8</c:v>
                </c:pt>
                <c:pt idx="9">
                  <c:v>0.72</c:v>
                </c:pt>
                <c:pt idx="10">
                  <c:v>0.64</c:v>
                </c:pt>
                <c:pt idx="11">
                  <c:v>0.56000000000000005</c:v>
                </c:pt>
                <c:pt idx="12">
                  <c:v>0.48</c:v>
                </c:pt>
                <c:pt idx="13">
                  <c:v>0.4</c:v>
                </c:pt>
                <c:pt idx="14">
                  <c:v>0.4</c:v>
                </c:pt>
                <c:pt idx="15">
                  <c:v>0.36</c:v>
                </c:pt>
                <c:pt idx="16">
                  <c:v>0.32</c:v>
                </c:pt>
                <c:pt idx="17">
                  <c:v>0.32</c:v>
                </c:pt>
                <c:pt idx="18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0C-4F07-BC9D-2D7CB7CED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d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V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69303359143056"/>
          <c:y val="0.17531208661007458"/>
          <c:w val="0.1789625914267596"/>
          <c:h val="7.267490261758372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'Varrimento Inicial '!$H$9:$H$27</c:f>
              <c:numCache>
                <c:formatCode>0.0000</c:formatCode>
                <c:ptCount val="19"/>
                <c:pt idx="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'!$J$9:$J$27</c:f>
              <c:numCache>
                <c:formatCode>0.0000</c:formatCode>
                <c:ptCount val="19"/>
                <c:pt idx="0">
                  <c:v>0.7965743332104297</c:v>
                </c:pt>
                <c:pt idx="1">
                  <c:v>0.63144376901317201</c:v>
                </c:pt>
                <c:pt idx="2">
                  <c:v>0.48287358360875376</c:v>
                </c:pt>
                <c:pt idx="3">
                  <c:v>0.35793484700045375</c:v>
                </c:pt>
                <c:pt idx="4">
                  <c:v>0.24551266781414982</c:v>
                </c:pt>
                <c:pt idx="5">
                  <c:v>0.14612803567823801</c:v>
                </c:pt>
                <c:pt idx="6">
                  <c:v>4.9218022670181653E-2</c:v>
                </c:pt>
                <c:pt idx="7">
                  <c:v>-1.7728766960431602E-2</c:v>
                </c:pt>
                <c:pt idx="8">
                  <c:v>-9.6910013008056392E-2</c:v>
                </c:pt>
                <c:pt idx="9">
                  <c:v>-0.14266750356873156</c:v>
                </c:pt>
                <c:pt idx="10">
                  <c:v>-0.19382002601611281</c:v>
                </c:pt>
                <c:pt idx="11">
                  <c:v>-0.25181197299379954</c:v>
                </c:pt>
                <c:pt idx="12">
                  <c:v>-0.31875876262441277</c:v>
                </c:pt>
                <c:pt idx="13">
                  <c:v>-0.3979400086720376</c:v>
                </c:pt>
                <c:pt idx="14">
                  <c:v>-0.3979400086720376</c:v>
                </c:pt>
                <c:pt idx="15">
                  <c:v>-0.44369749923271273</c:v>
                </c:pt>
                <c:pt idx="16">
                  <c:v>-0.49485002168009401</c:v>
                </c:pt>
                <c:pt idx="17">
                  <c:v>-0.49485002168009401</c:v>
                </c:pt>
                <c:pt idx="18">
                  <c:v>-0.61978875828839397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37-4C69-8E25-DBEF310B3492}"/>
            </c:ext>
          </c:extLst>
        </c:ser>
        <c:ser>
          <c:idx val="1"/>
          <c:order val="1"/>
          <c:tx>
            <c:v>Aj. Lin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'Varrimento Inicial '!$H$9:$H$27</c:f>
              <c:numCache>
                <c:formatCode>0.0000</c:formatCode>
                <c:ptCount val="19"/>
                <c:pt idx="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'!$L$9:$L$27</c:f>
              <c:numCache>
                <c:formatCode>0.0000</c:formatCode>
                <c:ptCount val="19"/>
                <c:pt idx="0">
                  <c:v>0.80477248882511465</c:v>
                </c:pt>
                <c:pt idx="1">
                  <c:v>0.62428409240391258</c:v>
                </c:pt>
                <c:pt idx="2">
                  <c:v>0.47681433481982943</c:v>
                </c:pt>
                <c:pt idx="3">
                  <c:v>0.35213043136217087</c:v>
                </c:pt>
                <c:pt idx="4">
                  <c:v>0.24412432146229984</c:v>
                </c:pt>
                <c:pt idx="5">
                  <c:v>0.14885618081454383</c:v>
                </c:pt>
                <c:pt idx="6">
                  <c:v>6.3635925041097774E-2</c:v>
                </c:pt>
                <c:pt idx="7">
                  <c:v>-1.3455173555232569E-2</c:v>
                </c:pt>
                <c:pt idx="8">
                  <c:v>-8.3833832542985542E-2</c:v>
                </c:pt>
                <c:pt idx="9">
                  <c:v>-0.14857592286163007</c:v>
                </c:pt>
                <c:pt idx="10">
                  <c:v>-0.2085177360006441</c:v>
                </c:pt>
                <c:pt idx="11">
                  <c:v>-0.26432222896418767</c:v>
                </c:pt>
                <c:pt idx="12">
                  <c:v>-0.31652384590051508</c:v>
                </c:pt>
                <c:pt idx="13">
                  <c:v>-0.36555972755986255</c:v>
                </c:pt>
                <c:pt idx="14">
                  <c:v>-0.41179198654827115</c:v>
                </c:pt>
                <c:pt idx="15">
                  <c:v>-0.45552395195148082</c:v>
                </c:pt>
                <c:pt idx="16">
                  <c:v>-0.49701224232171709</c:v>
                </c:pt>
                <c:pt idx="17">
                  <c:v>-0.53647589000592966</c:v>
                </c:pt>
                <c:pt idx="18">
                  <c:v>-0.57410334091804749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37-4C69-8E25-DBEF310B3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93272008140219"/>
          <c:y val="0.17531208661007458"/>
          <c:w val="0.20901885917946264"/>
          <c:h val="0.1453498052351675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'Varrimento Inicial '!$H$9:$H$27</c:f>
              <c:numCache>
                <c:formatCode>0.0000</c:formatCode>
                <c:ptCount val="19"/>
                <c:pt idx="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'!$M$9:$M$27</c:f>
              <c:numCache>
                <c:formatCode>0.0000</c:formatCode>
                <c:ptCount val="19"/>
                <c:pt idx="0">
                  <c:v>-8.1981556146849544E-3</c:v>
                </c:pt>
                <c:pt idx="1">
                  <c:v>7.1596766092594244E-3</c:v>
                </c:pt>
                <c:pt idx="2">
                  <c:v>6.0592487889243318E-3</c:v>
                </c:pt>
                <c:pt idx="3">
                  <c:v>5.8044156382828782E-3</c:v>
                </c:pt>
                <c:pt idx="4">
                  <c:v>1.3883463518499783E-3</c:v>
                </c:pt>
                <c:pt idx="5">
                  <c:v>-2.7281451363058151E-3</c:v>
                </c:pt>
                <c:pt idx="6">
                  <c:v>-1.4417902370916121E-2</c:v>
                </c:pt>
                <c:pt idx="7">
                  <c:v>-4.2735934051990332E-3</c:v>
                </c:pt>
                <c:pt idx="8">
                  <c:v>-1.307618046507085E-2</c:v>
                </c:pt>
                <c:pt idx="9">
                  <c:v>5.9084192928985091E-3</c:v>
                </c:pt>
                <c:pt idx="10">
                  <c:v>1.4697709984531293E-2</c:v>
                </c:pt>
                <c:pt idx="11">
                  <c:v>1.2510255970388129E-2</c:v>
                </c:pt>
                <c:pt idx="12">
                  <c:v>-2.2349167238976952E-3</c:v>
                </c:pt>
                <c:pt idx="13">
                  <c:v>-3.2380281112175058E-2</c:v>
                </c:pt>
                <c:pt idx="14">
                  <c:v>1.3851977876233545E-2</c:v>
                </c:pt>
                <c:pt idx="15">
                  <c:v>1.1826452718768088E-2</c:v>
                </c:pt>
                <c:pt idx="16">
                  <c:v>2.1622206416230805E-3</c:v>
                </c:pt>
                <c:pt idx="17">
                  <c:v>4.1625868325835647E-2</c:v>
                </c:pt>
                <c:pt idx="18">
                  <c:v>-4.5685417370346482E-2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0-430A-A61E-FE70B4D52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894012107263E-2"/>
              <c:y val="0.13748935634860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155862564823177"/>
          <c:y val="0.16669882510365583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[</a:t>
            </a:r>
            <a:r>
              <a:rPr lang="en-US"/>
              <a:t>V(d)]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V(d)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'Varrimento Inicial '!$C$36:$C$54</c:f>
              <c:numCache>
                <c:formatCode>0.0000</c:formatCode>
                <c:ptCount val="19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  <c:pt idx="17">
                  <c:v>1.05</c:v>
                </c:pt>
                <c:pt idx="18">
                  <c:v>1.1000000000000001</c:v>
                </c:pt>
              </c:numCache>
            </c:numRef>
          </c:xVal>
          <c:yVal>
            <c:numRef>
              <c:f>'Varrimento Inicial '!$E$36:$E$54</c:f>
              <c:numCache>
                <c:formatCode>0.000</c:formatCode>
                <c:ptCount val="19"/>
                <c:pt idx="0">
                  <c:v>6.28</c:v>
                </c:pt>
                <c:pt idx="1">
                  <c:v>4.2</c:v>
                </c:pt>
                <c:pt idx="2">
                  <c:v>3</c:v>
                </c:pt>
                <c:pt idx="3">
                  <c:v>2.2400000000000002</c:v>
                </c:pt>
                <c:pt idx="4">
                  <c:v>1.76</c:v>
                </c:pt>
                <c:pt idx="5">
                  <c:v>1.4</c:v>
                </c:pt>
                <c:pt idx="6">
                  <c:v>1.1200000000000001</c:v>
                </c:pt>
                <c:pt idx="7">
                  <c:v>0.96</c:v>
                </c:pt>
                <c:pt idx="8">
                  <c:v>0.8</c:v>
                </c:pt>
                <c:pt idx="9">
                  <c:v>0.68</c:v>
                </c:pt>
                <c:pt idx="10">
                  <c:v>0.6</c:v>
                </c:pt>
                <c:pt idx="11">
                  <c:v>0.52</c:v>
                </c:pt>
                <c:pt idx="12">
                  <c:v>0.44</c:v>
                </c:pt>
                <c:pt idx="13">
                  <c:v>0.44</c:v>
                </c:pt>
                <c:pt idx="14">
                  <c:v>0.36</c:v>
                </c:pt>
                <c:pt idx="15">
                  <c:v>0.32</c:v>
                </c:pt>
                <c:pt idx="16">
                  <c:v>0.32</c:v>
                </c:pt>
                <c:pt idx="17">
                  <c:v>0.28000000000000003</c:v>
                </c:pt>
                <c:pt idx="18">
                  <c:v>0.28000000000000003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22-4AB0-BFA3-E448E64FB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d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V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69303359143056"/>
          <c:y val="0.17531208661007458"/>
          <c:w val="0.1789625914267596"/>
          <c:h val="7.267490261758372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'Varrimento Inicial '!$H$36:$H$54</c:f>
              <c:numCache>
                <c:formatCode>0.0000</c:formatCode>
                <c:ptCount val="19"/>
                <c:pt idx="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'!$J$36:$J$54</c:f>
              <c:numCache>
                <c:formatCode>0.0000</c:formatCode>
                <c:ptCount val="19"/>
                <c:pt idx="0">
                  <c:v>0.79795964373719619</c:v>
                </c:pt>
                <c:pt idx="1">
                  <c:v>0.62324929039790045</c:v>
                </c:pt>
                <c:pt idx="2">
                  <c:v>0.47712125471966244</c:v>
                </c:pt>
                <c:pt idx="3">
                  <c:v>0.35024801833416286</c:v>
                </c:pt>
                <c:pt idx="4">
                  <c:v>0.24551266781414982</c:v>
                </c:pt>
                <c:pt idx="5">
                  <c:v>0.14612803567823801</c:v>
                </c:pt>
                <c:pt idx="6">
                  <c:v>4.9218022670181653E-2</c:v>
                </c:pt>
                <c:pt idx="7">
                  <c:v>-1.7728766960431602E-2</c:v>
                </c:pt>
                <c:pt idx="8">
                  <c:v>-9.6910013008056392E-2</c:v>
                </c:pt>
                <c:pt idx="9">
                  <c:v>-0.16749108729376366</c:v>
                </c:pt>
                <c:pt idx="10">
                  <c:v>-0.22184874961635639</c:v>
                </c:pt>
                <c:pt idx="11">
                  <c:v>-0.28399665636520083</c:v>
                </c:pt>
                <c:pt idx="12">
                  <c:v>-0.35654732351381258</c:v>
                </c:pt>
                <c:pt idx="13">
                  <c:v>-0.35654732351381258</c:v>
                </c:pt>
                <c:pt idx="14">
                  <c:v>-0.44369749923271273</c:v>
                </c:pt>
                <c:pt idx="15">
                  <c:v>-0.49485002168009401</c:v>
                </c:pt>
                <c:pt idx="16">
                  <c:v>-0.49485002168009401</c:v>
                </c:pt>
                <c:pt idx="17">
                  <c:v>-0.55284196865778079</c:v>
                </c:pt>
                <c:pt idx="18">
                  <c:v>-0.55284196865778079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C-4D23-BA6A-32C36822A198}"/>
            </c:ext>
          </c:extLst>
        </c:ser>
        <c:ser>
          <c:idx val="1"/>
          <c:order val="1"/>
          <c:tx>
            <c:v>Aj. Lin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'Varrimento Inicial '!$H$36:$H$54</c:f>
              <c:numCache>
                <c:formatCode>0.0000</c:formatCode>
                <c:ptCount val="19"/>
                <c:pt idx="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'!$L$36:$L$54</c:f>
              <c:numCache>
                <c:formatCode>0.0000</c:formatCode>
                <c:ptCount val="19"/>
                <c:pt idx="0">
                  <c:v>0.80300214925518421</c:v>
                </c:pt>
                <c:pt idx="1">
                  <c:v>0.62080231396106567</c:v>
                </c:pt>
                <c:pt idx="2">
                  <c:v>0.47193420900001304</c:v>
                </c:pt>
                <c:pt idx="3">
                  <c:v>0.34606801968112699</c:v>
                </c:pt>
                <c:pt idx="4">
                  <c:v>0.23703776718449998</c:v>
                </c:pt>
                <c:pt idx="5">
                  <c:v>0.14086626874484154</c:v>
                </c:pt>
                <c:pt idx="6">
                  <c:v>5.4837931890381331E-2</c:v>
                </c:pt>
                <c:pt idx="7">
                  <c:v>-2.2984164961292297E-2</c:v>
                </c:pt>
                <c:pt idx="8">
                  <c:v>-9.4030173070671352E-2</c:v>
                </c:pt>
                <c:pt idx="9">
                  <c:v>-0.15938616507098752</c:v>
                </c:pt>
                <c:pt idx="10">
                  <c:v>-0.2198963623895574</c:v>
                </c:pt>
                <c:pt idx="11">
                  <c:v>-0.27623000836479006</c:v>
                </c:pt>
                <c:pt idx="12">
                  <c:v>-0.32892661488618435</c:v>
                </c:pt>
                <c:pt idx="13">
                  <c:v>-0.378427467788579</c:v>
                </c:pt>
                <c:pt idx="14">
                  <c:v>-0.4250981133258428</c:v>
                </c:pt>
                <c:pt idx="15">
                  <c:v>-0.46924475683060446</c:v>
                </c:pt>
                <c:pt idx="16">
                  <c:v>-0.511126450180303</c:v>
                </c:pt>
                <c:pt idx="17">
                  <c:v>-0.55096430264472884</c:v>
                </c:pt>
                <c:pt idx="18">
                  <c:v>-0.58894854703197663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5C-4D23-BA6A-32C36822A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93272008140219"/>
          <c:y val="0.17531208661007458"/>
          <c:w val="0.20901885917946264"/>
          <c:h val="0.1453498052351675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'Varrimento Inicial '!$H$36:$H$54</c:f>
              <c:numCache>
                <c:formatCode>0.0000</c:formatCode>
                <c:ptCount val="19"/>
                <c:pt idx="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'!$M$36:$M$54</c:f>
              <c:numCache>
                <c:formatCode>0.0000</c:formatCode>
                <c:ptCount val="19"/>
                <c:pt idx="0">
                  <c:v>-5.0425055179880163E-3</c:v>
                </c:pt>
                <c:pt idx="1">
                  <c:v>2.4469764368347802E-3</c:v>
                </c:pt>
                <c:pt idx="2">
                  <c:v>5.1870457196493969E-3</c:v>
                </c:pt>
                <c:pt idx="3">
                  <c:v>4.1799986530358657E-3</c:v>
                </c:pt>
                <c:pt idx="4">
                  <c:v>8.4749006296498397E-3</c:v>
                </c:pt>
                <c:pt idx="5">
                  <c:v>5.2617669333964723E-3</c:v>
                </c:pt>
                <c:pt idx="6">
                  <c:v>-5.6199092201996773E-3</c:v>
                </c:pt>
                <c:pt idx="7">
                  <c:v>5.2553980008606949E-3</c:v>
                </c:pt>
                <c:pt idx="8">
                  <c:v>-2.8798399373850397E-3</c:v>
                </c:pt>
                <c:pt idx="9">
                  <c:v>-8.1049222227761453E-3</c:v>
                </c:pt>
                <c:pt idx="10">
                  <c:v>-1.9523872267989961E-3</c:v>
                </c:pt>
                <c:pt idx="11">
                  <c:v>-7.7666480004107696E-3</c:v>
                </c:pt>
                <c:pt idx="12">
                  <c:v>-2.7620708627628221E-2</c:v>
                </c:pt>
                <c:pt idx="13">
                  <c:v>2.1880144274766422E-2</c:v>
                </c:pt>
                <c:pt idx="14">
                  <c:v>-1.8599385906869936E-2</c:v>
                </c:pt>
                <c:pt idx="15">
                  <c:v>-2.5605264849489551E-2</c:v>
                </c:pt>
                <c:pt idx="16">
                  <c:v>1.6276428500208995E-2</c:v>
                </c:pt>
                <c:pt idx="17">
                  <c:v>-1.8776660130519485E-3</c:v>
                </c:pt>
                <c:pt idx="18">
                  <c:v>3.6106578374195841E-2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CF-4B1E-A829-C24CFED84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894012107263E-2"/>
              <c:y val="0.13748935634860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083740790156916"/>
          <c:y val="0.16669898537371913"/>
          <c:w val="0.28613117083230682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[</a:t>
            </a:r>
            <a:r>
              <a:rPr lang="en-US"/>
              <a:t>V(D)]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V(D)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 = K'' d^-2'!$C$9:$C$28</c:f>
              <c:numCache>
                <c:formatCode>0.0000</c:formatCode>
                <c:ptCount val="20"/>
                <c:pt idx="0">
                  <c:v>0.21513811724403648</c:v>
                </c:pt>
                <c:pt idx="1">
                  <c:v>0.23142204745654396</c:v>
                </c:pt>
                <c:pt idx="2">
                  <c:v>0.24893851789280463</c:v>
                </c:pt>
                <c:pt idx="3">
                  <c:v>0.26778082024489441</c:v>
                </c:pt>
                <c:pt idx="4">
                  <c:v>0.28804930750775176</c:v>
                </c:pt>
                <c:pt idx="5">
                  <c:v>0.30985192845333109</c:v>
                </c:pt>
                <c:pt idx="6">
                  <c:v>0.3333048025594178</c:v>
                </c:pt>
                <c:pt idx="7">
                  <c:v>0.35853283845514233</c:v>
                </c:pt>
                <c:pt idx="8">
                  <c:v>0.38567039917699802</c:v>
                </c:pt>
                <c:pt idx="9">
                  <c:v>0.41486201777847675</c:v>
                </c:pt>
                <c:pt idx="10">
                  <c:v>0.4462631671046175</c:v>
                </c:pt>
                <c:pt idx="11">
                  <c:v>0.48004108783124116</c:v>
                </c:pt>
                <c:pt idx="12">
                  <c:v>0.51637567917896199</c:v>
                </c:pt>
                <c:pt idx="13">
                  <c:v>0.55546045704586233</c:v>
                </c:pt>
                <c:pt idx="14">
                  <c:v>0.59750358466179432</c:v>
                </c:pt>
                <c:pt idx="15">
                  <c:v>0.64272898125350597</c:v>
                </c:pt>
                <c:pt idx="16">
                  <c:v>0.69137751462528441</c:v>
                </c:pt>
                <c:pt idx="17">
                  <c:v>0.74370828400672495</c:v>
                </c:pt>
                <c:pt idx="18">
                  <c:v>0.8</c:v>
                </c:pt>
                <c:pt idx="19">
                  <c:v>0.8605524689761459</c:v>
                </c:pt>
              </c:numCache>
            </c:numRef>
          </c:xVal>
          <c:yVal>
            <c:numRef>
              <c:f>'P = K'' d^-2'!$E$9:$E$28</c:f>
              <c:numCache>
                <c:formatCode>0.000</c:formatCode>
                <c:ptCount val="20"/>
                <c:pt idx="0">
                  <c:v>5.64</c:v>
                </c:pt>
                <c:pt idx="1">
                  <c:v>5</c:v>
                </c:pt>
                <c:pt idx="2">
                  <c:v>4.3600000000000003</c:v>
                </c:pt>
                <c:pt idx="3">
                  <c:v>3.84</c:v>
                </c:pt>
                <c:pt idx="4">
                  <c:v>3.4</c:v>
                </c:pt>
                <c:pt idx="5">
                  <c:v>2.92</c:v>
                </c:pt>
                <c:pt idx="6">
                  <c:v>2.56</c:v>
                </c:pt>
                <c:pt idx="7">
                  <c:v>2.2400000000000002</c:v>
                </c:pt>
                <c:pt idx="8">
                  <c:v>1.96</c:v>
                </c:pt>
                <c:pt idx="9">
                  <c:v>1.68</c:v>
                </c:pt>
                <c:pt idx="10">
                  <c:v>1.52</c:v>
                </c:pt>
                <c:pt idx="11">
                  <c:v>1.28</c:v>
                </c:pt>
                <c:pt idx="12">
                  <c:v>1.1200000000000001</c:v>
                </c:pt>
                <c:pt idx="13">
                  <c:v>1</c:v>
                </c:pt>
                <c:pt idx="14">
                  <c:v>0.88</c:v>
                </c:pt>
                <c:pt idx="15">
                  <c:v>0.76</c:v>
                </c:pt>
                <c:pt idx="16">
                  <c:v>0.64</c:v>
                </c:pt>
                <c:pt idx="17">
                  <c:v>0.56899999999999995</c:v>
                </c:pt>
                <c:pt idx="18">
                  <c:v>0.48</c:v>
                </c:pt>
                <c:pt idx="19">
                  <c:v>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F9-4FD5-8B21-1C6F7118E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d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V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949198773281507"/>
          <c:y val="0.16239219435044649"/>
          <c:w val="9.8156605799384344E-2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 = K'' d^-2'!$G$9:$G$28</c:f>
              <c:numCache>
                <c:formatCode>0.0000</c:formatCode>
                <c:ptCount val="20"/>
                <c:pt idx="0">
                  <c:v>-0.66728263637138929</c:v>
                </c:pt>
                <c:pt idx="1">
                  <c:v>-0.63559526840675962</c:v>
                </c:pt>
                <c:pt idx="2">
                  <c:v>-0.60390790044213005</c:v>
                </c:pt>
                <c:pt idx="3">
                  <c:v>-0.57222053247750049</c:v>
                </c:pt>
                <c:pt idx="4">
                  <c:v>-0.54053316451287092</c:v>
                </c:pt>
                <c:pt idx="5">
                  <c:v>-0.50884579654824125</c:v>
                </c:pt>
                <c:pt idx="6">
                  <c:v>-0.47715842858361163</c:v>
                </c:pt>
                <c:pt idx="7">
                  <c:v>-0.44547106061898201</c:v>
                </c:pt>
                <c:pt idx="8">
                  <c:v>-0.41378369265435244</c:v>
                </c:pt>
                <c:pt idx="9">
                  <c:v>-0.38209632468972288</c:v>
                </c:pt>
                <c:pt idx="10">
                  <c:v>-0.3504089567250932</c:v>
                </c:pt>
                <c:pt idx="11">
                  <c:v>-0.31872158876046364</c:v>
                </c:pt>
                <c:pt idx="12">
                  <c:v>-0.28703422079583402</c:v>
                </c:pt>
                <c:pt idx="13">
                  <c:v>-0.25534685283120451</c:v>
                </c:pt>
                <c:pt idx="14">
                  <c:v>-0.2236594848665748</c:v>
                </c:pt>
                <c:pt idx="15">
                  <c:v>-0.19197211690194518</c:v>
                </c:pt>
                <c:pt idx="16">
                  <c:v>-0.16028474893731565</c:v>
                </c:pt>
                <c:pt idx="17">
                  <c:v>-0.12859738097268605</c:v>
                </c:pt>
                <c:pt idx="18">
                  <c:v>-9.6910013008056392E-2</c:v>
                </c:pt>
                <c:pt idx="19">
                  <c:v>-6.5222645043426855E-2</c:v>
                </c:pt>
              </c:numCache>
            </c:numRef>
          </c:xVal>
          <c:yVal>
            <c:numRef>
              <c:f>'P = K'' d^-2'!$I$9:$I$28</c:f>
              <c:numCache>
                <c:formatCode>0.0000</c:formatCode>
                <c:ptCount val="20"/>
                <c:pt idx="0">
                  <c:v>0.7512791039833423</c:v>
                </c:pt>
                <c:pt idx="1">
                  <c:v>0.69897000433601886</c:v>
                </c:pt>
                <c:pt idx="2">
                  <c:v>0.63948648926858609</c:v>
                </c:pt>
                <c:pt idx="3">
                  <c:v>0.58433122436753082</c:v>
                </c:pt>
                <c:pt idx="4">
                  <c:v>0.53147891704225514</c:v>
                </c:pt>
                <c:pt idx="5">
                  <c:v>0.46538285144841829</c:v>
                </c:pt>
                <c:pt idx="6">
                  <c:v>0.40823996531184958</c:v>
                </c:pt>
                <c:pt idx="7">
                  <c:v>0.35024801833416286</c:v>
                </c:pt>
                <c:pt idx="8">
                  <c:v>0.29225607135647602</c:v>
                </c:pt>
                <c:pt idx="9">
                  <c:v>0.22530928172586284</c:v>
                </c:pt>
                <c:pt idx="10">
                  <c:v>0.18184358794477254</c:v>
                </c:pt>
                <c:pt idx="11">
                  <c:v>0.10720996964786837</c:v>
                </c:pt>
                <c:pt idx="12">
                  <c:v>4.9218022670181653E-2</c:v>
                </c:pt>
                <c:pt idx="13">
                  <c:v>0</c:v>
                </c:pt>
                <c:pt idx="14">
                  <c:v>-5.551732784983137E-2</c:v>
                </c:pt>
                <c:pt idx="15">
                  <c:v>-0.11918640771920865</c:v>
                </c:pt>
                <c:pt idx="16">
                  <c:v>-0.19382002601611281</c:v>
                </c:pt>
                <c:pt idx="17">
                  <c:v>-0.24488773360492885</c:v>
                </c:pt>
                <c:pt idx="18">
                  <c:v>-0.31875876262441277</c:v>
                </c:pt>
                <c:pt idx="19">
                  <c:v>-0.35654732351381258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88-4171-8EA8-531583330B82}"/>
            </c:ext>
          </c:extLst>
        </c:ser>
        <c:ser>
          <c:idx val="1"/>
          <c:order val="1"/>
          <c:tx>
            <c:v>Aj. Lin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 = K'' d^-2'!$G$9:$G$28</c:f>
              <c:numCache>
                <c:formatCode>0.0000</c:formatCode>
                <c:ptCount val="20"/>
                <c:pt idx="0">
                  <c:v>-0.66728263637138929</c:v>
                </c:pt>
                <c:pt idx="1">
                  <c:v>-0.63559526840675962</c:v>
                </c:pt>
                <c:pt idx="2">
                  <c:v>-0.60390790044213005</c:v>
                </c:pt>
                <c:pt idx="3">
                  <c:v>-0.57222053247750049</c:v>
                </c:pt>
                <c:pt idx="4">
                  <c:v>-0.54053316451287092</c:v>
                </c:pt>
                <c:pt idx="5">
                  <c:v>-0.50884579654824125</c:v>
                </c:pt>
                <c:pt idx="6">
                  <c:v>-0.47715842858361163</c:v>
                </c:pt>
                <c:pt idx="7">
                  <c:v>-0.44547106061898201</c:v>
                </c:pt>
                <c:pt idx="8">
                  <c:v>-0.41378369265435244</c:v>
                </c:pt>
                <c:pt idx="9">
                  <c:v>-0.38209632468972288</c:v>
                </c:pt>
                <c:pt idx="10">
                  <c:v>-0.3504089567250932</c:v>
                </c:pt>
                <c:pt idx="11">
                  <c:v>-0.31872158876046364</c:v>
                </c:pt>
                <c:pt idx="12">
                  <c:v>-0.28703422079583402</c:v>
                </c:pt>
                <c:pt idx="13">
                  <c:v>-0.25534685283120451</c:v>
                </c:pt>
                <c:pt idx="14">
                  <c:v>-0.2236594848665748</c:v>
                </c:pt>
                <c:pt idx="15">
                  <c:v>-0.19197211690194518</c:v>
                </c:pt>
                <c:pt idx="16">
                  <c:v>-0.16028474893731565</c:v>
                </c:pt>
                <c:pt idx="17">
                  <c:v>-0.12859738097268605</c:v>
                </c:pt>
                <c:pt idx="18">
                  <c:v>-9.6910013008056392E-2</c:v>
                </c:pt>
                <c:pt idx="19">
                  <c:v>-6.5222645043426855E-2</c:v>
                </c:pt>
              </c:numCache>
            </c:numRef>
          </c:xVal>
          <c:yVal>
            <c:numRef>
              <c:f>'P = K'' d^-2'!$K$9:$K$28</c:f>
              <c:numCache>
                <c:formatCode>0.0000</c:formatCode>
                <c:ptCount val="20"/>
                <c:pt idx="0">
                  <c:v>0.76081625830069022</c:v>
                </c:pt>
                <c:pt idx="1">
                  <c:v>0.70176473598540168</c:v>
                </c:pt>
                <c:pt idx="2">
                  <c:v>0.64271321367011336</c:v>
                </c:pt>
                <c:pt idx="3">
                  <c:v>0.58366169135482526</c:v>
                </c:pt>
                <c:pt idx="4">
                  <c:v>0.52461016903953694</c:v>
                </c:pt>
                <c:pt idx="5">
                  <c:v>0.46555864672424851</c:v>
                </c:pt>
                <c:pt idx="6">
                  <c:v>0.40650712440896009</c:v>
                </c:pt>
                <c:pt idx="7">
                  <c:v>0.34745560209367177</c:v>
                </c:pt>
                <c:pt idx="8">
                  <c:v>0.28840407977838345</c:v>
                </c:pt>
                <c:pt idx="9">
                  <c:v>0.22935255746309524</c:v>
                </c:pt>
                <c:pt idx="10">
                  <c:v>0.1703010351478067</c:v>
                </c:pt>
                <c:pt idx="11">
                  <c:v>0.11124951283251849</c:v>
                </c:pt>
                <c:pt idx="12">
                  <c:v>5.2197990517230175E-2</c:v>
                </c:pt>
                <c:pt idx="13">
                  <c:v>-6.8535317980580324E-3</c:v>
                </c:pt>
                <c:pt idx="14">
                  <c:v>-6.5905054113346573E-2</c:v>
                </c:pt>
                <c:pt idx="15">
                  <c:v>-0.12495657642863489</c:v>
                </c:pt>
                <c:pt idx="16">
                  <c:v>-0.18400809874392315</c:v>
                </c:pt>
                <c:pt idx="17">
                  <c:v>-0.24305962105921144</c:v>
                </c:pt>
                <c:pt idx="18">
                  <c:v>-0.30211114337449985</c:v>
                </c:pt>
                <c:pt idx="19">
                  <c:v>-0.36116266568978811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88-4171-8EA8-531583330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633894558608602"/>
          <c:y val="0.17531208661007458"/>
          <c:w val="0.20901885917946264"/>
          <c:h val="0.1453498052351675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de 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 = K'' d^-2'!$G$9:$G$28</c:f>
              <c:numCache>
                <c:formatCode>0.0000</c:formatCode>
                <c:ptCount val="20"/>
                <c:pt idx="0">
                  <c:v>-0.66728263637138929</c:v>
                </c:pt>
                <c:pt idx="1">
                  <c:v>-0.63559526840675962</c:v>
                </c:pt>
                <c:pt idx="2">
                  <c:v>-0.60390790044213005</c:v>
                </c:pt>
                <c:pt idx="3">
                  <c:v>-0.57222053247750049</c:v>
                </c:pt>
                <c:pt idx="4">
                  <c:v>-0.54053316451287092</c:v>
                </c:pt>
                <c:pt idx="5">
                  <c:v>-0.50884579654824125</c:v>
                </c:pt>
                <c:pt idx="6">
                  <c:v>-0.47715842858361163</c:v>
                </c:pt>
                <c:pt idx="7">
                  <c:v>-0.44547106061898201</c:v>
                </c:pt>
                <c:pt idx="8">
                  <c:v>-0.41378369265435244</c:v>
                </c:pt>
                <c:pt idx="9">
                  <c:v>-0.38209632468972288</c:v>
                </c:pt>
                <c:pt idx="10">
                  <c:v>-0.3504089567250932</c:v>
                </c:pt>
                <c:pt idx="11">
                  <c:v>-0.31872158876046364</c:v>
                </c:pt>
                <c:pt idx="12">
                  <c:v>-0.28703422079583402</c:v>
                </c:pt>
                <c:pt idx="13">
                  <c:v>-0.25534685283120451</c:v>
                </c:pt>
                <c:pt idx="14">
                  <c:v>-0.2236594848665748</c:v>
                </c:pt>
                <c:pt idx="15">
                  <c:v>-0.19197211690194518</c:v>
                </c:pt>
                <c:pt idx="16">
                  <c:v>-0.16028474893731565</c:v>
                </c:pt>
                <c:pt idx="17">
                  <c:v>-0.12859738097268605</c:v>
                </c:pt>
                <c:pt idx="18">
                  <c:v>-9.6910013008056392E-2</c:v>
                </c:pt>
                <c:pt idx="19">
                  <c:v>-6.5222645043426855E-2</c:v>
                </c:pt>
              </c:numCache>
            </c:numRef>
          </c:xVal>
          <c:yVal>
            <c:numRef>
              <c:f>'P = K'' d^-2'!$L$9:$L$28</c:f>
              <c:numCache>
                <c:formatCode>0.0000</c:formatCode>
                <c:ptCount val="20"/>
                <c:pt idx="0">
                  <c:v>-9.5371543173479179E-3</c:v>
                </c:pt>
                <c:pt idx="1">
                  <c:v>-2.79473164938282E-3</c:v>
                </c:pt>
                <c:pt idx="2">
                  <c:v>-3.22672440152727E-3</c:v>
                </c:pt>
                <c:pt idx="3">
                  <c:v>6.6953301270555876E-4</c:v>
                </c:pt>
                <c:pt idx="4">
                  <c:v>6.8687480027181946E-3</c:v>
                </c:pt>
                <c:pt idx="5">
                  <c:v>-1.7579527583022614E-4</c:v>
                </c:pt>
                <c:pt idx="6">
                  <c:v>1.7328409028894987E-3</c:v>
                </c:pt>
                <c:pt idx="7">
                  <c:v>2.7924162404910913E-3</c:v>
                </c:pt>
                <c:pt idx="8">
                  <c:v>3.8519915780925729E-3</c:v>
                </c:pt>
                <c:pt idx="9">
                  <c:v>-4.0432757372323991E-3</c:v>
                </c:pt>
                <c:pt idx="10">
                  <c:v>1.1542552796965838E-2</c:v>
                </c:pt>
                <c:pt idx="11">
                  <c:v>-4.0395431846501212E-3</c:v>
                </c:pt>
                <c:pt idx="12">
                  <c:v>-2.9799678470485216E-3</c:v>
                </c:pt>
                <c:pt idx="13">
                  <c:v>6.8535317980580324E-3</c:v>
                </c:pt>
                <c:pt idx="14">
                  <c:v>1.0387726263515203E-2</c:v>
                </c:pt>
                <c:pt idx="15">
                  <c:v>5.770168709426246E-3</c:v>
                </c:pt>
                <c:pt idx="16">
                  <c:v>-9.8119272721896578E-3</c:v>
                </c:pt>
                <c:pt idx="17">
                  <c:v>-1.8281125457174086E-3</c:v>
                </c:pt>
                <c:pt idx="18">
                  <c:v>-1.6647619249912926E-2</c:v>
                </c:pt>
                <c:pt idx="19">
                  <c:v>4.6153421759755342E-3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A6-4586-9017-B054FF489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894012107263E-2"/>
              <c:y val="0.13748935634860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24630791139028"/>
          <c:y val="0.16669882510365588"/>
          <c:w val="0.3120848212405499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Log(V)[Esp.Filtros]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 #1'!$C$16:$C$20</c:f>
              <c:numCache>
                <c:formatCode>0.00000</c:formatCode>
                <c:ptCount val="5"/>
                <c:pt idx="0">
                  <c:v>4.2300000000000003E-3</c:v>
                </c:pt>
                <c:pt idx="1">
                  <c:v>8.4836666666666671E-3</c:v>
                </c:pt>
                <c:pt idx="2">
                  <c:v>1.2611333333333334E-2</c:v>
                </c:pt>
                <c:pt idx="3">
                  <c:v>1.7101333333333333E-2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#1'!$F$16:$F$20</c:f>
              <c:numCache>
                <c:formatCode>0.00E+00</c:formatCode>
                <c:ptCount val="5"/>
                <c:pt idx="0">
                  <c:v>0.8586616190375187</c:v>
                </c:pt>
                <c:pt idx="1">
                  <c:v>-0.12783337150988489</c:v>
                </c:pt>
                <c:pt idx="2">
                  <c:v>-0.916290731874155</c:v>
                </c:pt>
                <c:pt idx="3">
                  <c:v>-1.9661128563728327</c:v>
                </c:pt>
                <c:pt idx="4">
                  <c:v>-2.8134107167600364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C-4628-8267-225A548A1527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'Coeficiente de Absorção #1'!$C$16:$C$23</c:f>
              <c:numCache>
                <c:formatCode>0.00000</c:formatCode>
                <c:ptCount val="8"/>
                <c:pt idx="0">
                  <c:v>4.2300000000000003E-3</c:v>
                </c:pt>
                <c:pt idx="1">
                  <c:v>8.4836666666666671E-3</c:v>
                </c:pt>
                <c:pt idx="2">
                  <c:v>1.2611333333333334E-2</c:v>
                </c:pt>
                <c:pt idx="3">
                  <c:v>1.7101333333333333E-2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#1'!$H$16:$H$23</c:f>
              <c:numCache>
                <c:formatCode>0.00E+00</c:formatCode>
                <c:ptCount val="8"/>
                <c:pt idx="0">
                  <c:v>0.84453431811463953</c:v>
                </c:pt>
                <c:pt idx="1">
                  <c:v>-7.7606100522635613E-2</c:v>
                </c:pt>
                <c:pt idx="2">
                  <c:v>-0.97243133396714443</c:v>
                </c:pt>
                <c:pt idx="3">
                  <c:v>-1.9458057904395285</c:v>
                </c:pt>
                <c:pt idx="4">
                  <c:v>-2.8136771506647209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3C-4628-8267-225A548A1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Esp.Filtros 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750059111117455"/>
          <c:y val="0.17100545585686522"/>
          <c:w val="0.26601924674088429"/>
          <c:h val="0.2573222048186111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V)[Esp</a:t>
            </a:r>
            <a:r>
              <a:rPr lang="en-US" baseline="0"/>
              <a:t>. 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Log(V)[Esp.Filtros]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 #1'!$C$16:$C$23</c:f>
              <c:numCache>
                <c:formatCode>0.00000</c:formatCode>
                <c:ptCount val="8"/>
                <c:pt idx="0">
                  <c:v>4.2300000000000003E-3</c:v>
                </c:pt>
                <c:pt idx="1">
                  <c:v>8.4836666666666671E-3</c:v>
                </c:pt>
                <c:pt idx="2">
                  <c:v>1.2611333333333334E-2</c:v>
                </c:pt>
                <c:pt idx="3">
                  <c:v>1.7101333333333333E-2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#1'!$I$16:$I$23</c:f>
              <c:numCache>
                <c:formatCode>0.00E+00</c:formatCode>
                <c:ptCount val="8"/>
                <c:pt idx="0">
                  <c:v>1.4127300922879171E-2</c:v>
                </c:pt>
                <c:pt idx="1">
                  <c:v>-5.0227270987249273E-2</c:v>
                </c:pt>
                <c:pt idx="2">
                  <c:v>5.6140602092989433E-2</c:v>
                </c:pt>
                <c:pt idx="3">
                  <c:v>-2.0307065933304225E-2</c:v>
                </c:pt>
                <c:pt idx="4">
                  <c:v>2.6643390468450434E-4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C6-4652-9CB5-E919683C1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Esp. Filtros</a:t>
                </a:r>
                <a:r>
                  <a:rPr lang="pt-PT" sz="1600" baseline="0"/>
                  <a:t>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 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992867059619152"/>
          <c:y val="0.16676407175069999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Log(V)[Esp.Filtros]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 #2'!$C$16:$C$20</c:f>
              <c:numCache>
                <c:formatCode>0.00000</c:formatCode>
                <c:ptCount val="5"/>
                <c:pt idx="0">
                  <c:v>4.0033333333333336E-3</c:v>
                </c:pt>
                <c:pt idx="1">
                  <c:v>8.4933333333333336E-3</c:v>
                </c:pt>
                <c:pt idx="2">
                  <c:v>1.2621E-2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#2'!$F$16:$F$20</c:f>
              <c:numCache>
                <c:formatCode>0.00E+00</c:formatCode>
                <c:ptCount val="5"/>
                <c:pt idx="0">
                  <c:v>0.82417544296634937</c:v>
                </c:pt>
                <c:pt idx="1">
                  <c:v>-0.22314355131420971</c:v>
                </c:pt>
                <c:pt idx="2">
                  <c:v>-1.1394342831883648</c:v>
                </c:pt>
                <c:pt idx="3">
                  <c:v>-2.120263536200091</c:v>
                </c:pt>
                <c:pt idx="4">
                  <c:v>-2.8134107167600364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8-4E87-9DE0-6DD318BCC222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'Coeficiente de Absorção #2'!$C$16:$C$23</c:f>
              <c:numCache>
                <c:formatCode>0.00000</c:formatCode>
                <c:ptCount val="8"/>
                <c:pt idx="0">
                  <c:v>4.0033333333333336E-3</c:v>
                </c:pt>
                <c:pt idx="1">
                  <c:v>8.4933333333333336E-3</c:v>
                </c:pt>
                <c:pt idx="2">
                  <c:v>1.2621E-2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#2'!$H$16:$H$23</c:f>
              <c:numCache>
                <c:formatCode>0.00E+00</c:formatCode>
                <c:ptCount val="8"/>
                <c:pt idx="0">
                  <c:v>0.76198003210751208</c:v>
                </c:pt>
                <c:pt idx="1">
                  <c:v>-0.20542371410156113</c:v>
                </c:pt>
                <c:pt idx="2">
                  <c:v>-1.0947600607464723</c:v>
                </c:pt>
                <c:pt idx="3">
                  <c:v>-2.0112440403584979</c:v>
                </c:pt>
                <c:pt idx="4">
                  <c:v>-2.9226288613973357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78-4E87-9DE0-6DD318BCC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Esp.Filtros 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750059111117455"/>
          <c:y val="0.17100545585686522"/>
          <c:w val="0.26601924674088429"/>
          <c:h val="0.2573222048186111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V)[Esp</a:t>
            </a:r>
            <a:r>
              <a:rPr lang="en-US" baseline="0"/>
              <a:t>. 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Log(V)[Esp.Filtros]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 #2'!$C$16:$C$23</c:f>
              <c:numCache>
                <c:formatCode>0.00000</c:formatCode>
                <c:ptCount val="8"/>
                <c:pt idx="0">
                  <c:v>4.0033333333333336E-3</c:v>
                </c:pt>
                <c:pt idx="1">
                  <c:v>8.4933333333333336E-3</c:v>
                </c:pt>
                <c:pt idx="2">
                  <c:v>1.2621E-2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#2'!$I$16:$I$23</c:f>
              <c:numCache>
                <c:formatCode>0.00E+00</c:formatCode>
                <c:ptCount val="8"/>
                <c:pt idx="0">
                  <c:v>6.2195410858837286E-2</c:v>
                </c:pt>
                <c:pt idx="1">
                  <c:v>-1.7719837212648581E-2</c:v>
                </c:pt>
                <c:pt idx="2">
                  <c:v>-4.4674222441892564E-2</c:v>
                </c:pt>
                <c:pt idx="3">
                  <c:v>-0.10901949584159309</c:v>
                </c:pt>
                <c:pt idx="4">
                  <c:v>0.10921814463729929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23-49C8-AB6B-EC50C92D5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Esp. Filtros</a:t>
                </a:r>
                <a:r>
                  <a:rPr lang="pt-PT" sz="1600" baseline="0"/>
                  <a:t>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 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164809851882942"/>
          <c:y val="0.16731585665857926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Log(V)[Esp.Filtros]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 #3'!$C$16:$C$20</c:f>
              <c:numCache>
                <c:formatCode>0.00000</c:formatCode>
                <c:ptCount val="5"/>
                <c:pt idx="0">
                  <c:v>4.253666666666666E-3</c:v>
                </c:pt>
                <c:pt idx="1">
                  <c:v>8.3813333333333326E-3</c:v>
                </c:pt>
                <c:pt idx="2">
                  <c:v>1.2871333333333332E-2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#3'!$F$16:$F$20</c:f>
              <c:numCache>
                <c:formatCode>0.00E+00</c:formatCode>
                <c:ptCount val="5"/>
                <c:pt idx="0">
                  <c:v>0.72270598280148979</c:v>
                </c:pt>
                <c:pt idx="1">
                  <c:v>-4.0821994520255166E-2</c:v>
                </c:pt>
                <c:pt idx="2">
                  <c:v>-1.0216512475319814</c:v>
                </c:pt>
                <c:pt idx="3">
                  <c:v>-2.120263536200091</c:v>
                </c:pt>
                <c:pt idx="4">
                  <c:v>-2.5257286443082556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87-48F7-B588-F2C80CC2130C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'Coeficiente de Absorção #3'!$C$16:$C$23</c:f>
              <c:numCache>
                <c:formatCode>0.00000</c:formatCode>
                <c:ptCount val="8"/>
                <c:pt idx="0">
                  <c:v>4.253666666666666E-3</c:v>
                </c:pt>
                <c:pt idx="1">
                  <c:v>8.3813333333333326E-3</c:v>
                </c:pt>
                <c:pt idx="2">
                  <c:v>1.2871333333333332E-2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#3'!$H$16:$H$23</c:f>
              <c:numCache>
                <c:formatCode>0.00E+00</c:formatCode>
                <c:ptCount val="8"/>
                <c:pt idx="0">
                  <c:v>0.71900031747508686</c:v>
                </c:pt>
                <c:pt idx="1">
                  <c:v>-0.11995653910046533</c:v>
                </c:pt>
                <c:pt idx="2">
                  <c:v>-1.0325584011753006</c:v>
                </c:pt>
                <c:pt idx="3">
                  <c:v>-1.8462442485040891</c:v>
                </c:pt>
                <c:pt idx="4">
                  <c:v>-2.706000568454324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87-48F7-B588-F2C80CC21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Esp.Filtros 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750059111117455"/>
          <c:y val="0.17100545585686522"/>
          <c:w val="0.26601924674088429"/>
          <c:h val="0.2573222048186111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V)[Esp</a:t>
            </a:r>
            <a:r>
              <a:rPr lang="en-US" baseline="0"/>
              <a:t>. 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Log(V)[Esp.Filtros]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 #3'!$C$16:$C$23</c:f>
              <c:numCache>
                <c:formatCode>0.00000</c:formatCode>
                <c:ptCount val="8"/>
                <c:pt idx="0">
                  <c:v>4.253666666666666E-3</c:v>
                </c:pt>
                <c:pt idx="1">
                  <c:v>8.3813333333333326E-3</c:v>
                </c:pt>
                <c:pt idx="2">
                  <c:v>1.2871333333333332E-2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#3'!$I$16:$I$23</c:f>
              <c:numCache>
                <c:formatCode>0.00E+00</c:formatCode>
                <c:ptCount val="8"/>
                <c:pt idx="0">
                  <c:v>3.7056653264029293E-3</c:v>
                </c:pt>
                <c:pt idx="1">
                  <c:v>7.9134544580210159E-2</c:v>
                </c:pt>
                <c:pt idx="2">
                  <c:v>1.0907153643319178E-2</c:v>
                </c:pt>
                <c:pt idx="3">
                  <c:v>-0.27401928769600192</c:v>
                </c:pt>
                <c:pt idx="4">
                  <c:v>0.18027192414606841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15-4F67-9D8A-6BFECF454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Esp. Filtros</a:t>
                </a:r>
                <a:r>
                  <a:rPr lang="pt-PT" sz="1600" baseline="0"/>
                  <a:t>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 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850533674282272"/>
          <c:y val="0.16665473337661291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Log(V)[Esp.Filtros]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 #4'!$C$16:$C$20</c:f>
              <c:numCache>
                <c:formatCode>0.00000</c:formatCode>
                <c:ptCount val="5"/>
                <c:pt idx="0">
                  <c:v>4.3049999999999998E-3</c:v>
                </c:pt>
                <c:pt idx="1">
                  <c:v>8.9723333333333322E-3</c:v>
                </c:pt>
                <c:pt idx="2">
                  <c:v>1.2975666666666667E-2</c:v>
                </c:pt>
                <c:pt idx="3">
                  <c:v>1.7229333333333333E-2</c:v>
                </c:pt>
                <c:pt idx="4">
                  <c:v>2.1459333333333334E-2</c:v>
                </c:pt>
              </c:numCache>
            </c:numRef>
          </c:xVal>
          <c:yVal>
            <c:numRef>
              <c:f>'Coeficiente de Absorção #4'!$F$16:$F$20</c:f>
              <c:numCache>
                <c:formatCode>0.00E+00</c:formatCode>
                <c:ptCount val="5"/>
                <c:pt idx="0">
                  <c:v>0.89199803930511046</c:v>
                </c:pt>
                <c:pt idx="1">
                  <c:v>-0.1743533871447778</c:v>
                </c:pt>
                <c:pt idx="2">
                  <c:v>-1.0216512475319814</c:v>
                </c:pt>
                <c:pt idx="3">
                  <c:v>-2.120263536200091</c:v>
                </c:pt>
                <c:pt idx="4">
                  <c:v>-2.8134107167600364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89-4857-AC98-0712D61A52F5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'Coeficiente de Absorção #4'!$C$16:$C$23</c:f>
              <c:numCache>
                <c:formatCode>0.00000</c:formatCode>
                <c:ptCount val="8"/>
                <c:pt idx="0">
                  <c:v>4.3049999999999998E-3</c:v>
                </c:pt>
                <c:pt idx="1">
                  <c:v>8.9723333333333322E-3</c:v>
                </c:pt>
                <c:pt idx="2">
                  <c:v>1.2975666666666667E-2</c:v>
                </c:pt>
                <c:pt idx="3">
                  <c:v>1.7229333333333333E-2</c:v>
                </c:pt>
                <c:pt idx="4">
                  <c:v>2.1459333333333334E-2</c:v>
                </c:pt>
              </c:numCache>
            </c:numRef>
          </c:xVal>
          <c:yVal>
            <c:numRef>
              <c:f>'Coeficiente de Absorção #4'!$H$16:$H$23</c:f>
              <c:numCache>
                <c:formatCode>0.00E+00</c:formatCode>
                <c:ptCount val="8"/>
                <c:pt idx="0">
                  <c:v>0.86168758214201313</c:v>
                </c:pt>
                <c:pt idx="1">
                  <c:v>-0.16452934579736378</c:v>
                </c:pt>
                <c:pt idx="2">
                  <c:v>-1.0447511215831029</c:v>
                </c:pt>
                <c:pt idx="3">
                  <c:v>-1.9800142423825879</c:v>
                </c:pt>
                <c:pt idx="4">
                  <c:v>-2.9100737207107334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89-4857-AC98-0712D61A5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Esp.Filtros 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Ln(V)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750059111117455"/>
          <c:y val="0.17100545585686522"/>
          <c:w val="0.26601924674088429"/>
          <c:h val="0.2573222048186111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V)[Esp</a:t>
            </a:r>
            <a:r>
              <a:rPr lang="en-US" baseline="0"/>
              <a:t>. 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Log(V)[Esp.Filtros]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 #4'!$C$16:$C$23</c:f>
              <c:numCache>
                <c:formatCode>0.00000</c:formatCode>
                <c:ptCount val="8"/>
                <c:pt idx="0">
                  <c:v>4.3049999999999998E-3</c:v>
                </c:pt>
                <c:pt idx="1">
                  <c:v>8.9723333333333322E-3</c:v>
                </c:pt>
                <c:pt idx="2">
                  <c:v>1.2975666666666667E-2</c:v>
                </c:pt>
                <c:pt idx="3">
                  <c:v>1.7229333333333333E-2</c:v>
                </c:pt>
                <c:pt idx="4">
                  <c:v>2.1459333333333334E-2</c:v>
                </c:pt>
              </c:numCache>
            </c:numRef>
          </c:xVal>
          <c:yVal>
            <c:numRef>
              <c:f>'Coeficiente de Absorção #4'!$I$16:$I$23</c:f>
              <c:numCache>
                <c:formatCode>0.00E+00</c:formatCode>
                <c:ptCount val="8"/>
                <c:pt idx="0">
                  <c:v>3.0310457163097326E-2</c:v>
                </c:pt>
                <c:pt idx="1">
                  <c:v>-9.8240413474140198E-3</c:v>
                </c:pt>
                <c:pt idx="2">
                  <c:v>2.3099874051121461E-2</c:v>
                </c:pt>
                <c:pt idx="3">
                  <c:v>-0.14024929381750306</c:v>
                </c:pt>
                <c:pt idx="4">
                  <c:v>9.6663003950697046E-2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8-4569-9FE4-42F14E310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Esp. Filtros</a:t>
                </a:r>
                <a:r>
                  <a:rPr lang="pt-PT" sz="1600" baseline="0"/>
                  <a:t>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 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955210598083173"/>
          <c:y val="0.17100532647125652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Log(V)[Esp.Filtros]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 #5'!$C$16:$C$20</c:f>
              <c:numCache>
                <c:formatCode>0.00000</c:formatCode>
                <c:ptCount val="5"/>
                <c:pt idx="0">
                  <c:v>4.3049999999999998E-3</c:v>
                </c:pt>
                <c:pt idx="1">
                  <c:v>8.3083333333333342E-3</c:v>
                </c:pt>
                <c:pt idx="2">
                  <c:v>1.2435999999999999E-2</c:v>
                </c:pt>
                <c:pt idx="3">
                  <c:v>1.6666E-2</c:v>
                </c:pt>
                <c:pt idx="4">
                  <c:v>2.1459333333333334E-2</c:v>
                </c:pt>
              </c:numCache>
            </c:numRef>
          </c:xVal>
          <c:yVal>
            <c:numRef>
              <c:f>'Coeficiente de Absorção #5'!$F$16:$F$20</c:f>
              <c:numCache>
                <c:formatCode>0.00E+00</c:formatCode>
                <c:ptCount val="5"/>
                <c:pt idx="0">
                  <c:v>0.89199803930511046</c:v>
                </c:pt>
                <c:pt idx="1">
                  <c:v>-6.1875403718087411E-2</c:v>
                </c:pt>
                <c:pt idx="2">
                  <c:v>-0.73396917508020043</c:v>
                </c:pt>
                <c:pt idx="3">
                  <c:v>-1.6094379124341003</c:v>
                </c:pt>
                <c:pt idx="4">
                  <c:v>-3.2188758248682006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89-4292-9D56-43A0B0F37646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'Coeficiente de Absorção #5'!$C$16:$C$23</c:f>
              <c:numCache>
                <c:formatCode>0.00000</c:formatCode>
                <c:ptCount val="8"/>
                <c:pt idx="0">
                  <c:v>4.3049999999999998E-3</c:v>
                </c:pt>
                <c:pt idx="1">
                  <c:v>8.3083333333333342E-3</c:v>
                </c:pt>
                <c:pt idx="2">
                  <c:v>1.2435999999999999E-2</c:v>
                </c:pt>
                <c:pt idx="3">
                  <c:v>1.6666E-2</c:v>
                </c:pt>
                <c:pt idx="4">
                  <c:v>2.1459333333333334E-2</c:v>
                </c:pt>
              </c:numCache>
            </c:numRef>
          </c:xVal>
          <c:yVal>
            <c:numRef>
              <c:f>'Coeficiente de Absorção #5'!$H$16:$H$23</c:f>
              <c:numCache>
                <c:formatCode>0.00E+00</c:formatCode>
                <c:ptCount val="8"/>
                <c:pt idx="0">
                  <c:v>0.96889040835906826</c:v>
                </c:pt>
                <c:pt idx="1">
                  <c:v>4.8393934227416446E-2</c:v>
                </c:pt>
                <c:pt idx="2">
                  <c:v>-0.90069081507918147</c:v>
                </c:pt>
                <c:pt idx="3">
                  <c:v>-1.8733053243823172</c:v>
                </c:pt>
                <c:pt idx="4">
                  <c:v>-2.9754484799204644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89-4292-9D56-43A0B0F37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Esp.Filtros 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750059111117455"/>
          <c:y val="0.17100545585686522"/>
          <c:w val="0.26601924674088429"/>
          <c:h val="0.2573222048186111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V)[Esp</a:t>
            </a:r>
            <a:r>
              <a:rPr lang="en-US" baseline="0"/>
              <a:t>. 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Log(V)[Esp.Filtros]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 #5'!$C$16:$C$23</c:f>
              <c:numCache>
                <c:formatCode>0.00000</c:formatCode>
                <c:ptCount val="8"/>
                <c:pt idx="0">
                  <c:v>4.3049999999999998E-3</c:v>
                </c:pt>
                <c:pt idx="1">
                  <c:v>8.3083333333333342E-3</c:v>
                </c:pt>
                <c:pt idx="2">
                  <c:v>1.2435999999999999E-2</c:v>
                </c:pt>
                <c:pt idx="3">
                  <c:v>1.6666E-2</c:v>
                </c:pt>
                <c:pt idx="4">
                  <c:v>2.1459333333333334E-2</c:v>
                </c:pt>
              </c:numCache>
            </c:numRef>
          </c:xVal>
          <c:yVal>
            <c:numRef>
              <c:f>'Coeficiente de Absorção #5'!$I$16:$I$23</c:f>
              <c:numCache>
                <c:formatCode>0.00E+00</c:formatCode>
                <c:ptCount val="8"/>
                <c:pt idx="0">
                  <c:v>-7.6892369053957799E-2</c:v>
                </c:pt>
                <c:pt idx="1">
                  <c:v>-0.11026933794550386</c:v>
                </c:pt>
                <c:pt idx="2">
                  <c:v>0.16672163999898104</c:v>
                </c:pt>
                <c:pt idx="3">
                  <c:v>0.26386741194821695</c:v>
                </c:pt>
                <c:pt idx="4">
                  <c:v>-0.24342734494773621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41-4455-8BB8-28D4B4C58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Esp. Filtros</a:t>
                </a:r>
                <a:r>
                  <a:rPr lang="pt-PT" sz="1600" baseline="0"/>
                  <a:t>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 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73042259076335"/>
          <c:y val="0.17100549017248529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251012</xdr:colOff>
      <xdr:row>6</xdr:row>
      <xdr:rowOff>190220</xdr:rowOff>
    </xdr:from>
    <xdr:to>
      <xdr:col>21</xdr:col>
      <xdr:colOff>289113</xdr:colOff>
      <xdr:row>22</xdr:row>
      <xdr:rowOff>91161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063D05-140D-4032-A0FB-01E374AEF9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571500</xdr:colOff>
      <xdr:row>6</xdr:row>
      <xdr:rowOff>183777</xdr:rowOff>
    </xdr:from>
    <xdr:to>
      <xdr:col>30</xdr:col>
      <xdr:colOff>1</xdr:colOff>
      <xdr:row>22</xdr:row>
      <xdr:rowOff>84718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5E441F2-7486-4532-8FA2-E36BB2EA2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528788</xdr:colOff>
      <xdr:row>22</xdr:row>
      <xdr:rowOff>129989</xdr:rowOff>
    </xdr:from>
    <xdr:to>
      <xdr:col>29</xdr:col>
      <xdr:colOff>566889</xdr:colOff>
      <xdr:row>38</xdr:row>
      <xdr:rowOff>30930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DD46652-AE46-40AB-AF88-54B92470D1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224116</xdr:colOff>
      <xdr:row>38</xdr:row>
      <xdr:rowOff>100853</xdr:rowOff>
    </xdr:from>
    <xdr:to>
      <xdr:col>21</xdr:col>
      <xdr:colOff>262217</xdr:colOff>
      <xdr:row>54</xdr:row>
      <xdr:rowOff>1794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695DFD7-F430-4297-869C-66A10B42E4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437030</xdr:colOff>
      <xdr:row>38</xdr:row>
      <xdr:rowOff>100851</xdr:rowOff>
    </xdr:from>
    <xdr:to>
      <xdr:col>29</xdr:col>
      <xdr:colOff>470649</xdr:colOff>
      <xdr:row>54</xdr:row>
      <xdr:rowOff>1792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79847CB-92E2-4F04-8B5F-573B2862AC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437029</xdr:colOff>
      <xdr:row>54</xdr:row>
      <xdr:rowOff>44823</xdr:rowOff>
    </xdr:from>
    <xdr:to>
      <xdr:col>29</xdr:col>
      <xdr:colOff>475130</xdr:colOff>
      <xdr:row>69</xdr:row>
      <xdr:rowOff>102647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78925FD-9DDA-405F-844D-D83206F2E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382464</xdr:colOff>
      <xdr:row>7</xdr:row>
      <xdr:rowOff>26010</xdr:rowOff>
    </xdr:from>
    <xdr:to>
      <xdr:col>20</xdr:col>
      <xdr:colOff>420565</xdr:colOff>
      <xdr:row>22</xdr:row>
      <xdr:rowOff>117451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EDFDCE-CCD8-4BC8-A59E-2A6738E89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571500</xdr:colOff>
      <xdr:row>7</xdr:row>
      <xdr:rowOff>38100</xdr:rowOff>
    </xdr:from>
    <xdr:to>
      <xdr:col>29</xdr:col>
      <xdr:colOff>1</xdr:colOff>
      <xdr:row>22</xdr:row>
      <xdr:rowOff>129541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AA01888-33D4-4A57-BB12-0C5E694948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361950</xdr:colOff>
      <xdr:row>23</xdr:row>
      <xdr:rowOff>85725</xdr:rowOff>
    </xdr:from>
    <xdr:to>
      <xdr:col>20</xdr:col>
      <xdr:colOff>400051</xdr:colOff>
      <xdr:row>38</xdr:row>
      <xdr:rowOff>177166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54344F1-A1C5-4455-8148-6D87F8DC6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16</xdr:col>
      <xdr:colOff>339238</xdr:colOff>
      <xdr:row>28</xdr:row>
      <xdr:rowOff>177166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A8F88A-3858-4A97-A276-6268812C6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25</xdr:col>
      <xdr:colOff>7328</xdr:colOff>
      <xdr:row>28</xdr:row>
      <xdr:rowOff>158116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CC07BE6-29BE-4D4E-86AE-CA1CC2BE66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16</xdr:col>
      <xdr:colOff>339238</xdr:colOff>
      <xdr:row>28</xdr:row>
      <xdr:rowOff>177166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D76DFC-4136-429D-BAA4-460D469461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25</xdr:col>
      <xdr:colOff>7328</xdr:colOff>
      <xdr:row>28</xdr:row>
      <xdr:rowOff>158116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89488D8-DE82-4B63-9B32-2085B8633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16</xdr:col>
      <xdr:colOff>339238</xdr:colOff>
      <xdr:row>28</xdr:row>
      <xdr:rowOff>177166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CCDE43-025A-4665-A084-8056AEA4F6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25</xdr:col>
      <xdr:colOff>7328</xdr:colOff>
      <xdr:row>28</xdr:row>
      <xdr:rowOff>158116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FFD1CF0-E189-45B0-BDB2-84BCD246D8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16</xdr:col>
      <xdr:colOff>339238</xdr:colOff>
      <xdr:row>28</xdr:row>
      <xdr:rowOff>177166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463914-CC19-454A-9C0F-2553AB3D1C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25</xdr:col>
      <xdr:colOff>7328</xdr:colOff>
      <xdr:row>28</xdr:row>
      <xdr:rowOff>158116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B533AAA-03CF-40C3-BCBD-23F211CBFC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16</xdr:col>
      <xdr:colOff>339238</xdr:colOff>
      <xdr:row>28</xdr:row>
      <xdr:rowOff>177166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D82D2B-53CC-4929-AA8F-E168121BF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25</xdr:col>
      <xdr:colOff>7328</xdr:colOff>
      <xdr:row>28</xdr:row>
      <xdr:rowOff>158116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788948-C5F8-48A3-8034-F8523A381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1A59-C38C-4950-ABA3-969C97DFD363}">
  <dimension ref="B2:Y68"/>
  <sheetViews>
    <sheetView topLeftCell="A12" zoomScale="85" zoomScaleNormal="85" workbookViewId="0">
      <selection activeCell="R4" sqref="R4"/>
    </sheetView>
  </sheetViews>
  <sheetFormatPr defaultColWidth="9.140625" defaultRowHeight="15"/>
  <cols>
    <col min="1" max="1" width="11.42578125" bestFit="1" customWidth="1"/>
    <col min="2" max="2" width="12.7109375" customWidth="1"/>
    <col min="3" max="4" width="14.140625" bestFit="1" customWidth="1"/>
    <col min="5" max="5" width="12.42578125" bestFit="1" customWidth="1"/>
    <col min="6" max="6" width="13.5703125" bestFit="1" customWidth="1"/>
    <col min="7" max="7" width="16.7109375" bestFit="1" customWidth="1"/>
    <col min="8" max="8" width="11.140625" customWidth="1"/>
    <col min="9" max="9" width="11.42578125" customWidth="1"/>
    <col min="10" max="10" width="11.7109375" customWidth="1"/>
    <col min="11" max="11" width="12.140625" customWidth="1"/>
    <col min="12" max="12" width="12.140625" bestFit="1" customWidth="1"/>
    <col min="13" max="13" width="11.7109375" bestFit="1" customWidth="1"/>
    <col min="16" max="17" width="10.42578125" bestFit="1" customWidth="1"/>
  </cols>
  <sheetData>
    <row r="2" spans="2:25">
      <c r="B2" s="6" t="s">
        <v>21</v>
      </c>
      <c r="C2" s="5">
        <v>0.05</v>
      </c>
      <c r="D2" s="6" t="s">
        <v>1</v>
      </c>
      <c r="E2" s="5">
        <v>1</v>
      </c>
      <c r="F2" s="3" t="s">
        <v>15</v>
      </c>
      <c r="G2" s="17">
        <v>0.1</v>
      </c>
      <c r="I2" s="12"/>
      <c r="J2" s="12"/>
      <c r="K2" s="12"/>
      <c r="L2" s="12"/>
      <c r="M2" s="12"/>
      <c r="N2" s="12"/>
      <c r="O2" s="12"/>
      <c r="P2" s="12"/>
      <c r="Q2" s="12"/>
      <c r="R2" s="12"/>
      <c r="V2" s="31" t="s">
        <v>16</v>
      </c>
      <c r="W2" s="31"/>
      <c r="X2" s="31"/>
      <c r="Y2" s="31"/>
    </row>
    <row r="3" spans="2:25">
      <c r="B3" s="3" t="s">
        <v>22</v>
      </c>
      <c r="C3" s="4">
        <f>C2/100</f>
        <v>5.0000000000000001E-4</v>
      </c>
      <c r="D3" s="3" t="s">
        <v>2</v>
      </c>
      <c r="E3" s="4">
        <f>E2/1000</f>
        <v>1E-3</v>
      </c>
      <c r="F3" s="2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V3" s="8" t="s">
        <v>9</v>
      </c>
      <c r="W3" s="21">
        <f t="array" ref="W3:X5">LINEST(J9:J27,H9:H27,1,1)</f>
        <v>-1.8624328985096468</v>
      </c>
      <c r="X3" s="21">
        <v>-0.49701224232171709</v>
      </c>
      <c r="Y3" s="8" t="s">
        <v>12</v>
      </c>
    </row>
    <row r="4" spans="2:25">
      <c r="B4" s="12"/>
      <c r="C4" s="12"/>
      <c r="D4" s="12"/>
      <c r="E4" s="12"/>
      <c r="F4" s="12"/>
      <c r="G4" s="12"/>
      <c r="H4" s="12"/>
      <c r="I4" s="12"/>
      <c r="J4" s="12"/>
      <c r="K4" s="12" t="s">
        <v>0</v>
      </c>
      <c r="L4" s="12"/>
      <c r="M4" s="12" t="s">
        <v>0</v>
      </c>
      <c r="N4" s="12"/>
      <c r="O4" s="12"/>
      <c r="P4" s="12" t="s">
        <v>0</v>
      </c>
      <c r="Q4" s="12"/>
      <c r="R4" s="12"/>
      <c r="V4" s="8" t="s">
        <v>10</v>
      </c>
      <c r="W4" s="21">
        <v>2.0482271032996928E-2</v>
      </c>
      <c r="X4" s="21">
        <v>6.4973281493649303E-3</v>
      </c>
      <c r="Y4" s="8" t="s">
        <v>11</v>
      </c>
    </row>
    <row r="5" spans="2:25" ht="17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V5" s="8" t="s">
        <v>14</v>
      </c>
      <c r="W5" s="21">
        <v>0.99794812058629412</v>
      </c>
      <c r="X5" s="21">
        <v>1.9116633586459333E-2</v>
      </c>
      <c r="Y5" s="8" t="s">
        <v>13</v>
      </c>
    </row>
    <row r="6" spans="2:25">
      <c r="B6" s="32" t="s">
        <v>33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R6" s="12"/>
      <c r="V6" s="12"/>
      <c r="W6" s="12"/>
      <c r="X6" s="12"/>
      <c r="Y6" s="12"/>
    </row>
    <row r="7" spans="2:25">
      <c r="B7" s="33" t="s">
        <v>32</v>
      </c>
      <c r="C7" s="33"/>
      <c r="D7" s="33"/>
      <c r="E7" s="12"/>
      <c r="F7" s="12"/>
      <c r="G7" s="12"/>
      <c r="H7" s="12"/>
      <c r="I7" s="12"/>
      <c r="J7" s="12"/>
      <c r="K7" s="12"/>
      <c r="L7" s="12"/>
      <c r="M7" s="12"/>
      <c r="R7" s="12"/>
    </row>
    <row r="8" spans="2:25">
      <c r="B8" s="18" t="str">
        <f>"(d ± "&amp;C2&amp;" ) cm"</f>
        <v>(d ± 0,05 ) cm</v>
      </c>
      <c r="C8" s="11" t="str">
        <f>"(d ± "&amp;C3&amp;" ) m"</f>
        <v>(d ± 0,0005 ) m</v>
      </c>
      <c r="D8" s="11" t="str">
        <f>"(V1 ± "&amp;E2&amp;" ) mV"</f>
        <v>(V1 ± 1 ) mV</v>
      </c>
      <c r="E8" s="11" t="str">
        <f>"(V ± "&amp;E3&amp;" ) V"</f>
        <v>(V ± 0,001 ) V</v>
      </c>
      <c r="F8" s="11" t="str">
        <f>"(V2 ± "&amp;E3&amp;" ) V"</f>
        <v>(V2 ± 0,001 ) V</v>
      </c>
      <c r="G8" s="11" t="str">
        <f>"(Fase ± "&amp;G2&amp;" ) °C"</f>
        <v>(Fase ± 0,1 ) °C</v>
      </c>
      <c r="H8" s="11" t="s">
        <v>3</v>
      </c>
      <c r="I8" s="11" t="s">
        <v>4</v>
      </c>
      <c r="J8" s="11" t="s">
        <v>5</v>
      </c>
      <c r="K8" s="11" t="s">
        <v>6</v>
      </c>
      <c r="L8" s="11" t="s">
        <v>17</v>
      </c>
      <c r="M8" s="11" t="s">
        <v>8</v>
      </c>
      <c r="R8" s="12"/>
    </row>
    <row r="9" spans="2:25">
      <c r="B9" s="22">
        <v>20</v>
      </c>
      <c r="C9" s="35">
        <f>B9/100</f>
        <v>0.2</v>
      </c>
      <c r="D9" s="26">
        <v>6260</v>
      </c>
      <c r="E9" s="5">
        <f>D9/1000</f>
        <v>6.26</v>
      </c>
      <c r="F9" s="5">
        <v>54.8</v>
      </c>
      <c r="G9" s="24">
        <v>24.2</v>
      </c>
      <c r="H9" s="35">
        <f>LOG(C9)</f>
        <v>-0.69897000433601875</v>
      </c>
      <c r="I9" s="35">
        <f>(1/LN(10) *C$3/C9)</f>
        <v>1.0857362047581294E-3</v>
      </c>
      <c r="J9" s="35">
        <f>LOG(E9)</f>
        <v>0.7965743332104297</v>
      </c>
      <c r="K9" s="35">
        <f>(1/LN(10) *E$3/E9)</f>
        <v>6.9376115320008271E-5</v>
      </c>
      <c r="L9" s="35">
        <f>H9*$W$3+$X$3</f>
        <v>0.80477248882511465</v>
      </c>
      <c r="M9" s="35">
        <f t="shared" ref="M9:M28" si="0">J9-L9</f>
        <v>-8.1981556146849544E-3</v>
      </c>
      <c r="R9" s="12"/>
    </row>
    <row r="10" spans="2:25">
      <c r="B10" s="22">
        <v>25</v>
      </c>
      <c r="C10" s="35">
        <f t="shared" ref="C10:C28" si="1">B10/100</f>
        <v>0.25</v>
      </c>
      <c r="D10" s="26">
        <v>4280</v>
      </c>
      <c r="E10" s="5">
        <f t="shared" ref="E10:E27" si="2">D10/1000</f>
        <v>4.28</v>
      </c>
      <c r="F10" s="5">
        <v>54.8</v>
      </c>
      <c r="G10" s="24">
        <v>25.4</v>
      </c>
      <c r="H10" s="35">
        <f t="shared" ref="H10:H28" si="3">LOG(C10)</f>
        <v>-0.6020599913279624</v>
      </c>
      <c r="I10" s="35">
        <f>(1/LN(10) *C$3/C10)</f>
        <v>8.6858896380650357E-4</v>
      </c>
      <c r="J10" s="35">
        <f t="shared" ref="J10:J28" si="4">LOG(E10)</f>
        <v>0.63144376901317201</v>
      </c>
      <c r="K10" s="35">
        <f t="shared" ref="K10:K27" si="5">(1/LN(10) *E$3/E10)</f>
        <v>1.0147067334188125E-4</v>
      </c>
      <c r="L10" s="35">
        <f t="shared" ref="L10:L28" si="6">H10*$W$3+$X$3</f>
        <v>0.62428409240391258</v>
      </c>
      <c r="M10" s="35">
        <f t="shared" si="0"/>
        <v>7.1596766092594244E-3</v>
      </c>
      <c r="N10" s="12"/>
      <c r="O10" s="12"/>
      <c r="P10" s="12"/>
      <c r="Q10" s="12"/>
      <c r="R10" s="12"/>
    </row>
    <row r="11" spans="2:25">
      <c r="B11" s="22">
        <v>30</v>
      </c>
      <c r="C11" s="35">
        <f t="shared" si="1"/>
        <v>0.3</v>
      </c>
      <c r="D11" s="26">
        <v>3040</v>
      </c>
      <c r="E11" s="5">
        <f t="shared" si="2"/>
        <v>3.04</v>
      </c>
      <c r="F11" s="5">
        <v>54.8</v>
      </c>
      <c r="G11" s="24">
        <v>26.5</v>
      </c>
      <c r="H11" s="35">
        <f t="shared" si="3"/>
        <v>-0.52287874528033762</v>
      </c>
      <c r="I11" s="35">
        <f t="shared" ref="I10:I27" si="7">(1/LN(10) *C$3/C11)</f>
        <v>7.2382413650541968E-4</v>
      </c>
      <c r="J11" s="35">
        <f t="shared" si="4"/>
        <v>0.48287358360875376</v>
      </c>
      <c r="K11" s="35">
        <f t="shared" si="5"/>
        <v>1.4286002694185914E-4</v>
      </c>
      <c r="L11" s="35">
        <f t="shared" si="6"/>
        <v>0.47681433481982943</v>
      </c>
      <c r="M11" s="35">
        <f t="shared" si="0"/>
        <v>6.0592487889243318E-3</v>
      </c>
      <c r="N11" s="12"/>
      <c r="O11" s="12"/>
      <c r="P11" s="12"/>
      <c r="Q11" s="12"/>
      <c r="R11" s="12"/>
    </row>
    <row r="12" spans="2:25">
      <c r="B12" s="22">
        <v>35</v>
      </c>
      <c r="C12" s="35">
        <f t="shared" si="1"/>
        <v>0.35</v>
      </c>
      <c r="D12" s="26">
        <v>2280</v>
      </c>
      <c r="E12" s="5">
        <f t="shared" si="2"/>
        <v>2.2799999999999998</v>
      </c>
      <c r="F12" s="5">
        <v>54.8</v>
      </c>
      <c r="G12" s="24">
        <v>26.5</v>
      </c>
      <c r="H12" s="35">
        <f t="shared" si="3"/>
        <v>-0.45593195564972439</v>
      </c>
      <c r="I12" s="35">
        <f t="shared" si="7"/>
        <v>6.204206884332169E-4</v>
      </c>
      <c r="J12" s="35">
        <f t="shared" si="4"/>
        <v>0.35793484700045375</v>
      </c>
      <c r="K12" s="35">
        <f t="shared" si="5"/>
        <v>1.9048003592247886E-4</v>
      </c>
      <c r="L12" s="35">
        <f t="shared" si="6"/>
        <v>0.35213043136217087</v>
      </c>
      <c r="M12" s="35">
        <f t="shared" si="0"/>
        <v>5.8044156382828782E-3</v>
      </c>
      <c r="N12" s="12"/>
      <c r="O12" s="12"/>
      <c r="P12" s="12"/>
      <c r="Q12" s="12"/>
      <c r="R12" s="12"/>
    </row>
    <row r="13" spans="2:25">
      <c r="B13" s="22">
        <v>40</v>
      </c>
      <c r="C13" s="35">
        <f t="shared" si="1"/>
        <v>0.4</v>
      </c>
      <c r="D13" s="26">
        <v>1760</v>
      </c>
      <c r="E13" s="5">
        <f t="shared" si="2"/>
        <v>1.76</v>
      </c>
      <c r="F13" s="5">
        <v>54.8</v>
      </c>
      <c r="G13" s="24">
        <v>27.5</v>
      </c>
      <c r="H13" s="35">
        <f t="shared" si="3"/>
        <v>-0.3979400086720376</v>
      </c>
      <c r="I13" s="35">
        <f t="shared" si="7"/>
        <v>5.4286810237906471E-4</v>
      </c>
      <c r="J13" s="35">
        <f t="shared" si="4"/>
        <v>0.24551266781414982</v>
      </c>
      <c r="K13" s="35">
        <f t="shared" si="5"/>
        <v>2.4675822835412031E-4</v>
      </c>
      <c r="L13" s="35">
        <f t="shared" si="6"/>
        <v>0.24412432146229984</v>
      </c>
      <c r="M13" s="35">
        <f t="shared" si="0"/>
        <v>1.3883463518499783E-3</v>
      </c>
      <c r="N13" s="12"/>
      <c r="O13" s="12"/>
      <c r="P13" s="12"/>
      <c r="Q13" s="12"/>
      <c r="R13" s="12"/>
    </row>
    <row r="14" spans="2:25">
      <c r="B14" s="22">
        <v>45</v>
      </c>
      <c r="C14" s="35">
        <f t="shared" si="1"/>
        <v>0.45</v>
      </c>
      <c r="D14" s="26">
        <v>1400</v>
      </c>
      <c r="E14" s="5">
        <f t="shared" si="2"/>
        <v>1.4</v>
      </c>
      <c r="F14" s="5">
        <v>54.8</v>
      </c>
      <c r="G14" s="24">
        <v>27.4</v>
      </c>
      <c r="H14" s="35">
        <f t="shared" si="3"/>
        <v>-0.34678748622465633</v>
      </c>
      <c r="I14" s="35">
        <f t="shared" si="7"/>
        <v>4.8254942433694642E-4</v>
      </c>
      <c r="J14" s="35">
        <f t="shared" si="4"/>
        <v>0.14612803567823801</v>
      </c>
      <c r="K14" s="35">
        <f t="shared" si="5"/>
        <v>3.1021034421660845E-4</v>
      </c>
      <c r="L14" s="35">
        <f t="shared" si="6"/>
        <v>0.14885618081454383</v>
      </c>
      <c r="M14" s="35">
        <f t="shared" si="0"/>
        <v>-2.7281451363058151E-3</v>
      </c>
      <c r="N14" s="12"/>
      <c r="O14" s="12"/>
      <c r="P14" s="12"/>
      <c r="Q14" s="12"/>
      <c r="R14" s="12"/>
    </row>
    <row r="15" spans="2:25">
      <c r="B15" s="22">
        <v>50</v>
      </c>
      <c r="C15" s="35">
        <f t="shared" si="1"/>
        <v>0.5</v>
      </c>
      <c r="D15" s="26">
        <v>1120</v>
      </c>
      <c r="E15" s="5">
        <f t="shared" si="2"/>
        <v>1.1200000000000001</v>
      </c>
      <c r="F15" s="5">
        <v>54.8</v>
      </c>
      <c r="G15" s="24">
        <v>27.3</v>
      </c>
      <c r="H15" s="35">
        <f t="shared" si="3"/>
        <v>-0.3010299956639812</v>
      </c>
      <c r="I15" s="35">
        <f t="shared" si="7"/>
        <v>4.3429448190325179E-4</v>
      </c>
      <c r="J15" s="35">
        <f t="shared" si="4"/>
        <v>4.9218022670181653E-2</v>
      </c>
      <c r="K15" s="35">
        <f t="shared" si="5"/>
        <v>3.8776293027076048E-4</v>
      </c>
      <c r="L15" s="35">
        <f t="shared" si="6"/>
        <v>6.3635925041097774E-2</v>
      </c>
      <c r="M15" s="35">
        <f t="shared" si="0"/>
        <v>-1.4417902370916121E-2</v>
      </c>
      <c r="N15" s="12"/>
      <c r="O15" s="12"/>
      <c r="P15" s="12"/>
      <c r="Q15" s="12"/>
      <c r="R15" s="12"/>
    </row>
    <row r="16" spans="2:25">
      <c r="B16" s="22">
        <v>55</v>
      </c>
      <c r="C16" s="35">
        <f t="shared" si="1"/>
        <v>0.55000000000000004</v>
      </c>
      <c r="D16" s="26">
        <v>960</v>
      </c>
      <c r="E16" s="5">
        <f t="shared" si="2"/>
        <v>0.96</v>
      </c>
      <c r="F16" s="5">
        <v>54.8</v>
      </c>
      <c r="G16" s="24">
        <v>27.8</v>
      </c>
      <c r="H16" s="35">
        <f t="shared" si="3"/>
        <v>-0.25963731050575611</v>
      </c>
      <c r="I16" s="35">
        <f t="shared" si="7"/>
        <v>3.9481316536659248E-4</v>
      </c>
      <c r="J16" s="35">
        <f t="shared" si="4"/>
        <v>-1.7728766960431602E-2</v>
      </c>
      <c r="K16" s="35">
        <f t="shared" si="5"/>
        <v>4.5239008531588727E-4</v>
      </c>
      <c r="L16" s="35">
        <f t="shared" si="6"/>
        <v>-1.3455173555232569E-2</v>
      </c>
      <c r="M16" s="35">
        <f t="shared" si="0"/>
        <v>-4.2735934051990332E-3</v>
      </c>
      <c r="N16" s="12"/>
      <c r="O16" s="12"/>
      <c r="P16" s="12"/>
      <c r="Q16" s="12"/>
      <c r="R16" s="12"/>
    </row>
    <row r="17" spans="2:18">
      <c r="B17" s="22">
        <v>60</v>
      </c>
      <c r="C17" s="35">
        <f t="shared" si="1"/>
        <v>0.6</v>
      </c>
      <c r="D17" s="26">
        <v>800</v>
      </c>
      <c r="E17" s="5">
        <f t="shared" si="2"/>
        <v>0.8</v>
      </c>
      <c r="F17" s="5">
        <v>54.8</v>
      </c>
      <c r="G17" s="24">
        <v>27.9</v>
      </c>
      <c r="H17" s="35">
        <f t="shared" si="3"/>
        <v>-0.22184874961635639</v>
      </c>
      <c r="I17" s="35">
        <f t="shared" si="7"/>
        <v>3.6191206825270984E-4</v>
      </c>
      <c r="J17" s="35">
        <f t="shared" si="4"/>
        <v>-9.6910013008056392E-2</v>
      </c>
      <c r="K17" s="35">
        <f t="shared" si="5"/>
        <v>5.4286810237906471E-4</v>
      </c>
      <c r="L17" s="35">
        <f t="shared" si="6"/>
        <v>-8.3833832542985542E-2</v>
      </c>
      <c r="M17" s="35">
        <f t="shared" si="0"/>
        <v>-1.307618046507085E-2</v>
      </c>
      <c r="N17" s="12"/>
      <c r="O17" s="12"/>
      <c r="P17" s="12"/>
      <c r="Q17" s="12"/>
      <c r="R17" s="12"/>
    </row>
    <row r="18" spans="2:18">
      <c r="B18" s="22">
        <v>65</v>
      </c>
      <c r="C18" s="35">
        <f t="shared" si="1"/>
        <v>0.65</v>
      </c>
      <c r="D18" s="26">
        <v>720</v>
      </c>
      <c r="E18" s="5">
        <f t="shared" si="2"/>
        <v>0.72</v>
      </c>
      <c r="F18" s="5">
        <v>54.8</v>
      </c>
      <c r="G18" s="24">
        <v>28.1</v>
      </c>
      <c r="H18" s="35">
        <f t="shared" si="3"/>
        <v>-0.18708664335714442</v>
      </c>
      <c r="I18" s="35">
        <f t="shared" si="7"/>
        <v>3.3407267838711675E-4</v>
      </c>
      <c r="J18" s="35">
        <f t="shared" si="4"/>
        <v>-0.14266750356873156</v>
      </c>
      <c r="K18" s="35">
        <f t="shared" si="5"/>
        <v>6.031867804211831E-4</v>
      </c>
      <c r="L18" s="35">
        <f t="shared" si="6"/>
        <v>-0.14857592286163007</v>
      </c>
      <c r="M18" s="35">
        <f t="shared" si="0"/>
        <v>5.9084192928985091E-3</v>
      </c>
      <c r="N18" s="12"/>
      <c r="O18" s="12"/>
      <c r="P18" s="12"/>
      <c r="Q18" s="12"/>
      <c r="R18" s="12"/>
    </row>
    <row r="19" spans="2:18">
      <c r="B19" s="22">
        <v>70</v>
      </c>
      <c r="C19" s="35">
        <f>B19/100</f>
        <v>0.7</v>
      </c>
      <c r="D19" s="26">
        <v>640</v>
      </c>
      <c r="E19" s="5">
        <f t="shared" si="2"/>
        <v>0.64</v>
      </c>
      <c r="F19" s="5">
        <v>54.8</v>
      </c>
      <c r="G19" s="24">
        <v>28.5</v>
      </c>
      <c r="H19" s="35">
        <f t="shared" si="3"/>
        <v>-0.15490195998574319</v>
      </c>
      <c r="I19" s="35">
        <f t="shared" si="7"/>
        <v>3.1021034421660845E-4</v>
      </c>
      <c r="J19" s="35">
        <f>LOG(E19)</f>
        <v>-0.19382002601611281</v>
      </c>
      <c r="K19" s="35">
        <f t="shared" si="5"/>
        <v>6.7858512797383086E-4</v>
      </c>
      <c r="L19" s="35">
        <f t="shared" si="6"/>
        <v>-0.2085177360006441</v>
      </c>
      <c r="M19" s="35">
        <f t="shared" si="0"/>
        <v>1.4697709984531293E-2</v>
      </c>
    </row>
    <row r="20" spans="2:18">
      <c r="B20" s="22">
        <v>75</v>
      </c>
      <c r="C20" s="35">
        <f t="shared" si="1"/>
        <v>0.75</v>
      </c>
      <c r="D20" s="26">
        <v>560</v>
      </c>
      <c r="E20" s="5">
        <f t="shared" si="2"/>
        <v>0.56000000000000005</v>
      </c>
      <c r="F20" s="5">
        <v>54.8</v>
      </c>
      <c r="G20" s="24">
        <v>29.1</v>
      </c>
      <c r="H20" s="35">
        <f t="shared" si="3"/>
        <v>-0.12493873660829995</v>
      </c>
      <c r="I20" s="35">
        <f t="shared" si="7"/>
        <v>2.8952965460216784E-4</v>
      </c>
      <c r="J20" s="35">
        <f t="shared" si="4"/>
        <v>-0.25181197299379954</v>
      </c>
      <c r="K20" s="35">
        <f t="shared" si="5"/>
        <v>7.7552586054152096E-4</v>
      </c>
      <c r="L20" s="35">
        <f t="shared" si="6"/>
        <v>-0.26432222896418767</v>
      </c>
      <c r="M20" s="35">
        <f t="shared" si="0"/>
        <v>1.2510255970388129E-2</v>
      </c>
    </row>
    <row r="21" spans="2:18">
      <c r="B21" s="22">
        <v>80</v>
      </c>
      <c r="C21" s="35">
        <f t="shared" si="1"/>
        <v>0.8</v>
      </c>
      <c r="D21" s="26">
        <v>480</v>
      </c>
      <c r="E21" s="5">
        <f t="shared" si="2"/>
        <v>0.48</v>
      </c>
      <c r="F21" s="5">
        <v>54.8</v>
      </c>
      <c r="G21" s="25">
        <v>29.1</v>
      </c>
      <c r="H21" s="35">
        <f t="shared" si="3"/>
        <v>-9.6910013008056392E-2</v>
      </c>
      <c r="I21" s="35">
        <f t="shared" si="7"/>
        <v>2.7143405118953235E-4</v>
      </c>
      <c r="J21" s="35">
        <f t="shared" si="4"/>
        <v>-0.31875876262441277</v>
      </c>
      <c r="K21" s="35">
        <f t="shared" si="5"/>
        <v>9.0478017063177455E-4</v>
      </c>
      <c r="L21" s="35">
        <f t="shared" si="6"/>
        <v>-0.31652384590051508</v>
      </c>
      <c r="M21" s="35">
        <f t="shared" si="0"/>
        <v>-2.2349167238976952E-3</v>
      </c>
    </row>
    <row r="22" spans="2:18">
      <c r="B22" s="22">
        <v>85</v>
      </c>
      <c r="C22" s="35">
        <f t="shared" si="1"/>
        <v>0.85</v>
      </c>
      <c r="D22" s="26">
        <v>400</v>
      </c>
      <c r="E22" s="5">
        <f t="shared" si="2"/>
        <v>0.4</v>
      </c>
      <c r="F22" s="5">
        <v>54.8</v>
      </c>
      <c r="G22" s="25">
        <v>29</v>
      </c>
      <c r="H22" s="35">
        <f t="shared" si="3"/>
        <v>-7.0581074285707285E-2</v>
      </c>
      <c r="I22" s="35">
        <f t="shared" si="7"/>
        <v>2.5546734229603049E-4</v>
      </c>
      <c r="J22" s="35">
        <f t="shared" si="4"/>
        <v>-0.3979400086720376</v>
      </c>
      <c r="K22" s="35">
        <f t="shared" si="5"/>
        <v>1.0857362047581294E-3</v>
      </c>
      <c r="L22" s="35">
        <f t="shared" si="6"/>
        <v>-0.36555972755986255</v>
      </c>
      <c r="M22" s="35">
        <f t="shared" si="0"/>
        <v>-3.2380281112175058E-2</v>
      </c>
    </row>
    <row r="23" spans="2:18">
      <c r="B23" s="22">
        <v>90</v>
      </c>
      <c r="C23" s="35">
        <f t="shared" si="1"/>
        <v>0.9</v>
      </c>
      <c r="D23" s="26">
        <v>400</v>
      </c>
      <c r="E23" s="5">
        <f t="shared" si="2"/>
        <v>0.4</v>
      </c>
      <c r="F23" s="5">
        <v>54.8</v>
      </c>
      <c r="G23" s="25">
        <v>29.5</v>
      </c>
      <c r="H23" s="35">
        <f t="shared" si="3"/>
        <v>-4.5757490560675115E-2</v>
      </c>
      <c r="I23" s="35">
        <f t="shared" si="7"/>
        <v>2.4127471216847321E-4</v>
      </c>
      <c r="J23" s="35">
        <f t="shared" si="4"/>
        <v>-0.3979400086720376</v>
      </c>
      <c r="K23" s="35">
        <f t="shared" si="5"/>
        <v>1.0857362047581294E-3</v>
      </c>
      <c r="L23" s="35">
        <f t="shared" si="6"/>
        <v>-0.41179198654827115</v>
      </c>
      <c r="M23" s="35">
        <f t="shared" si="0"/>
        <v>1.3851977876233545E-2</v>
      </c>
    </row>
    <row r="24" spans="2:18">
      <c r="B24" s="22">
        <v>95</v>
      </c>
      <c r="C24" s="35">
        <f t="shared" si="1"/>
        <v>0.95</v>
      </c>
      <c r="D24" s="26">
        <v>360</v>
      </c>
      <c r="E24" s="5">
        <f t="shared" si="2"/>
        <v>0.36</v>
      </c>
      <c r="F24" s="5">
        <v>54.8</v>
      </c>
      <c r="G24" s="25">
        <v>59.6</v>
      </c>
      <c r="H24" s="35">
        <f t="shared" si="3"/>
        <v>-2.2276394711152253E-2</v>
      </c>
      <c r="I24" s="35">
        <f t="shared" si="7"/>
        <v>2.2857604310697464E-4</v>
      </c>
      <c r="J24" s="35">
        <f t="shared" si="4"/>
        <v>-0.44369749923271273</v>
      </c>
      <c r="K24" s="35">
        <f t="shared" si="5"/>
        <v>1.2063735608423662E-3</v>
      </c>
      <c r="L24" s="35">
        <f t="shared" si="6"/>
        <v>-0.45552395195148082</v>
      </c>
      <c r="M24" s="35">
        <f t="shared" si="0"/>
        <v>1.1826452718768088E-2</v>
      </c>
    </row>
    <row r="25" spans="2:18">
      <c r="B25" s="22">
        <v>100</v>
      </c>
      <c r="C25" s="35">
        <f t="shared" si="1"/>
        <v>1</v>
      </c>
      <c r="D25" s="26">
        <v>320</v>
      </c>
      <c r="E25" s="5">
        <f t="shared" si="2"/>
        <v>0.32</v>
      </c>
      <c r="F25" s="5">
        <v>54.8</v>
      </c>
      <c r="G25" s="25">
        <v>61.4</v>
      </c>
      <c r="H25" s="35">
        <f>LOG(C25)</f>
        <v>0</v>
      </c>
      <c r="I25" s="35">
        <f t="shared" si="7"/>
        <v>2.1714724095162589E-4</v>
      </c>
      <c r="J25" s="35">
        <f t="shared" si="4"/>
        <v>-0.49485002168009401</v>
      </c>
      <c r="K25" s="35">
        <f t="shared" si="5"/>
        <v>1.3571702559476617E-3</v>
      </c>
      <c r="L25" s="35">
        <f t="shared" si="6"/>
        <v>-0.49701224232171709</v>
      </c>
      <c r="M25" s="35">
        <f t="shared" si="0"/>
        <v>2.1622206416230805E-3</v>
      </c>
    </row>
    <row r="26" spans="2:18">
      <c r="B26" s="22">
        <v>105</v>
      </c>
      <c r="C26" s="35">
        <f t="shared" si="1"/>
        <v>1.05</v>
      </c>
      <c r="D26" s="26">
        <v>320</v>
      </c>
      <c r="E26" s="5">
        <f t="shared" si="2"/>
        <v>0.32</v>
      </c>
      <c r="F26" s="5">
        <v>54.8</v>
      </c>
      <c r="G26" s="25">
        <v>60</v>
      </c>
      <c r="H26" s="35">
        <f t="shared" si="3"/>
        <v>2.1189299069938092E-2</v>
      </c>
      <c r="I26" s="35">
        <f t="shared" si="7"/>
        <v>2.0680689614440562E-4</v>
      </c>
      <c r="J26" s="35">
        <f t="shared" si="4"/>
        <v>-0.49485002168009401</v>
      </c>
      <c r="K26" s="35">
        <f t="shared" si="5"/>
        <v>1.3571702559476617E-3</v>
      </c>
      <c r="L26" s="35">
        <f t="shared" si="6"/>
        <v>-0.53647589000592966</v>
      </c>
      <c r="M26" s="35">
        <f t="shared" si="0"/>
        <v>4.1625868325835647E-2</v>
      </c>
    </row>
    <row r="27" spans="2:18">
      <c r="B27" s="22">
        <v>110</v>
      </c>
      <c r="C27" s="35">
        <f t="shared" si="1"/>
        <v>1.1000000000000001</v>
      </c>
      <c r="D27" s="26">
        <v>240</v>
      </c>
      <c r="E27" s="5">
        <f t="shared" si="2"/>
        <v>0.24</v>
      </c>
      <c r="F27" s="5">
        <v>54.8</v>
      </c>
      <c r="G27" s="25">
        <v>60.5</v>
      </c>
      <c r="H27" s="35">
        <f t="shared" si="3"/>
        <v>4.1392685158225077E-2</v>
      </c>
      <c r="I27" s="35">
        <f t="shared" si="7"/>
        <v>1.9740658268329624E-4</v>
      </c>
      <c r="J27" s="35">
        <f t="shared" si="4"/>
        <v>-0.61978875828839397</v>
      </c>
      <c r="K27" s="35">
        <f t="shared" si="5"/>
        <v>1.8095603412635491E-3</v>
      </c>
      <c r="L27" s="35">
        <f t="shared" si="6"/>
        <v>-0.57410334091804749</v>
      </c>
      <c r="M27" s="35">
        <f t="shared" si="0"/>
        <v>-4.5685417370346482E-2</v>
      </c>
    </row>
    <row r="33" spans="2:13">
      <c r="B33" s="32" t="s">
        <v>34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</row>
    <row r="34" spans="2:13">
      <c r="B34" s="33" t="s">
        <v>32</v>
      </c>
      <c r="C34" s="33"/>
      <c r="D34" s="33"/>
      <c r="E34" s="12"/>
      <c r="F34" s="12" t="s">
        <v>29</v>
      </c>
      <c r="G34" s="12"/>
      <c r="H34" s="12"/>
      <c r="I34" s="12"/>
      <c r="J34" s="12"/>
      <c r="K34" s="12"/>
      <c r="L34" s="12"/>
      <c r="M34" s="12"/>
    </row>
    <row r="35" spans="2:13">
      <c r="B35" s="18" t="str">
        <f>"(d ± "&amp;C2&amp;" ) cm"</f>
        <v>(d ± 0,05 ) cm</v>
      </c>
      <c r="C35" s="11" t="str">
        <f>"(d ± "&amp;C3&amp;" ) m"</f>
        <v>(d ± 0,0005 ) m</v>
      </c>
      <c r="D35" s="11" t="str">
        <f>"(V1 ± "&amp;E2&amp;" ) mV"</f>
        <v>(V1 ± 1 ) mV</v>
      </c>
      <c r="E35" s="11" t="str">
        <f>"(V ± "&amp;E3&amp;" ) V"</f>
        <v>(V ± 0,001 ) V</v>
      </c>
      <c r="F35" s="11" t="str">
        <f>"(V2 ± "&amp;E3&amp;" ) V"</f>
        <v>(V2 ± 0,001 ) V</v>
      </c>
      <c r="G35" s="11" t="str">
        <f>"(Fase ± "&amp;G2&amp;" ) °C"</f>
        <v>(Fase ± 0,1 ) °C</v>
      </c>
      <c r="H35" s="11" t="s">
        <v>3</v>
      </c>
      <c r="I35" s="11" t="s">
        <v>4</v>
      </c>
      <c r="J35" s="11" t="s">
        <v>5</v>
      </c>
      <c r="K35" s="11" t="s">
        <v>6</v>
      </c>
      <c r="L35" s="11" t="s">
        <v>17</v>
      </c>
      <c r="M35" s="11" t="s">
        <v>8</v>
      </c>
    </row>
    <row r="36" spans="2:13">
      <c r="B36" s="22">
        <v>20</v>
      </c>
      <c r="C36" s="35">
        <f>B36/100</f>
        <v>0.2</v>
      </c>
      <c r="D36" s="26">
        <v>6280</v>
      </c>
      <c r="E36" s="5">
        <v>6.28</v>
      </c>
      <c r="F36" s="5">
        <v>50.8</v>
      </c>
      <c r="G36" s="24">
        <v>24.2</v>
      </c>
      <c r="H36" s="35">
        <f>LOG(C36)</f>
        <v>-0.69897000433601875</v>
      </c>
      <c r="I36" s="35">
        <f>(1/LN(10) *C$3/C36)</f>
        <v>1.0857362047581294E-3</v>
      </c>
      <c r="J36" s="35">
        <f>LOG(E36)</f>
        <v>0.79795964373719619</v>
      </c>
      <c r="K36" s="35">
        <f>(1/LN(10) *E$3/E36)</f>
        <v>6.9155172277587864E-5</v>
      </c>
      <c r="L36" s="35">
        <f>H36*$P$59+$Q$59</f>
        <v>0.80300214925518421</v>
      </c>
      <c r="M36" s="35">
        <f t="shared" ref="M36:M54" si="8">J36-L36</f>
        <v>-5.0425055179880163E-3</v>
      </c>
    </row>
    <row r="37" spans="2:13">
      <c r="B37" s="22">
        <v>25</v>
      </c>
      <c r="C37" s="35">
        <f t="shared" ref="C37:C45" si="9">B37/100</f>
        <v>0.25</v>
      </c>
      <c r="D37" s="26">
        <v>4200</v>
      </c>
      <c r="E37" s="5">
        <v>4.2</v>
      </c>
      <c r="F37" s="5">
        <v>50.8</v>
      </c>
      <c r="G37" s="24">
        <v>24.7</v>
      </c>
      <c r="H37" s="35">
        <f t="shared" ref="H37:H54" si="10">LOG(C37)</f>
        <v>-0.6020599913279624</v>
      </c>
      <c r="I37" s="35">
        <f t="shared" ref="I37:I54" si="11">(1/LN(10) *C$3/C37)</f>
        <v>8.6858896380650357E-4</v>
      </c>
      <c r="J37" s="35">
        <f t="shared" ref="J37:J45" si="12">LOG(E37)</f>
        <v>0.62324929039790045</v>
      </c>
      <c r="K37" s="35">
        <f t="shared" ref="K37:K54" si="13">(1/LN(10) *E$3/E37)</f>
        <v>1.0340344807220281E-4</v>
      </c>
      <c r="L37" s="35">
        <f t="shared" ref="L37:L54" si="14">H37*$P$59+$Q$59</f>
        <v>0.62080231396106567</v>
      </c>
      <c r="M37" s="35">
        <f t="shared" si="8"/>
        <v>2.4469764368347802E-3</v>
      </c>
    </row>
    <row r="38" spans="2:13">
      <c r="B38" s="22">
        <v>30</v>
      </c>
      <c r="C38" s="35">
        <f t="shared" si="9"/>
        <v>0.3</v>
      </c>
      <c r="D38" s="26">
        <v>3000</v>
      </c>
      <c r="E38" s="5">
        <v>3</v>
      </c>
      <c r="F38" s="5">
        <v>50.8</v>
      </c>
      <c r="G38" s="24">
        <v>25.4</v>
      </c>
      <c r="H38" s="35">
        <f t="shared" si="10"/>
        <v>-0.52287874528033762</v>
      </c>
      <c r="I38" s="35">
        <f t="shared" si="11"/>
        <v>7.2382413650541968E-4</v>
      </c>
      <c r="J38" s="35">
        <f t="shared" si="12"/>
        <v>0.47712125471966244</v>
      </c>
      <c r="K38" s="35">
        <f t="shared" si="13"/>
        <v>1.4476482730108392E-4</v>
      </c>
      <c r="L38" s="35">
        <f t="shared" si="14"/>
        <v>0.47193420900001304</v>
      </c>
      <c r="M38" s="35">
        <f t="shared" si="8"/>
        <v>5.1870457196493969E-3</v>
      </c>
    </row>
    <row r="39" spans="2:13">
      <c r="B39" s="22">
        <v>35</v>
      </c>
      <c r="C39" s="35">
        <f t="shared" si="9"/>
        <v>0.35</v>
      </c>
      <c r="D39" s="26">
        <v>2240</v>
      </c>
      <c r="E39" s="5">
        <v>2.2400000000000002</v>
      </c>
      <c r="F39" s="5">
        <v>50.8</v>
      </c>
      <c r="G39" s="24">
        <v>26.9</v>
      </c>
      <c r="H39" s="35">
        <f t="shared" si="10"/>
        <v>-0.45593195564972439</v>
      </c>
      <c r="I39" s="35">
        <f t="shared" si="11"/>
        <v>6.204206884332169E-4</v>
      </c>
      <c r="J39" s="35">
        <f t="shared" si="12"/>
        <v>0.35024801833416286</v>
      </c>
      <c r="K39" s="35">
        <f t="shared" si="13"/>
        <v>1.9388146513538024E-4</v>
      </c>
      <c r="L39" s="35">
        <f t="shared" si="14"/>
        <v>0.34606801968112699</v>
      </c>
      <c r="M39" s="35">
        <f t="shared" si="8"/>
        <v>4.1799986530358657E-3</v>
      </c>
    </row>
    <row r="40" spans="2:13">
      <c r="B40" s="22">
        <v>40</v>
      </c>
      <c r="C40" s="35">
        <f t="shared" si="9"/>
        <v>0.4</v>
      </c>
      <c r="D40" s="26">
        <v>1760</v>
      </c>
      <c r="E40" s="5">
        <v>1.76</v>
      </c>
      <c r="F40" s="5">
        <v>50.8</v>
      </c>
      <c r="G40" s="24">
        <v>26.7</v>
      </c>
      <c r="H40" s="35">
        <f t="shared" si="10"/>
        <v>-0.3979400086720376</v>
      </c>
      <c r="I40" s="35">
        <f t="shared" si="11"/>
        <v>5.4286810237906471E-4</v>
      </c>
      <c r="J40" s="35">
        <f t="shared" si="12"/>
        <v>0.24551266781414982</v>
      </c>
      <c r="K40" s="35">
        <f t="shared" si="13"/>
        <v>2.4675822835412031E-4</v>
      </c>
      <c r="L40" s="35">
        <f t="shared" si="14"/>
        <v>0.23703776718449998</v>
      </c>
      <c r="M40" s="35">
        <f t="shared" si="8"/>
        <v>8.4749006296498397E-3</v>
      </c>
    </row>
    <row r="41" spans="2:13">
      <c r="B41" s="22">
        <v>45</v>
      </c>
      <c r="C41" s="35">
        <f t="shared" si="9"/>
        <v>0.45</v>
      </c>
      <c r="D41" s="26">
        <v>1400</v>
      </c>
      <c r="E41" s="5">
        <v>1.4</v>
      </c>
      <c r="F41" s="5">
        <v>50.8</v>
      </c>
      <c r="G41" s="24">
        <v>27.2</v>
      </c>
      <c r="H41" s="35">
        <f t="shared" si="10"/>
        <v>-0.34678748622465633</v>
      </c>
      <c r="I41" s="35">
        <f t="shared" si="11"/>
        <v>4.8254942433694642E-4</v>
      </c>
      <c r="J41" s="35">
        <f t="shared" si="12"/>
        <v>0.14612803567823801</v>
      </c>
      <c r="K41" s="35">
        <f t="shared" si="13"/>
        <v>3.1021034421660845E-4</v>
      </c>
      <c r="L41" s="35">
        <f t="shared" si="14"/>
        <v>0.14086626874484154</v>
      </c>
      <c r="M41" s="35">
        <f t="shared" si="8"/>
        <v>5.2617669333964723E-3</v>
      </c>
    </row>
    <row r="42" spans="2:13">
      <c r="B42" s="22">
        <v>50</v>
      </c>
      <c r="C42" s="35">
        <f t="shared" si="9"/>
        <v>0.5</v>
      </c>
      <c r="D42" s="26">
        <v>1120</v>
      </c>
      <c r="E42" s="5">
        <v>1.1200000000000001</v>
      </c>
      <c r="F42" s="5">
        <v>50.8</v>
      </c>
      <c r="G42" s="24">
        <v>26.9</v>
      </c>
      <c r="H42" s="35">
        <f t="shared" si="10"/>
        <v>-0.3010299956639812</v>
      </c>
      <c r="I42" s="35">
        <f t="shared" si="11"/>
        <v>4.3429448190325179E-4</v>
      </c>
      <c r="J42" s="35">
        <f t="shared" si="12"/>
        <v>4.9218022670181653E-2</v>
      </c>
      <c r="K42" s="35">
        <f t="shared" si="13"/>
        <v>3.8776293027076048E-4</v>
      </c>
      <c r="L42" s="35">
        <f t="shared" si="14"/>
        <v>5.4837931890381331E-2</v>
      </c>
      <c r="M42" s="35">
        <f t="shared" si="8"/>
        <v>-5.6199092201996773E-3</v>
      </c>
    </row>
    <row r="43" spans="2:13">
      <c r="B43" s="22">
        <v>55</v>
      </c>
      <c r="C43" s="35">
        <f t="shared" si="9"/>
        <v>0.55000000000000004</v>
      </c>
      <c r="D43" s="26">
        <v>960</v>
      </c>
      <c r="E43" s="5">
        <f>D43/1000</f>
        <v>0.96</v>
      </c>
      <c r="F43" s="5">
        <v>50.8</v>
      </c>
      <c r="G43" s="24">
        <v>28.2</v>
      </c>
      <c r="H43" s="35">
        <f t="shared" si="10"/>
        <v>-0.25963731050575611</v>
      </c>
      <c r="I43" s="35">
        <f t="shared" si="11"/>
        <v>3.9481316536659248E-4</v>
      </c>
      <c r="J43" s="35">
        <f t="shared" si="12"/>
        <v>-1.7728766960431602E-2</v>
      </c>
      <c r="K43" s="35">
        <f t="shared" si="13"/>
        <v>4.5239008531588727E-4</v>
      </c>
      <c r="L43" s="35">
        <f t="shared" si="14"/>
        <v>-2.2984164961292297E-2</v>
      </c>
      <c r="M43" s="35">
        <f t="shared" si="8"/>
        <v>5.2553980008606949E-3</v>
      </c>
    </row>
    <row r="44" spans="2:13">
      <c r="B44" s="22">
        <v>60</v>
      </c>
      <c r="C44" s="35">
        <f t="shared" si="9"/>
        <v>0.6</v>
      </c>
      <c r="D44" s="26">
        <v>800</v>
      </c>
      <c r="E44" s="5">
        <f t="shared" ref="E44:E54" si="15">D44/1000</f>
        <v>0.8</v>
      </c>
      <c r="F44" s="5">
        <v>50.8</v>
      </c>
      <c r="G44" s="24">
        <v>28.2</v>
      </c>
      <c r="H44" s="35">
        <f t="shared" si="10"/>
        <v>-0.22184874961635639</v>
      </c>
      <c r="I44" s="35">
        <f>(1/LN(10) *C$3/C44)</f>
        <v>3.6191206825270984E-4</v>
      </c>
      <c r="J44" s="35">
        <f t="shared" si="12"/>
        <v>-9.6910013008056392E-2</v>
      </c>
      <c r="K44" s="35">
        <f t="shared" si="13"/>
        <v>5.4286810237906471E-4</v>
      </c>
      <c r="L44" s="35">
        <f t="shared" si="14"/>
        <v>-9.4030173070671352E-2</v>
      </c>
      <c r="M44" s="35">
        <f t="shared" si="8"/>
        <v>-2.8798399373850397E-3</v>
      </c>
    </row>
    <row r="45" spans="2:13">
      <c r="B45" s="22">
        <v>65</v>
      </c>
      <c r="C45" s="35">
        <f t="shared" si="9"/>
        <v>0.65</v>
      </c>
      <c r="D45" s="26">
        <v>680</v>
      </c>
      <c r="E45" s="5">
        <f t="shared" si="15"/>
        <v>0.68</v>
      </c>
      <c r="F45" s="5">
        <v>50.8</v>
      </c>
      <c r="G45" s="24">
        <v>28.2</v>
      </c>
      <c r="H45" s="35">
        <f t="shared" si="10"/>
        <v>-0.18708664335714442</v>
      </c>
      <c r="I45" s="35">
        <f t="shared" si="11"/>
        <v>3.3407267838711675E-4</v>
      </c>
      <c r="J45" s="35">
        <f t="shared" si="12"/>
        <v>-0.16749108729376366</v>
      </c>
      <c r="K45" s="35">
        <f t="shared" si="13"/>
        <v>6.3866835574007607E-4</v>
      </c>
      <c r="L45" s="35">
        <f t="shared" si="14"/>
        <v>-0.15938616507098752</v>
      </c>
      <c r="M45" s="35">
        <f t="shared" si="8"/>
        <v>-8.1049222227761453E-3</v>
      </c>
    </row>
    <row r="46" spans="2:13">
      <c r="B46" s="22">
        <v>70</v>
      </c>
      <c r="C46" s="35">
        <f>B46/100</f>
        <v>0.7</v>
      </c>
      <c r="D46" s="26">
        <v>600</v>
      </c>
      <c r="E46" s="5">
        <f t="shared" si="15"/>
        <v>0.6</v>
      </c>
      <c r="F46" s="5">
        <v>50.8</v>
      </c>
      <c r="G46" s="24">
        <v>28.5</v>
      </c>
      <c r="H46" s="35">
        <f t="shared" si="10"/>
        <v>-0.15490195998574319</v>
      </c>
      <c r="I46" s="35">
        <f t="shared" si="11"/>
        <v>3.1021034421660845E-4</v>
      </c>
      <c r="J46" s="35">
        <f>LOG(E46)</f>
        <v>-0.22184874961635639</v>
      </c>
      <c r="K46" s="35">
        <f t="shared" si="13"/>
        <v>7.2382413650541968E-4</v>
      </c>
      <c r="L46" s="35">
        <f t="shared" si="14"/>
        <v>-0.2198963623895574</v>
      </c>
      <c r="M46" s="35">
        <f t="shared" si="8"/>
        <v>-1.9523872267989961E-3</v>
      </c>
    </row>
    <row r="47" spans="2:13">
      <c r="B47" s="22">
        <v>75</v>
      </c>
      <c r="C47" s="35">
        <f t="shared" ref="C47:C54" si="16">B47/100</f>
        <v>0.75</v>
      </c>
      <c r="D47" s="26">
        <v>520</v>
      </c>
      <c r="E47" s="5">
        <f t="shared" si="15"/>
        <v>0.52</v>
      </c>
      <c r="F47" s="5">
        <v>50.8</v>
      </c>
      <c r="G47" s="24">
        <v>28</v>
      </c>
      <c r="H47" s="35">
        <f t="shared" si="10"/>
        <v>-0.12493873660829995</v>
      </c>
      <c r="I47" s="35">
        <f t="shared" si="11"/>
        <v>2.8952965460216784E-4</v>
      </c>
      <c r="J47" s="35">
        <f t="shared" ref="J47:J54" si="17">LOG(E47)</f>
        <v>-0.28399665636520083</v>
      </c>
      <c r="K47" s="35">
        <f t="shared" si="13"/>
        <v>8.3518169596779191E-4</v>
      </c>
      <c r="L47" s="35">
        <f t="shared" si="14"/>
        <v>-0.27623000836479006</v>
      </c>
      <c r="M47" s="35">
        <f t="shared" si="8"/>
        <v>-7.7666480004107696E-3</v>
      </c>
    </row>
    <row r="48" spans="2:13">
      <c r="B48" s="22">
        <v>80</v>
      </c>
      <c r="C48" s="35">
        <f t="shared" si="16"/>
        <v>0.8</v>
      </c>
      <c r="D48" s="26">
        <v>440</v>
      </c>
      <c r="E48" s="5">
        <f t="shared" si="15"/>
        <v>0.44</v>
      </c>
      <c r="F48" s="5">
        <v>50.8</v>
      </c>
      <c r="G48" s="25">
        <v>28</v>
      </c>
      <c r="H48" s="35">
        <f t="shared" si="10"/>
        <v>-9.6910013008056392E-2</v>
      </c>
      <c r="I48" s="35">
        <f t="shared" si="11"/>
        <v>2.7143405118953235E-4</v>
      </c>
      <c r="J48" s="35">
        <f t="shared" si="17"/>
        <v>-0.35654732351381258</v>
      </c>
      <c r="K48" s="35">
        <f t="shared" si="13"/>
        <v>9.8703291341648122E-4</v>
      </c>
      <c r="L48" s="35">
        <f t="shared" si="14"/>
        <v>-0.32892661488618435</v>
      </c>
      <c r="M48" s="35">
        <f t="shared" si="8"/>
        <v>-2.7620708627628221E-2</v>
      </c>
    </row>
    <row r="49" spans="2:18">
      <c r="B49" s="22">
        <v>85</v>
      </c>
      <c r="C49" s="35">
        <f t="shared" si="16"/>
        <v>0.85</v>
      </c>
      <c r="D49" s="26">
        <v>440</v>
      </c>
      <c r="E49" s="5">
        <f t="shared" si="15"/>
        <v>0.44</v>
      </c>
      <c r="F49" s="5">
        <v>50.8</v>
      </c>
      <c r="G49" s="25">
        <v>27.8</v>
      </c>
      <c r="H49" s="35">
        <f t="shared" si="10"/>
        <v>-7.0581074285707285E-2</v>
      </c>
      <c r="I49" s="35">
        <f t="shared" si="11"/>
        <v>2.5546734229603049E-4</v>
      </c>
      <c r="J49" s="35">
        <f t="shared" si="17"/>
        <v>-0.35654732351381258</v>
      </c>
      <c r="K49" s="35">
        <f t="shared" si="13"/>
        <v>9.8703291341648122E-4</v>
      </c>
      <c r="L49" s="35">
        <f t="shared" si="14"/>
        <v>-0.378427467788579</v>
      </c>
      <c r="M49" s="35">
        <f t="shared" si="8"/>
        <v>2.1880144274766422E-2</v>
      </c>
    </row>
    <row r="50" spans="2:18">
      <c r="B50" s="22">
        <v>90</v>
      </c>
      <c r="C50" s="35">
        <f t="shared" si="16"/>
        <v>0.9</v>
      </c>
      <c r="D50" s="26">
        <v>360</v>
      </c>
      <c r="E50" s="5">
        <f t="shared" si="15"/>
        <v>0.36</v>
      </c>
      <c r="F50" s="5">
        <v>50.8</v>
      </c>
      <c r="G50" s="25">
        <v>27.5</v>
      </c>
      <c r="H50" s="35">
        <f t="shared" si="10"/>
        <v>-4.5757490560675115E-2</v>
      </c>
      <c r="I50" s="35">
        <f t="shared" si="11"/>
        <v>2.4127471216847321E-4</v>
      </c>
      <c r="J50" s="35">
        <f t="shared" si="17"/>
        <v>-0.44369749923271273</v>
      </c>
      <c r="K50" s="35">
        <f t="shared" si="13"/>
        <v>1.2063735608423662E-3</v>
      </c>
      <c r="L50" s="35">
        <f t="shared" si="14"/>
        <v>-0.4250981133258428</v>
      </c>
      <c r="M50" s="35">
        <f t="shared" si="8"/>
        <v>-1.8599385906869936E-2</v>
      </c>
    </row>
    <row r="51" spans="2:18">
      <c r="B51" s="22">
        <v>95</v>
      </c>
      <c r="C51" s="35">
        <f t="shared" si="16"/>
        <v>0.95</v>
      </c>
      <c r="D51" s="26">
        <v>320</v>
      </c>
      <c r="E51" s="5">
        <f t="shared" si="15"/>
        <v>0.32</v>
      </c>
      <c r="F51" s="5">
        <v>50.8</v>
      </c>
      <c r="G51" s="25">
        <v>28.5</v>
      </c>
      <c r="H51" s="35">
        <f t="shared" si="10"/>
        <v>-2.2276394711152253E-2</v>
      </c>
      <c r="I51" s="35">
        <f t="shared" si="11"/>
        <v>2.2857604310697464E-4</v>
      </c>
      <c r="J51" s="35">
        <f t="shared" si="17"/>
        <v>-0.49485002168009401</v>
      </c>
      <c r="K51" s="35">
        <f t="shared" si="13"/>
        <v>1.3571702559476617E-3</v>
      </c>
      <c r="L51" s="35">
        <f t="shared" si="14"/>
        <v>-0.46924475683060446</v>
      </c>
      <c r="M51" s="35">
        <f t="shared" si="8"/>
        <v>-2.5605264849489551E-2</v>
      </c>
    </row>
    <row r="52" spans="2:18">
      <c r="B52" s="22">
        <v>100</v>
      </c>
      <c r="C52" s="35">
        <f t="shared" si="16"/>
        <v>1</v>
      </c>
      <c r="D52" s="26">
        <v>320</v>
      </c>
      <c r="E52" s="5">
        <f t="shared" si="15"/>
        <v>0.32</v>
      </c>
      <c r="F52" s="5">
        <v>50.8</v>
      </c>
      <c r="G52" s="25">
        <v>28.2</v>
      </c>
      <c r="H52" s="35">
        <f t="shared" si="10"/>
        <v>0</v>
      </c>
      <c r="I52" s="35">
        <f t="shared" si="11"/>
        <v>2.1714724095162589E-4</v>
      </c>
      <c r="J52" s="35">
        <f t="shared" si="17"/>
        <v>-0.49485002168009401</v>
      </c>
      <c r="K52" s="35">
        <f t="shared" si="13"/>
        <v>1.3571702559476617E-3</v>
      </c>
      <c r="L52" s="35">
        <f t="shared" si="14"/>
        <v>-0.511126450180303</v>
      </c>
      <c r="M52" s="35">
        <f t="shared" si="8"/>
        <v>1.6276428500208995E-2</v>
      </c>
    </row>
    <row r="53" spans="2:18">
      <c r="B53" s="22">
        <v>105</v>
      </c>
      <c r="C53" s="35">
        <f t="shared" si="16"/>
        <v>1.05</v>
      </c>
      <c r="D53" s="26">
        <v>280</v>
      </c>
      <c r="E53" s="5">
        <f t="shared" si="15"/>
        <v>0.28000000000000003</v>
      </c>
      <c r="F53" s="5">
        <v>50.8</v>
      </c>
      <c r="G53" s="25">
        <v>29.7</v>
      </c>
      <c r="H53" s="35">
        <f t="shared" si="10"/>
        <v>2.1189299069938092E-2</v>
      </c>
      <c r="I53" s="35">
        <f t="shared" si="11"/>
        <v>2.0680689614440562E-4</v>
      </c>
      <c r="J53" s="35">
        <f t="shared" si="17"/>
        <v>-0.55284196865778079</v>
      </c>
      <c r="K53" s="35">
        <f t="shared" si="13"/>
        <v>1.5510517210830419E-3</v>
      </c>
      <c r="L53" s="35">
        <f t="shared" si="14"/>
        <v>-0.55096430264472884</v>
      </c>
      <c r="M53" s="35">
        <f t="shared" si="8"/>
        <v>-1.8776660130519485E-3</v>
      </c>
    </row>
    <row r="54" spans="2:18">
      <c r="B54" s="22">
        <v>110</v>
      </c>
      <c r="C54" s="35">
        <f t="shared" si="16"/>
        <v>1.1000000000000001</v>
      </c>
      <c r="D54" s="26">
        <v>280</v>
      </c>
      <c r="E54" s="5">
        <f t="shared" si="15"/>
        <v>0.28000000000000003</v>
      </c>
      <c r="F54" s="35">
        <v>50.8</v>
      </c>
      <c r="G54" s="25">
        <v>30.6</v>
      </c>
      <c r="H54" s="35">
        <f t="shared" si="10"/>
        <v>4.1392685158225077E-2</v>
      </c>
      <c r="I54" s="35">
        <f t="shared" si="11"/>
        <v>1.9740658268329624E-4</v>
      </c>
      <c r="J54" s="35">
        <f t="shared" si="17"/>
        <v>-0.55284196865778079</v>
      </c>
      <c r="K54" s="35">
        <f t="shared" si="13"/>
        <v>1.5510517210830419E-3</v>
      </c>
      <c r="L54" s="35">
        <f t="shared" si="14"/>
        <v>-0.58894854703197663</v>
      </c>
      <c r="M54" s="35">
        <f t="shared" si="8"/>
        <v>3.6106578374195841E-2</v>
      </c>
    </row>
    <row r="56" spans="2:18">
      <c r="E56">
        <v>6280</v>
      </c>
    </row>
    <row r="57" spans="2:18">
      <c r="E57">
        <v>4200</v>
      </c>
    </row>
    <row r="58" spans="2:18">
      <c r="E58">
        <v>3000</v>
      </c>
      <c r="O58" s="39" t="s">
        <v>16</v>
      </c>
      <c r="P58" s="39"/>
      <c r="Q58" s="39"/>
      <c r="R58" s="39"/>
    </row>
    <row r="59" spans="2:18">
      <c r="E59">
        <v>2240</v>
      </c>
      <c r="O59" s="9" t="s">
        <v>9</v>
      </c>
      <c r="P59" s="35">
        <f t="array" ref="P59:Q61">LINEST(J36:J54,H36:H54,1,1)</f>
        <v>-1.8800929815061718</v>
      </c>
      <c r="Q59" s="35">
        <v>-0.511126450180303</v>
      </c>
      <c r="R59" s="9" t="s">
        <v>12</v>
      </c>
    </row>
    <row r="60" spans="2:18">
      <c r="E60">
        <v>1760</v>
      </c>
      <c r="O60" s="9" t="s">
        <v>10</v>
      </c>
      <c r="P60" s="35">
        <v>1.681681476644592E-2</v>
      </c>
      <c r="Q60" s="35">
        <v>5.3345824683532434E-3</v>
      </c>
      <c r="R60" s="9" t="s">
        <v>11</v>
      </c>
    </row>
    <row r="61" spans="2:18" ht="17.25">
      <c r="E61">
        <v>1400</v>
      </c>
      <c r="O61" s="9" t="s">
        <v>14</v>
      </c>
      <c r="P61" s="35">
        <v>0.99864172579165378</v>
      </c>
      <c r="Q61" s="35">
        <v>1.5695568399793157E-2</v>
      </c>
      <c r="R61" s="9" t="s">
        <v>13</v>
      </c>
    </row>
    <row r="62" spans="2:18">
      <c r="E62">
        <v>1120</v>
      </c>
    </row>
    <row r="67" spans="12:12">
      <c r="L67" t="s">
        <v>35</v>
      </c>
    </row>
    <row r="68" spans="12:12">
      <c r="L68" t="s">
        <v>36</v>
      </c>
    </row>
  </sheetData>
  <mergeCells count="6">
    <mergeCell ref="V2:Y2"/>
    <mergeCell ref="B6:M6"/>
    <mergeCell ref="B33:M33"/>
    <mergeCell ref="O58:R58"/>
    <mergeCell ref="B34:D34"/>
    <mergeCell ref="B7:D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8F16-3380-4BBB-8E23-4A4730D80727}">
  <dimension ref="A2:AD78"/>
  <sheetViews>
    <sheetView zoomScaleNormal="85" workbookViewId="0">
      <selection activeCell="X28" sqref="X28"/>
    </sheetView>
  </sheetViews>
  <sheetFormatPr defaultColWidth="9.140625" defaultRowHeight="15"/>
  <cols>
    <col min="1" max="1" width="11.42578125" bestFit="1" customWidth="1"/>
    <col min="2" max="2" width="12.7109375" customWidth="1"/>
    <col min="3" max="3" width="12.7109375" bestFit="1" customWidth="1"/>
    <col min="4" max="4" width="14.140625" bestFit="1" customWidth="1"/>
    <col min="5" max="5" width="11.28515625" customWidth="1"/>
    <col min="6" max="6" width="16.7109375" bestFit="1" customWidth="1"/>
    <col min="7" max="7" width="11.140625" customWidth="1"/>
    <col min="8" max="8" width="11.42578125" customWidth="1"/>
    <col min="9" max="9" width="11.7109375" customWidth="1"/>
    <col min="10" max="10" width="12.140625" customWidth="1"/>
    <col min="11" max="11" width="12.140625" bestFit="1" customWidth="1"/>
    <col min="12" max="12" width="11.7109375" bestFit="1" customWidth="1"/>
  </cols>
  <sheetData>
    <row r="2" spans="2:30">
      <c r="B2" s="6" t="s">
        <v>21</v>
      </c>
      <c r="C2" s="5">
        <f>'Varrimento Inicial '!C2</f>
        <v>0.05</v>
      </c>
      <c r="D2" s="6" t="s">
        <v>1</v>
      </c>
      <c r="E2" s="5">
        <f>'Varrimento Inicial '!E2</f>
        <v>1</v>
      </c>
      <c r="F2" s="3" t="s">
        <v>15</v>
      </c>
      <c r="G2" s="17">
        <f>'Varrimento Inicial '!G2</f>
        <v>0.1</v>
      </c>
      <c r="H2" s="12"/>
      <c r="I2" s="12"/>
      <c r="J2" s="12"/>
      <c r="K2" s="12"/>
      <c r="L2" s="12"/>
      <c r="M2" s="12"/>
      <c r="N2" s="12"/>
      <c r="O2" s="12"/>
      <c r="P2" s="12"/>
      <c r="Q2" s="12"/>
      <c r="U2" s="31" t="s">
        <v>16</v>
      </c>
      <c r="V2" s="31"/>
      <c r="W2" s="31"/>
      <c r="X2" s="31"/>
    </row>
    <row r="3" spans="2:30">
      <c r="B3" s="3" t="s">
        <v>22</v>
      </c>
      <c r="C3" s="4">
        <f>C2/100</f>
        <v>5.0000000000000001E-4</v>
      </c>
      <c r="D3" s="3" t="s">
        <v>2</v>
      </c>
      <c r="E3" s="4">
        <f>E2/1000</f>
        <v>1E-3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U3" s="8" t="s">
        <v>9</v>
      </c>
      <c r="V3" s="4">
        <f t="array" ref="V3:W5">LINEST(I9:I28,G9:G28,1,1)</f>
        <v>-1.863566654737731</v>
      </c>
      <c r="W3" s="4">
        <v>-0.48270941212651353</v>
      </c>
      <c r="X3" s="8" t="s">
        <v>12</v>
      </c>
      <c r="AD3">
        <f>(2-V3)/2</f>
        <v>1.9317833273688656</v>
      </c>
    </row>
    <row r="4" spans="2:30">
      <c r="B4" s="12"/>
      <c r="C4" s="12"/>
      <c r="D4" s="12"/>
      <c r="E4" s="12"/>
      <c r="F4" s="12"/>
      <c r="G4" s="12"/>
      <c r="H4" s="12"/>
      <c r="I4" s="12"/>
      <c r="J4" s="12" t="s">
        <v>0</v>
      </c>
      <c r="K4" s="12"/>
      <c r="L4" s="12" t="s">
        <v>0</v>
      </c>
      <c r="M4" s="12"/>
      <c r="N4" s="12"/>
      <c r="O4" s="12" t="s">
        <v>0</v>
      </c>
      <c r="P4" s="12"/>
      <c r="Q4" s="12"/>
      <c r="U4" s="8" t="s">
        <v>10</v>
      </c>
      <c r="V4" s="4">
        <v>8.8600084714976594E-3</v>
      </c>
      <c r="W4" s="4">
        <v>3.6264066157166738E-3</v>
      </c>
      <c r="X4" s="8" t="s">
        <v>11</v>
      </c>
    </row>
    <row r="5" spans="2:30" ht="17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U5" s="8" t="s">
        <v>14</v>
      </c>
      <c r="V5" s="21">
        <v>0.99959329992355117</v>
      </c>
      <c r="W5" s="4">
        <v>7.23987598175689E-3</v>
      </c>
      <c r="X5" s="8" t="s">
        <v>13</v>
      </c>
    </row>
    <row r="6" spans="2:30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Q6" s="12"/>
    </row>
    <row r="7" spans="2:30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Q7" s="12"/>
    </row>
    <row r="8" spans="2:30">
      <c r="B8" s="18" t="str">
        <f>"(d ± "&amp;C2&amp;" ) cm"</f>
        <v>(d ± 0,05 ) cm</v>
      </c>
      <c r="C8" s="11" t="str">
        <f>"(d ± "&amp;C3&amp;" ) m"</f>
        <v>(d ± 0,0005 ) m</v>
      </c>
      <c r="D8" s="11" t="str">
        <f>"(V ± "&amp;E2&amp;" ) mV"</f>
        <v>(V ± 1 ) mV</v>
      </c>
      <c r="E8" s="11" t="str">
        <f>"(V ± "&amp;E3&amp;" ) V"</f>
        <v>(V ± 0,001 ) V</v>
      </c>
      <c r="F8" s="11" t="str">
        <f>"(Fase ± "&amp;G2&amp;" ) °C"</f>
        <v>(Fase ± 0,1 ) °C</v>
      </c>
      <c r="G8" s="11" t="s">
        <v>3</v>
      </c>
      <c r="H8" s="11" t="s">
        <v>4</v>
      </c>
      <c r="I8" s="11" t="s">
        <v>5</v>
      </c>
      <c r="J8" s="11" t="s">
        <v>6</v>
      </c>
      <c r="K8" s="11" t="s">
        <v>17</v>
      </c>
      <c r="L8" s="11" t="s">
        <v>8</v>
      </c>
      <c r="Q8" s="12"/>
    </row>
    <row r="9" spans="2:30">
      <c r="B9" s="22">
        <f>C59</f>
        <v>21.513811724403649</v>
      </c>
      <c r="C9" s="35">
        <f>B9/100</f>
        <v>0.21513811724403648</v>
      </c>
      <c r="D9" s="26">
        <v>5640</v>
      </c>
      <c r="E9" s="5">
        <f>D9/1000</f>
        <v>5.64</v>
      </c>
      <c r="F9" s="24">
        <v>24.6</v>
      </c>
      <c r="G9" s="35">
        <f>LOG(C9)</f>
        <v>-0.66728263637138929</v>
      </c>
      <c r="H9" s="35">
        <f>(1/LN(10) *C$3/C9)</f>
        <v>1.0093387621558036E-3</v>
      </c>
      <c r="I9" s="35">
        <f>LOG(E9)</f>
        <v>0.7512791039833423</v>
      </c>
      <c r="J9" s="35">
        <f>(1/LN(10) *E$3/E9)</f>
        <v>7.7002567713342515E-5</v>
      </c>
      <c r="K9" s="35">
        <f>G9*$V$3+$W$3</f>
        <v>0.76081625830069022</v>
      </c>
      <c r="L9" s="35">
        <f t="shared" ref="L9:L45" si="0">I9-K9</f>
        <v>-9.5371543173479179E-3</v>
      </c>
      <c r="Q9" s="12"/>
    </row>
    <row r="10" spans="2:30">
      <c r="B10" s="22">
        <f t="shared" ref="B10:B28" si="1">C60</f>
        <v>23.142204745654396</v>
      </c>
      <c r="C10" s="35">
        <f t="shared" ref="C10:C45" si="2">B10/100</f>
        <v>0.23142204745654396</v>
      </c>
      <c r="D10" s="26">
        <v>5000</v>
      </c>
      <c r="E10" s="5">
        <f t="shared" ref="E10:E45" si="3">D10/1000</f>
        <v>5</v>
      </c>
      <c r="F10" s="24">
        <v>24.5</v>
      </c>
      <c r="G10" s="35">
        <f t="shared" ref="G10:G45" si="4">LOG(C10)</f>
        <v>-0.63559526840675962</v>
      </c>
      <c r="H10" s="35">
        <f t="shared" ref="H10:H28" si="5">(1/LN(10) *C$3/C10)</f>
        <v>9.3831699848045567E-4</v>
      </c>
      <c r="I10" s="35">
        <f t="shared" ref="I10:I45" si="6">LOG(E10)</f>
        <v>0.69897000433601886</v>
      </c>
      <c r="J10" s="35">
        <f t="shared" ref="J10:J28" si="7">(1/LN(10) *E$3/E10)</f>
        <v>8.6858896380650357E-5</v>
      </c>
      <c r="K10" s="35">
        <f t="shared" ref="K10:K45" si="8">G10*$V$3+$W$3</f>
        <v>0.70176473598540168</v>
      </c>
      <c r="L10" s="35">
        <f t="shared" si="0"/>
        <v>-2.79473164938282E-3</v>
      </c>
      <c r="M10" s="12"/>
      <c r="N10" s="12"/>
      <c r="O10" s="12"/>
      <c r="P10" s="12"/>
      <c r="Q10" s="12"/>
    </row>
    <row r="11" spans="2:30">
      <c r="B11" s="22">
        <f t="shared" si="1"/>
        <v>24.893851789280465</v>
      </c>
      <c r="C11" s="35">
        <f t="shared" si="2"/>
        <v>0.24893851789280463</v>
      </c>
      <c r="D11" s="26">
        <v>4360</v>
      </c>
      <c r="E11" s="5">
        <f t="shared" si="3"/>
        <v>4.3600000000000003</v>
      </c>
      <c r="F11" s="24">
        <v>24.7</v>
      </c>
      <c r="G11" s="35">
        <f t="shared" si="4"/>
        <v>-0.60390790044213005</v>
      </c>
      <c r="H11" s="35">
        <f t="shared" si="5"/>
        <v>8.7229265599280065E-4</v>
      </c>
      <c r="I11" s="35">
        <f t="shared" si="6"/>
        <v>0.63948648926858609</v>
      </c>
      <c r="J11" s="35">
        <f t="shared" si="7"/>
        <v>9.9608826124599026E-5</v>
      </c>
      <c r="K11" s="35">
        <f t="shared" si="8"/>
        <v>0.64271321367011336</v>
      </c>
      <c r="L11" s="35">
        <f t="shared" si="0"/>
        <v>-3.22672440152727E-3</v>
      </c>
      <c r="M11" s="12"/>
      <c r="N11" s="12"/>
      <c r="O11" s="12"/>
      <c r="P11" s="12"/>
      <c r="Q11" s="12"/>
    </row>
    <row r="12" spans="2:30">
      <c r="B12" s="22">
        <f t="shared" si="1"/>
        <v>26.778082024489443</v>
      </c>
      <c r="C12" s="35">
        <f t="shared" si="2"/>
        <v>0.26778082024489441</v>
      </c>
      <c r="D12" s="26">
        <v>3840</v>
      </c>
      <c r="E12" s="5">
        <f t="shared" si="3"/>
        <v>3.84</v>
      </c>
      <c r="F12" s="24">
        <v>24.8</v>
      </c>
      <c r="G12" s="35">
        <f t="shared" si="4"/>
        <v>-0.57222053247750049</v>
      </c>
      <c r="H12" s="35">
        <f t="shared" si="5"/>
        <v>8.109140929250929E-4</v>
      </c>
      <c r="I12" s="35">
        <f t="shared" si="6"/>
        <v>0.58433122436753082</v>
      </c>
      <c r="J12" s="35">
        <f t="shared" si="7"/>
        <v>1.1309752132897182E-4</v>
      </c>
      <c r="K12" s="35">
        <f t="shared" si="8"/>
        <v>0.58366169135482526</v>
      </c>
      <c r="L12" s="35">
        <f t="shared" si="0"/>
        <v>6.6953301270555876E-4</v>
      </c>
      <c r="M12" s="12"/>
      <c r="N12" s="12"/>
      <c r="O12" s="12"/>
      <c r="P12" s="12"/>
      <c r="Q12" s="12"/>
    </row>
    <row r="13" spans="2:30">
      <c r="B13" s="22">
        <f t="shared" si="1"/>
        <v>28.804930750775178</v>
      </c>
      <c r="C13" s="35">
        <f t="shared" si="2"/>
        <v>0.28804930750775176</v>
      </c>
      <c r="D13" s="26">
        <v>3400</v>
      </c>
      <c r="E13" s="5">
        <f t="shared" si="3"/>
        <v>3.4</v>
      </c>
      <c r="F13" s="24">
        <v>25</v>
      </c>
      <c r="G13" s="35">
        <f t="shared" si="4"/>
        <v>-0.54053316451287092</v>
      </c>
      <c r="H13" s="35">
        <f t="shared" si="5"/>
        <v>7.5385441065773848E-4</v>
      </c>
      <c r="I13" s="35">
        <f t="shared" si="6"/>
        <v>0.53147891704225514</v>
      </c>
      <c r="J13" s="35">
        <f t="shared" si="7"/>
        <v>1.2773367114801525E-4</v>
      </c>
      <c r="K13" s="35">
        <f t="shared" si="8"/>
        <v>0.52461016903953694</v>
      </c>
      <c r="L13" s="35">
        <f t="shared" si="0"/>
        <v>6.8687480027181946E-3</v>
      </c>
      <c r="M13" s="12"/>
      <c r="N13" s="12"/>
      <c r="O13" s="12"/>
      <c r="P13" s="12"/>
      <c r="Q13" s="12"/>
    </row>
    <row r="14" spans="2:30">
      <c r="B14" s="22">
        <f t="shared" si="1"/>
        <v>30.98519284533311</v>
      </c>
      <c r="C14" s="35">
        <f t="shared" si="2"/>
        <v>0.30985192845333109</v>
      </c>
      <c r="D14" s="26">
        <v>2920</v>
      </c>
      <c r="E14" s="5">
        <f t="shared" si="3"/>
        <v>2.92</v>
      </c>
      <c r="F14" s="24">
        <v>25.5</v>
      </c>
      <c r="G14" s="35">
        <f t="shared" si="4"/>
        <v>-0.50884579654824125</v>
      </c>
      <c r="H14" s="35">
        <f t="shared" si="5"/>
        <v>7.0080971267645967E-4</v>
      </c>
      <c r="I14" s="35">
        <f t="shared" si="6"/>
        <v>0.46538285144841829</v>
      </c>
      <c r="J14" s="35">
        <f t="shared" si="7"/>
        <v>1.4873098695316844E-4</v>
      </c>
      <c r="K14" s="35">
        <f t="shared" si="8"/>
        <v>0.46555864672424851</v>
      </c>
      <c r="L14" s="35">
        <f t="shared" si="0"/>
        <v>-1.7579527583022614E-4</v>
      </c>
      <c r="M14" s="12"/>
      <c r="N14" s="12"/>
      <c r="O14" s="12"/>
      <c r="P14" s="12"/>
      <c r="Q14" s="12"/>
    </row>
    <row r="15" spans="2:30">
      <c r="B15" s="22">
        <f t="shared" si="1"/>
        <v>33.330480255941779</v>
      </c>
      <c r="C15" s="35">
        <f t="shared" si="2"/>
        <v>0.3333048025594178</v>
      </c>
      <c r="D15" s="26">
        <v>2560</v>
      </c>
      <c r="E15" s="5">
        <f t="shared" si="3"/>
        <v>2.56</v>
      </c>
      <c r="F15" s="24">
        <v>25.8</v>
      </c>
      <c r="G15" s="35">
        <f t="shared" si="4"/>
        <v>-0.47715842858361163</v>
      </c>
      <c r="H15" s="35">
        <f t="shared" si="5"/>
        <v>6.5149748603731967E-4</v>
      </c>
      <c r="I15" s="35">
        <f t="shared" si="6"/>
        <v>0.40823996531184958</v>
      </c>
      <c r="J15" s="35">
        <f t="shared" si="7"/>
        <v>1.6964628199345771E-4</v>
      </c>
      <c r="K15" s="35">
        <f t="shared" si="8"/>
        <v>0.40650712440896009</v>
      </c>
      <c r="L15" s="35">
        <f t="shared" si="0"/>
        <v>1.7328409028894987E-3</v>
      </c>
      <c r="M15" s="12"/>
      <c r="N15" s="12"/>
      <c r="O15" s="12"/>
      <c r="P15" s="12"/>
      <c r="Q15" s="12"/>
    </row>
    <row r="16" spans="2:30">
      <c r="B16" s="22">
        <f t="shared" si="1"/>
        <v>35.853283845514234</v>
      </c>
      <c r="C16" s="35">
        <f t="shared" si="2"/>
        <v>0.35853283845514233</v>
      </c>
      <c r="D16" s="26">
        <v>2240</v>
      </c>
      <c r="E16" s="5">
        <f t="shared" si="3"/>
        <v>2.2400000000000002</v>
      </c>
      <c r="F16" s="24">
        <v>25.7</v>
      </c>
      <c r="G16" s="35">
        <f t="shared" si="4"/>
        <v>-0.44547106061898201</v>
      </c>
      <c r="H16" s="35">
        <f t="shared" si="5"/>
        <v>6.056550967193879E-4</v>
      </c>
      <c r="I16" s="35">
        <f t="shared" si="6"/>
        <v>0.35024801833416286</v>
      </c>
      <c r="J16" s="35">
        <f t="shared" si="7"/>
        <v>1.9388146513538024E-4</v>
      </c>
      <c r="K16" s="35">
        <f t="shared" si="8"/>
        <v>0.34745560209367177</v>
      </c>
      <c r="L16" s="35">
        <f t="shared" si="0"/>
        <v>2.7924162404910913E-3</v>
      </c>
      <c r="M16" s="12"/>
      <c r="N16" s="12"/>
      <c r="O16" s="12"/>
      <c r="P16" s="12"/>
      <c r="Q16" s="12"/>
    </row>
    <row r="17" spans="1:17">
      <c r="B17" s="22">
        <f t="shared" si="1"/>
        <v>38.567039917699802</v>
      </c>
      <c r="C17" s="35">
        <f t="shared" si="2"/>
        <v>0.38567039917699802</v>
      </c>
      <c r="D17" s="26">
        <v>1960</v>
      </c>
      <c r="E17" s="5">
        <f t="shared" si="3"/>
        <v>1.96</v>
      </c>
      <c r="F17" s="24">
        <v>26.4</v>
      </c>
      <c r="G17" s="35">
        <f t="shared" si="4"/>
        <v>-0.41378369265435244</v>
      </c>
      <c r="H17" s="35">
        <f t="shared" si="5"/>
        <v>5.6303839085137879E-4</v>
      </c>
      <c r="I17" s="35">
        <f t="shared" si="6"/>
        <v>0.29225607135647602</v>
      </c>
      <c r="J17" s="35">
        <f t="shared" si="7"/>
        <v>2.2157881729757743E-4</v>
      </c>
      <c r="K17" s="35">
        <f t="shared" si="8"/>
        <v>0.28840407977838345</v>
      </c>
      <c r="L17" s="35">
        <f t="shared" si="0"/>
        <v>3.8519915780925729E-3</v>
      </c>
      <c r="M17" s="12"/>
      <c r="N17" s="12"/>
      <c r="O17" s="12"/>
      <c r="P17" s="12"/>
      <c r="Q17" s="12"/>
    </row>
    <row r="18" spans="1:17">
      <c r="B18" s="22">
        <f t="shared" si="1"/>
        <v>41.486201777847675</v>
      </c>
      <c r="C18" s="35">
        <f t="shared" si="2"/>
        <v>0.41486201777847675</v>
      </c>
      <c r="D18" s="26">
        <v>1680</v>
      </c>
      <c r="E18" s="5">
        <f t="shared" si="3"/>
        <v>1.68</v>
      </c>
      <c r="F18" s="24">
        <v>26.5</v>
      </c>
      <c r="G18" s="35">
        <f t="shared" si="4"/>
        <v>-0.38209632468972288</v>
      </c>
      <c r="H18" s="35">
        <f t="shared" si="5"/>
        <v>5.2342039436248334E-4</v>
      </c>
      <c r="I18" s="35">
        <f t="shared" si="6"/>
        <v>0.22530928172586284</v>
      </c>
      <c r="J18" s="35">
        <f t="shared" si="7"/>
        <v>2.5850862018050701E-4</v>
      </c>
      <c r="K18" s="35">
        <f t="shared" si="8"/>
        <v>0.22935255746309524</v>
      </c>
      <c r="L18" s="35">
        <f t="shared" si="0"/>
        <v>-4.0432757372323991E-3</v>
      </c>
      <c r="M18" s="12"/>
      <c r="N18" s="12"/>
      <c r="O18" s="12"/>
      <c r="P18" s="12"/>
      <c r="Q18" s="12"/>
    </row>
    <row r="19" spans="1:17">
      <c r="B19" s="22">
        <f t="shared" si="1"/>
        <v>44.626316710461751</v>
      </c>
      <c r="C19" s="35">
        <f t="shared" si="2"/>
        <v>0.4462631671046175</v>
      </c>
      <c r="D19" s="26">
        <v>1520</v>
      </c>
      <c r="E19" s="5">
        <f t="shared" si="3"/>
        <v>1.52</v>
      </c>
      <c r="F19" s="24">
        <v>27.2</v>
      </c>
      <c r="G19" s="35">
        <f t="shared" si="4"/>
        <v>-0.3504089567250932</v>
      </c>
      <c r="H19" s="35">
        <f t="shared" si="5"/>
        <v>4.865901041318072E-4</v>
      </c>
      <c r="I19" s="35">
        <f t="shared" si="6"/>
        <v>0.18184358794477254</v>
      </c>
      <c r="J19" s="35">
        <f t="shared" si="7"/>
        <v>2.8572005388371828E-4</v>
      </c>
      <c r="K19" s="35">
        <f t="shared" si="8"/>
        <v>0.1703010351478067</v>
      </c>
      <c r="L19" s="35">
        <f t="shared" si="0"/>
        <v>1.1542552796965838E-2</v>
      </c>
      <c r="M19" s="12"/>
      <c r="N19" s="12"/>
      <c r="O19" s="12"/>
      <c r="P19" s="12"/>
      <c r="Q19" s="12"/>
    </row>
    <row r="20" spans="1:17">
      <c r="B20" s="22">
        <f t="shared" si="1"/>
        <v>48.004108783124117</v>
      </c>
      <c r="C20" s="35">
        <f t="shared" si="2"/>
        <v>0.48004108783124116</v>
      </c>
      <c r="D20" s="26">
        <v>1280</v>
      </c>
      <c r="E20" s="5">
        <f t="shared" si="3"/>
        <v>1.28</v>
      </c>
      <c r="F20" s="24">
        <v>26.9</v>
      </c>
      <c r="G20" s="35">
        <f t="shared" si="4"/>
        <v>-0.31872158876046364</v>
      </c>
      <c r="H20" s="35">
        <f t="shared" si="5"/>
        <v>4.5235136419815002E-4</v>
      </c>
      <c r="I20" s="35">
        <f t="shared" si="6"/>
        <v>0.10720996964786837</v>
      </c>
      <c r="J20" s="35">
        <f>(1/LN(10) *E$3/E20)</f>
        <v>3.3929256398691543E-4</v>
      </c>
      <c r="K20" s="35">
        <f t="shared" si="8"/>
        <v>0.11124951283251849</v>
      </c>
      <c r="L20" s="35">
        <f t="shared" si="0"/>
        <v>-4.0395431846501212E-3</v>
      </c>
      <c r="M20" s="12"/>
      <c r="N20" s="12"/>
      <c r="O20" s="12"/>
      <c r="P20" s="12"/>
      <c r="Q20" s="12"/>
    </row>
    <row r="21" spans="1:17">
      <c r="B21" s="22">
        <f t="shared" si="1"/>
        <v>51.637567917896199</v>
      </c>
      <c r="C21" s="35">
        <f t="shared" si="2"/>
        <v>0.51637567917896199</v>
      </c>
      <c r="D21" s="26">
        <v>1120</v>
      </c>
      <c r="E21" s="5">
        <f t="shared" si="3"/>
        <v>1.1200000000000001</v>
      </c>
      <c r="F21" s="24">
        <v>26.8</v>
      </c>
      <c r="G21" s="35">
        <f t="shared" si="4"/>
        <v>-0.28703422079583402</v>
      </c>
      <c r="H21" s="35">
        <f t="shared" si="5"/>
        <v>4.2052182104488403E-4</v>
      </c>
      <c r="I21" s="35">
        <f t="shared" si="6"/>
        <v>4.9218022670181653E-2</v>
      </c>
      <c r="J21" s="35">
        <f t="shared" si="7"/>
        <v>3.8776293027076048E-4</v>
      </c>
      <c r="K21" s="35">
        <f t="shared" si="8"/>
        <v>5.2197990517230175E-2</v>
      </c>
      <c r="L21" s="35">
        <f t="shared" si="0"/>
        <v>-2.9799678470485216E-3</v>
      </c>
      <c r="M21" s="12"/>
      <c r="N21" s="12"/>
      <c r="O21" s="12"/>
      <c r="P21" s="12"/>
      <c r="Q21" s="12"/>
    </row>
    <row r="22" spans="1:17">
      <c r="B22" s="22">
        <f t="shared" si="1"/>
        <v>55.546045704586234</v>
      </c>
      <c r="C22" s="35">
        <f t="shared" si="2"/>
        <v>0.55546045704586233</v>
      </c>
      <c r="D22" s="26">
        <v>1000</v>
      </c>
      <c r="E22" s="5">
        <f t="shared" si="3"/>
        <v>1</v>
      </c>
      <c r="F22" s="24">
        <v>27.5</v>
      </c>
      <c r="G22" s="35">
        <f t="shared" si="4"/>
        <v>-0.25534685283120451</v>
      </c>
      <c r="H22" s="35">
        <f t="shared" si="5"/>
        <v>3.9093195239584238E-4</v>
      </c>
      <c r="I22" s="35">
        <f t="shared" si="6"/>
        <v>0</v>
      </c>
      <c r="J22" s="35">
        <f t="shared" si="7"/>
        <v>4.3429448190325179E-4</v>
      </c>
      <c r="K22" s="35">
        <f t="shared" si="8"/>
        <v>-6.8535317980580324E-3</v>
      </c>
      <c r="L22" s="35">
        <f t="shared" si="0"/>
        <v>6.8535317980580324E-3</v>
      </c>
      <c r="M22" s="12"/>
      <c r="N22" s="12"/>
      <c r="O22" s="12"/>
      <c r="P22" s="12"/>
      <c r="Q22" s="12"/>
    </row>
    <row r="23" spans="1:17">
      <c r="B23" s="22">
        <f t="shared" si="1"/>
        <v>59.750358466179428</v>
      </c>
      <c r="C23" s="35">
        <f t="shared" si="2"/>
        <v>0.59750358466179432</v>
      </c>
      <c r="D23" s="26">
        <v>880</v>
      </c>
      <c r="E23" s="5">
        <f t="shared" si="3"/>
        <v>0.88</v>
      </c>
      <c r="F23" s="24">
        <v>28.3</v>
      </c>
      <c r="G23" s="35">
        <f t="shared" si="4"/>
        <v>-0.2236594848665748</v>
      </c>
      <c r="H23" s="35">
        <f t="shared" si="5"/>
        <v>3.6342416434963817E-4</v>
      </c>
      <c r="I23" s="35">
        <f t="shared" si="6"/>
        <v>-5.551732784983137E-2</v>
      </c>
      <c r="J23" s="35">
        <f t="shared" si="7"/>
        <v>4.9351645670824061E-4</v>
      </c>
      <c r="K23" s="35">
        <f t="shared" si="8"/>
        <v>-6.5905054113346573E-2</v>
      </c>
      <c r="L23" s="35">
        <f t="shared" si="0"/>
        <v>1.0387726263515203E-2</v>
      </c>
      <c r="M23" s="12"/>
      <c r="N23" s="12"/>
      <c r="O23" s="12"/>
      <c r="P23" s="12"/>
      <c r="Q23" s="12"/>
    </row>
    <row r="24" spans="1:17">
      <c r="B24" s="22">
        <f>C74</f>
        <v>64.272898125350594</v>
      </c>
      <c r="C24" s="35">
        <f t="shared" si="2"/>
        <v>0.64272898125350597</v>
      </c>
      <c r="D24" s="26">
        <v>760</v>
      </c>
      <c r="E24" s="5">
        <f t="shared" si="3"/>
        <v>0.76</v>
      </c>
      <c r="F24" s="24">
        <v>28.5</v>
      </c>
      <c r="G24" s="35">
        <f t="shared" si="4"/>
        <v>-0.19197211690194518</v>
      </c>
      <c r="H24" s="35">
        <f t="shared" si="5"/>
        <v>3.3785195204380925E-4</v>
      </c>
      <c r="I24" s="35">
        <f t="shared" si="6"/>
        <v>-0.11918640771920865</v>
      </c>
      <c r="J24" s="35">
        <f t="shared" si="7"/>
        <v>5.7144010776743657E-4</v>
      </c>
      <c r="K24" s="35">
        <f t="shared" si="8"/>
        <v>-0.12495657642863489</v>
      </c>
      <c r="L24" s="35">
        <f t="shared" si="0"/>
        <v>5.770168709426246E-3</v>
      </c>
      <c r="M24" s="12"/>
      <c r="N24" s="12"/>
      <c r="O24" s="12"/>
      <c r="P24" s="12"/>
      <c r="Q24" s="12"/>
    </row>
    <row r="25" spans="1:17">
      <c r="B25" s="22">
        <f t="shared" si="1"/>
        <v>69.137751462528442</v>
      </c>
      <c r="C25" s="35">
        <f t="shared" si="2"/>
        <v>0.69137751462528441</v>
      </c>
      <c r="D25" s="26">
        <v>640</v>
      </c>
      <c r="E25" s="5">
        <f t="shared" si="3"/>
        <v>0.64</v>
      </c>
      <c r="F25" s="24">
        <v>27.9</v>
      </c>
      <c r="G25" s="35">
        <f t="shared" si="4"/>
        <v>-0.16028474893731565</v>
      </c>
      <c r="H25" s="35">
        <f t="shared" si="5"/>
        <v>3.1407911937852973E-4</v>
      </c>
      <c r="I25" s="35">
        <f t="shared" si="6"/>
        <v>-0.19382002601611281</v>
      </c>
      <c r="J25" s="35">
        <f t="shared" si="7"/>
        <v>6.7858512797383086E-4</v>
      </c>
      <c r="K25" s="35">
        <f t="shared" si="8"/>
        <v>-0.18400809874392315</v>
      </c>
      <c r="L25" s="35">
        <f t="shared" si="0"/>
        <v>-9.8119272721896578E-3</v>
      </c>
      <c r="M25" s="12"/>
      <c r="N25" s="12"/>
      <c r="O25" s="12"/>
      <c r="P25" s="12"/>
      <c r="Q25" s="12"/>
    </row>
    <row r="26" spans="1:17">
      <c r="B26" s="22">
        <f t="shared" si="1"/>
        <v>74.370828400672494</v>
      </c>
      <c r="C26" s="35">
        <f t="shared" si="2"/>
        <v>0.74370828400672495</v>
      </c>
      <c r="D26" s="26">
        <v>569</v>
      </c>
      <c r="E26" s="5">
        <f t="shared" si="3"/>
        <v>0.56899999999999995</v>
      </c>
      <c r="F26" s="24">
        <v>28.5</v>
      </c>
      <c r="G26" s="35">
        <f t="shared" si="4"/>
        <v>-0.12859738097268605</v>
      </c>
      <c r="H26" s="35">
        <f t="shared" si="5"/>
        <v>2.9197905364418712E-4</v>
      </c>
      <c r="I26" s="35">
        <f t="shared" si="6"/>
        <v>-0.24488773360492885</v>
      </c>
      <c r="J26" s="35">
        <f t="shared" si="7"/>
        <v>7.6325919490905414E-4</v>
      </c>
      <c r="K26" s="35">
        <f t="shared" si="8"/>
        <v>-0.24305962105921144</v>
      </c>
      <c r="L26" s="35">
        <f t="shared" si="0"/>
        <v>-1.8281125457174086E-3</v>
      </c>
      <c r="M26" s="12"/>
      <c r="N26" s="12"/>
      <c r="O26" s="12"/>
      <c r="P26" s="12"/>
      <c r="Q26" s="12"/>
    </row>
    <row r="27" spans="1:17">
      <c r="B27" s="22">
        <f t="shared" si="1"/>
        <v>80</v>
      </c>
      <c r="C27" s="35">
        <f t="shared" si="2"/>
        <v>0.8</v>
      </c>
      <c r="D27" s="26">
        <v>480</v>
      </c>
      <c r="E27" s="5">
        <f t="shared" si="3"/>
        <v>0.48</v>
      </c>
      <c r="F27" s="24">
        <v>27.2</v>
      </c>
      <c r="G27" s="35">
        <f t="shared" si="4"/>
        <v>-9.6910013008056392E-2</v>
      </c>
      <c r="H27" s="35">
        <f t="shared" si="5"/>
        <v>2.7143405118953235E-4</v>
      </c>
      <c r="I27" s="35">
        <f t="shared" si="6"/>
        <v>-0.31875876262441277</v>
      </c>
      <c r="J27" s="35">
        <f t="shared" si="7"/>
        <v>9.0478017063177455E-4</v>
      </c>
      <c r="K27" s="35">
        <f t="shared" si="8"/>
        <v>-0.30211114337449985</v>
      </c>
      <c r="L27" s="35">
        <f t="shared" si="0"/>
        <v>-1.6647619249912926E-2</v>
      </c>
      <c r="M27" s="12"/>
      <c r="N27" s="12"/>
      <c r="O27" s="12"/>
      <c r="P27" s="12"/>
      <c r="Q27" s="12"/>
    </row>
    <row r="28" spans="1:17">
      <c r="B28" s="22">
        <f t="shared" si="1"/>
        <v>86.055246897614595</v>
      </c>
      <c r="C28" s="35">
        <f t="shared" si="2"/>
        <v>0.8605524689761459</v>
      </c>
      <c r="D28" s="26">
        <v>440</v>
      </c>
      <c r="E28" s="5">
        <f t="shared" si="3"/>
        <v>0.44</v>
      </c>
      <c r="F28" s="24">
        <v>57.3</v>
      </c>
      <c r="G28" s="35">
        <f t="shared" si="4"/>
        <v>-6.5222645043426855E-2</v>
      </c>
      <c r="H28" s="35">
        <f t="shared" si="5"/>
        <v>2.5233469053895089E-4</v>
      </c>
      <c r="I28" s="35">
        <f t="shared" si="6"/>
        <v>-0.35654732351381258</v>
      </c>
      <c r="J28" s="35">
        <f t="shared" si="7"/>
        <v>9.8703291341648122E-4</v>
      </c>
      <c r="K28" s="35">
        <f t="shared" si="8"/>
        <v>-0.36116266568978811</v>
      </c>
      <c r="L28" s="35">
        <f t="shared" si="0"/>
        <v>4.6153421759755342E-3</v>
      </c>
      <c r="M28" s="12"/>
      <c r="N28" s="12"/>
      <c r="O28" s="12"/>
      <c r="P28" s="12"/>
      <c r="Q28" s="12"/>
    </row>
    <row r="29" spans="1:17">
      <c r="M29" s="12"/>
      <c r="N29" s="12"/>
      <c r="O29" s="12"/>
      <c r="P29" s="12"/>
      <c r="Q29" s="12"/>
    </row>
    <row r="30" spans="1:17">
      <c r="A30" s="30">
        <f>D59</f>
        <v>29.513811724403649</v>
      </c>
      <c r="M30" s="12"/>
      <c r="N30" s="12"/>
      <c r="O30" s="12"/>
      <c r="P30" s="12"/>
      <c r="Q30" s="12"/>
    </row>
    <row r="31" spans="1:17">
      <c r="A31" s="30">
        <f>D60</f>
        <v>31.142204745654396</v>
      </c>
      <c r="M31" s="12"/>
      <c r="N31" s="12"/>
      <c r="O31" s="12"/>
      <c r="P31" s="12"/>
      <c r="Q31" s="12"/>
    </row>
    <row r="32" spans="1:17">
      <c r="A32" s="30">
        <f>D61</f>
        <v>32.893851789280461</v>
      </c>
      <c r="M32" s="12"/>
      <c r="N32" s="12"/>
      <c r="O32" s="12"/>
      <c r="P32" s="12"/>
      <c r="Q32" s="12"/>
    </row>
    <row r="33" spans="1:17">
      <c r="A33" s="30">
        <f>D62</f>
        <v>34.778082024489443</v>
      </c>
      <c r="M33" s="12"/>
      <c r="N33" s="12"/>
      <c r="O33" s="12"/>
      <c r="P33" s="12"/>
      <c r="Q33" s="12"/>
    </row>
    <row r="34" spans="1:17">
      <c r="A34" s="30">
        <f>D63</f>
        <v>36.804930750775178</v>
      </c>
      <c r="M34" s="12"/>
      <c r="N34" s="12"/>
      <c r="O34" s="12"/>
      <c r="P34" s="12"/>
      <c r="Q34" s="12"/>
    </row>
    <row r="35" spans="1:17">
      <c r="A35" s="30">
        <f>D64</f>
        <v>38.98519284533311</v>
      </c>
      <c r="M35" s="12"/>
      <c r="N35" s="12"/>
      <c r="O35" s="12"/>
      <c r="P35" s="12"/>
      <c r="Q35" s="12"/>
    </row>
    <row r="36" spans="1:17">
      <c r="A36" s="30">
        <f>D65</f>
        <v>41.330480255941779</v>
      </c>
      <c r="M36" s="12"/>
      <c r="N36" s="12"/>
      <c r="O36" s="12"/>
      <c r="P36" s="12"/>
      <c r="Q36" s="12"/>
    </row>
    <row r="37" spans="1:17">
      <c r="A37" s="30">
        <f>D66</f>
        <v>43.853283845514234</v>
      </c>
      <c r="M37" s="12"/>
      <c r="N37" s="12"/>
      <c r="O37" s="12"/>
      <c r="P37" s="12"/>
      <c r="Q37" s="12"/>
    </row>
    <row r="38" spans="1:17">
      <c r="A38" s="30">
        <f>D67</f>
        <v>46.567039917699802</v>
      </c>
      <c r="M38" s="12"/>
      <c r="N38" s="12"/>
      <c r="O38" s="12"/>
      <c r="P38" s="12"/>
      <c r="Q38" s="12"/>
    </row>
    <row r="39" spans="1:17">
      <c r="A39" s="30">
        <f>D68</f>
        <v>49.486201777847675</v>
      </c>
      <c r="M39" s="12"/>
      <c r="N39" s="12"/>
      <c r="O39" s="12"/>
      <c r="P39" s="12"/>
      <c r="Q39" s="12"/>
    </row>
    <row r="40" spans="1:17">
      <c r="A40" s="30">
        <f>D69</f>
        <v>52.626316710461751</v>
      </c>
      <c r="M40" s="12"/>
      <c r="N40" s="12"/>
      <c r="O40" s="12"/>
      <c r="P40" s="12"/>
      <c r="Q40" s="12"/>
    </row>
    <row r="41" spans="1:17">
      <c r="A41" s="30">
        <f>D70</f>
        <v>56.004108783124117</v>
      </c>
      <c r="M41" s="12"/>
      <c r="N41" s="12"/>
      <c r="O41" s="12"/>
      <c r="P41" s="12"/>
      <c r="Q41" s="12"/>
    </row>
    <row r="42" spans="1:17">
      <c r="A42" s="30">
        <f>D71</f>
        <v>59.637567917896199</v>
      </c>
      <c r="M42" s="12"/>
      <c r="N42" s="12"/>
      <c r="O42" s="12"/>
      <c r="P42" s="12"/>
      <c r="Q42" s="12"/>
    </row>
    <row r="43" spans="1:17">
      <c r="A43" s="30">
        <f>D72</f>
        <v>63.546045704586234</v>
      </c>
      <c r="M43" s="12"/>
      <c r="N43" s="12"/>
      <c r="O43" s="12"/>
      <c r="P43" s="12"/>
      <c r="Q43" s="12"/>
    </row>
    <row r="44" spans="1:17">
      <c r="A44" s="30">
        <f>D73</f>
        <v>67.750358466179421</v>
      </c>
      <c r="M44" s="12"/>
      <c r="N44" s="12"/>
      <c r="O44" s="12"/>
      <c r="P44" s="12"/>
      <c r="Q44" s="12"/>
    </row>
    <row r="45" spans="1:17">
      <c r="A45" s="30">
        <f>D74</f>
        <v>72.272898125350594</v>
      </c>
      <c r="M45" s="12"/>
      <c r="N45" s="12"/>
      <c r="O45" s="12"/>
      <c r="P45" s="12"/>
      <c r="Q45" s="12"/>
    </row>
    <row r="46" spans="1:17">
      <c r="A46" s="30">
        <f>D75</f>
        <v>77.137751462528442</v>
      </c>
    </row>
    <row r="47" spans="1:17">
      <c r="A47" s="30">
        <f>D76</f>
        <v>82.370828400672494</v>
      </c>
    </row>
    <row r="48" spans="1:17">
      <c r="A48" s="30">
        <f>D77</f>
        <v>88</v>
      </c>
    </row>
    <row r="49" spans="1:6">
      <c r="A49" s="30">
        <f>D78</f>
        <v>94.055246897614595</v>
      </c>
    </row>
    <row r="58" spans="1:6" ht="18.75">
      <c r="B58" s="19" t="s">
        <v>37</v>
      </c>
      <c r="C58" s="19" t="s">
        <v>38</v>
      </c>
    </row>
    <row r="59" spans="1:6">
      <c r="B59" s="19">
        <v>1</v>
      </c>
      <c r="C59" s="37">
        <f>20*(80/20)^(B59/19)</f>
        <v>21.513811724403649</v>
      </c>
      <c r="D59" s="28">
        <f>C59+8</f>
        <v>29.513811724403649</v>
      </c>
      <c r="F59">
        <v>21.5</v>
      </c>
    </row>
    <row r="60" spans="1:6">
      <c r="B60" s="19">
        <v>2</v>
      </c>
      <c r="C60" s="37">
        <f>20*(80/20)^(B60/19)</f>
        <v>23.142204745654396</v>
      </c>
      <c r="D60" s="28">
        <f t="shared" ref="D60:D78" si="9">C60+8</f>
        <v>31.142204745654396</v>
      </c>
      <c r="F60">
        <v>23.14</v>
      </c>
    </row>
    <row r="61" spans="1:6">
      <c r="B61" s="19">
        <v>3</v>
      </c>
      <c r="C61" s="37">
        <f t="shared" ref="C60:C77" si="10">20*(80/20)^(B61/19)</f>
        <v>24.893851789280465</v>
      </c>
      <c r="D61" s="28">
        <f t="shared" si="9"/>
        <v>32.893851789280461</v>
      </c>
    </row>
    <row r="62" spans="1:6">
      <c r="B62" s="19">
        <v>4</v>
      </c>
      <c r="C62" s="37">
        <f t="shared" si="10"/>
        <v>26.778082024489443</v>
      </c>
      <c r="D62" s="28">
        <f t="shared" si="9"/>
        <v>34.778082024489443</v>
      </c>
    </row>
    <row r="63" spans="1:6">
      <c r="B63" s="19">
        <v>5</v>
      </c>
      <c r="C63" s="37">
        <f t="shared" si="10"/>
        <v>28.804930750775178</v>
      </c>
      <c r="D63" s="28">
        <f t="shared" si="9"/>
        <v>36.804930750775178</v>
      </c>
    </row>
    <row r="64" spans="1:6">
      <c r="B64" s="19">
        <v>6</v>
      </c>
      <c r="C64" s="37">
        <f t="shared" si="10"/>
        <v>30.98519284533311</v>
      </c>
      <c r="D64" s="28">
        <f t="shared" si="9"/>
        <v>38.98519284533311</v>
      </c>
    </row>
    <row r="65" spans="2:4">
      <c r="B65" s="19">
        <v>7</v>
      </c>
      <c r="C65" s="37">
        <f t="shared" si="10"/>
        <v>33.330480255941779</v>
      </c>
      <c r="D65" s="28">
        <f t="shared" si="9"/>
        <v>41.330480255941779</v>
      </c>
    </row>
    <row r="66" spans="2:4">
      <c r="B66" s="19">
        <v>8</v>
      </c>
      <c r="C66" s="37">
        <f t="shared" si="10"/>
        <v>35.853283845514234</v>
      </c>
      <c r="D66" s="28">
        <f t="shared" si="9"/>
        <v>43.853283845514234</v>
      </c>
    </row>
    <row r="67" spans="2:4">
      <c r="B67" s="29">
        <f>B66+1</f>
        <v>9</v>
      </c>
      <c r="C67" s="37">
        <f t="shared" si="10"/>
        <v>38.567039917699802</v>
      </c>
      <c r="D67" s="28">
        <f t="shared" si="9"/>
        <v>46.567039917699802</v>
      </c>
    </row>
    <row r="68" spans="2:4">
      <c r="B68" s="29">
        <f t="shared" ref="B68:B76" si="11">B67+1</f>
        <v>10</v>
      </c>
      <c r="C68" s="37">
        <f t="shared" si="10"/>
        <v>41.486201777847675</v>
      </c>
      <c r="D68" s="28">
        <f t="shared" si="9"/>
        <v>49.486201777847675</v>
      </c>
    </row>
    <row r="69" spans="2:4">
      <c r="B69" s="29">
        <f t="shared" si="11"/>
        <v>11</v>
      </c>
      <c r="C69" s="37">
        <f t="shared" si="10"/>
        <v>44.626316710461751</v>
      </c>
      <c r="D69" s="28">
        <f t="shared" si="9"/>
        <v>52.626316710461751</v>
      </c>
    </row>
    <row r="70" spans="2:4">
      <c r="B70" s="29">
        <f t="shared" si="11"/>
        <v>12</v>
      </c>
      <c r="C70" s="37">
        <f t="shared" si="10"/>
        <v>48.004108783124117</v>
      </c>
      <c r="D70" s="28">
        <f t="shared" si="9"/>
        <v>56.004108783124117</v>
      </c>
    </row>
    <row r="71" spans="2:4">
      <c r="B71" s="29">
        <f t="shared" si="11"/>
        <v>13</v>
      </c>
      <c r="C71" s="37">
        <f t="shared" si="10"/>
        <v>51.637567917896199</v>
      </c>
      <c r="D71" s="28">
        <f t="shared" si="9"/>
        <v>59.637567917896199</v>
      </c>
    </row>
    <row r="72" spans="2:4">
      <c r="B72" s="29">
        <f t="shared" si="11"/>
        <v>14</v>
      </c>
      <c r="C72" s="37">
        <f t="shared" si="10"/>
        <v>55.546045704586234</v>
      </c>
      <c r="D72" s="28">
        <f t="shared" si="9"/>
        <v>63.546045704586234</v>
      </c>
    </row>
    <row r="73" spans="2:4">
      <c r="B73" s="29">
        <f t="shared" si="11"/>
        <v>15</v>
      </c>
      <c r="C73" s="37">
        <f t="shared" si="10"/>
        <v>59.750358466179428</v>
      </c>
      <c r="D73" s="28">
        <f t="shared" si="9"/>
        <v>67.750358466179421</v>
      </c>
    </row>
    <row r="74" spans="2:4">
      <c r="B74" s="29">
        <f t="shared" si="11"/>
        <v>16</v>
      </c>
      <c r="C74" s="37">
        <f t="shared" si="10"/>
        <v>64.272898125350594</v>
      </c>
      <c r="D74" s="28">
        <f t="shared" si="9"/>
        <v>72.272898125350594</v>
      </c>
    </row>
    <row r="75" spans="2:4">
      <c r="B75" s="29">
        <f t="shared" si="11"/>
        <v>17</v>
      </c>
      <c r="C75" s="37">
        <f t="shared" si="10"/>
        <v>69.137751462528442</v>
      </c>
      <c r="D75" s="28">
        <f t="shared" si="9"/>
        <v>77.137751462528442</v>
      </c>
    </row>
    <row r="76" spans="2:4">
      <c r="B76" s="29">
        <f t="shared" si="11"/>
        <v>18</v>
      </c>
      <c r="C76" s="37">
        <f t="shared" si="10"/>
        <v>74.370828400672494</v>
      </c>
      <c r="D76" s="28">
        <f t="shared" si="9"/>
        <v>82.370828400672494</v>
      </c>
    </row>
    <row r="77" spans="2:4">
      <c r="B77" s="29">
        <f>B76+1</f>
        <v>19</v>
      </c>
      <c r="C77" s="37">
        <f t="shared" si="10"/>
        <v>80</v>
      </c>
      <c r="D77" s="28">
        <f t="shared" si="9"/>
        <v>88</v>
      </c>
    </row>
    <row r="78" spans="2:4">
      <c r="B78" s="29">
        <f>B77+1</f>
        <v>20</v>
      </c>
      <c r="C78" s="37">
        <f>20*(80/20)^(B78/19)</f>
        <v>86.055246897614595</v>
      </c>
      <c r="D78" s="28">
        <f t="shared" si="9"/>
        <v>94.055246897614595</v>
      </c>
    </row>
  </sheetData>
  <mergeCells count="1">
    <mergeCell ref="U2:X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95BE-4EC9-40BA-AB58-7897911D3F87}">
  <dimension ref="B2:M28"/>
  <sheetViews>
    <sheetView topLeftCell="C3" zoomScale="130" zoomScaleNormal="130" workbookViewId="0">
      <selection activeCell="X10" sqref="X10"/>
    </sheetView>
  </sheetViews>
  <sheetFormatPr defaultColWidth="9.140625" defaultRowHeight="15"/>
  <cols>
    <col min="2" max="2" width="13.42578125" bestFit="1" customWidth="1"/>
    <col min="3" max="3" width="18.140625" bestFit="1" customWidth="1"/>
    <col min="4" max="4" width="16.5703125" bestFit="1" customWidth="1"/>
    <col min="5" max="5" width="12.42578125" bestFit="1" customWidth="1"/>
    <col min="6" max="6" width="11.7109375" customWidth="1"/>
    <col min="7" max="7" width="16.7109375" bestFit="1" customWidth="1"/>
    <col min="8" max="8" width="12.42578125" customWidth="1"/>
    <col min="9" max="9" width="11.28515625" customWidth="1"/>
    <col min="11" max="11" width="10.28515625" bestFit="1" customWidth="1"/>
    <col min="13" max="13" width="10.7109375" bestFit="1" customWidth="1"/>
    <col min="15" max="15" width="16.7109375" bestFit="1" customWidth="1"/>
  </cols>
  <sheetData>
    <row r="2" spans="2:13" ht="18">
      <c r="B2" s="14" t="s">
        <v>24</v>
      </c>
      <c r="C2" s="34" t="s">
        <v>67</v>
      </c>
      <c r="D2" s="34"/>
      <c r="E2" s="34"/>
      <c r="F2" s="34" t="s">
        <v>68</v>
      </c>
      <c r="G2" s="34"/>
      <c r="H2" s="34"/>
      <c r="I2" s="6" t="s">
        <v>26</v>
      </c>
      <c r="K2" s="12"/>
      <c r="L2" s="12"/>
      <c r="M2" s="12"/>
    </row>
    <row r="3" spans="2:13">
      <c r="B3" s="16">
        <v>1</v>
      </c>
      <c r="C3" s="5">
        <v>4.29</v>
      </c>
      <c r="D3" s="5">
        <v>4.3280000000000003</v>
      </c>
      <c r="E3" s="5">
        <v>4.2969999999999997</v>
      </c>
      <c r="F3" s="36">
        <f>C3/1000</f>
        <v>4.2900000000000004E-3</v>
      </c>
      <c r="G3" s="36">
        <f>D3/1000</f>
        <v>4.3280000000000002E-3</v>
      </c>
      <c r="H3" s="36">
        <f>E3/1000</f>
        <v>4.2969999999999996E-3</v>
      </c>
      <c r="I3" s="36">
        <f>AVERAGE(F3:H3)</f>
        <v>4.3049999999999998E-3</v>
      </c>
      <c r="K3" s="12"/>
      <c r="L3" s="3" t="s">
        <v>39</v>
      </c>
      <c r="M3" s="3" t="s">
        <v>9</v>
      </c>
    </row>
    <row r="4" spans="2:13">
      <c r="B4" s="16">
        <v>2</v>
      </c>
      <c r="C4" s="5">
        <v>4.7229999999999999</v>
      </c>
      <c r="D4" s="5">
        <v>4.67</v>
      </c>
      <c r="E4" s="5">
        <v>4.609</v>
      </c>
      <c r="F4" s="36">
        <f t="shared" ref="F4:H10" si="0">C4/1000</f>
        <v>4.7229999999999998E-3</v>
      </c>
      <c r="G4" s="36">
        <f t="shared" si="0"/>
        <v>4.6699999999999997E-3</v>
      </c>
      <c r="H4" s="36">
        <f t="shared" si="0"/>
        <v>4.6090000000000002E-3</v>
      </c>
      <c r="I4" s="36">
        <f t="shared" ref="I4:I10" si="1">AVERAGE(F4:H4)</f>
        <v>4.6673333333333332E-3</v>
      </c>
      <c r="K4" s="6" t="s">
        <v>25</v>
      </c>
      <c r="L4" s="7">
        <v>1E-3</v>
      </c>
      <c r="M4" s="7">
        <f>L4/100</f>
        <v>1.0000000000000001E-5</v>
      </c>
    </row>
    <row r="5" spans="2:13">
      <c r="B5" s="16">
        <v>3</v>
      </c>
      <c r="C5" s="5">
        <v>3.99</v>
      </c>
      <c r="D5" s="5">
        <v>3.92</v>
      </c>
      <c r="E5" s="5">
        <v>4.0999999999999996</v>
      </c>
      <c r="F5" s="36">
        <f t="shared" si="0"/>
        <v>3.9900000000000005E-3</v>
      </c>
      <c r="G5" s="36">
        <f t="shared" si="0"/>
        <v>3.9199999999999999E-3</v>
      </c>
      <c r="H5" s="36">
        <f t="shared" si="0"/>
        <v>4.0999999999999995E-3</v>
      </c>
      <c r="I5" s="36">
        <f t="shared" si="1"/>
        <v>4.0033333333333336E-3</v>
      </c>
      <c r="K5" s="12"/>
      <c r="L5" s="12"/>
      <c r="M5" s="12"/>
    </row>
    <row r="6" spans="2:13">
      <c r="B6" s="16">
        <v>4</v>
      </c>
      <c r="C6" s="5">
        <v>4.49</v>
      </c>
      <c r="D6" s="5">
        <v>4.57</v>
      </c>
      <c r="E6" s="5">
        <v>4.41</v>
      </c>
      <c r="F6" s="36">
        <f t="shared" si="0"/>
        <v>4.4900000000000001E-3</v>
      </c>
      <c r="G6" s="36">
        <f t="shared" si="0"/>
        <v>4.5700000000000003E-3</v>
      </c>
      <c r="H6" s="36">
        <f t="shared" si="0"/>
        <v>4.4099999999999999E-3</v>
      </c>
      <c r="I6" s="36">
        <f t="shared" si="1"/>
        <v>4.4900000000000001E-3</v>
      </c>
      <c r="K6" s="12"/>
      <c r="L6" s="3" t="s">
        <v>28</v>
      </c>
      <c r="M6" s="3" t="s">
        <v>29</v>
      </c>
    </row>
    <row r="7" spans="2:13">
      <c r="B7" s="16">
        <v>5</v>
      </c>
      <c r="C7" s="5">
        <v>4.125</v>
      </c>
      <c r="D7" s="5">
        <v>4.1580000000000004</v>
      </c>
      <c r="E7" s="5">
        <v>4.0999999999999996</v>
      </c>
      <c r="F7" s="36">
        <f t="shared" si="0"/>
        <v>4.1250000000000002E-3</v>
      </c>
      <c r="G7" s="36">
        <f t="shared" si="0"/>
        <v>4.1580000000000002E-3</v>
      </c>
      <c r="H7" s="36">
        <f t="shared" si="0"/>
        <v>4.0999999999999995E-3</v>
      </c>
      <c r="I7" s="36">
        <f t="shared" si="1"/>
        <v>4.1276666666666666E-3</v>
      </c>
      <c r="K7" s="3" t="s">
        <v>23</v>
      </c>
      <c r="L7" s="7">
        <v>1</v>
      </c>
      <c r="M7" s="7">
        <f>L7/1000</f>
        <v>1E-3</v>
      </c>
    </row>
    <row r="8" spans="2:13">
      <c r="B8" s="16">
        <v>6</v>
      </c>
      <c r="C8" s="5">
        <v>4.2549999999999999</v>
      </c>
      <c r="D8" s="5">
        <v>4.1360000000000001</v>
      </c>
      <c r="E8" s="5">
        <v>4.37</v>
      </c>
      <c r="F8" s="36">
        <f t="shared" si="0"/>
        <v>4.2550000000000001E-3</v>
      </c>
      <c r="G8" s="36">
        <f t="shared" si="0"/>
        <v>4.1359999999999999E-3</v>
      </c>
      <c r="H8" s="36">
        <f t="shared" si="0"/>
        <v>4.3699999999999998E-3</v>
      </c>
      <c r="I8" s="36">
        <f t="shared" si="1"/>
        <v>4.253666666666666E-3</v>
      </c>
      <c r="K8" s="12"/>
      <c r="L8" s="12"/>
      <c r="M8" s="12"/>
    </row>
    <row r="9" spans="2:13">
      <c r="B9" s="16">
        <v>7</v>
      </c>
      <c r="C9" s="5">
        <v>4.24</v>
      </c>
      <c r="D9" s="5">
        <v>4.165</v>
      </c>
      <c r="E9" s="5">
        <v>4.2850000000000001</v>
      </c>
      <c r="F9" s="36">
        <f t="shared" si="0"/>
        <v>4.2399999999999998E-3</v>
      </c>
      <c r="G9" s="36">
        <f t="shared" si="0"/>
        <v>4.1650000000000003E-3</v>
      </c>
      <c r="H9" s="36">
        <f t="shared" si="0"/>
        <v>4.2849999999999997E-3</v>
      </c>
      <c r="I9" s="36">
        <f t="shared" si="1"/>
        <v>4.2300000000000003E-3</v>
      </c>
    </row>
    <row r="12" spans="2:13">
      <c r="D12" s="9" t="str">
        <f>"Cm ± "&amp;L4</f>
        <v>Cm ± 0,001</v>
      </c>
      <c r="E12" s="9" t="str">
        <f>"m ± "&amp;M4</f>
        <v>m ± 0,00001</v>
      </c>
    </row>
    <row r="13" spans="2:13">
      <c r="B13" s="6" t="s">
        <v>18</v>
      </c>
      <c r="C13" s="9" t="s">
        <v>19</v>
      </c>
      <c r="D13" s="38">
        <v>20</v>
      </c>
      <c r="E13" s="27">
        <f>D13/100</f>
        <v>0.2</v>
      </c>
      <c r="F13" s="19"/>
    </row>
    <row r="15" spans="2:13" ht="18">
      <c r="B15" s="3" t="s">
        <v>27</v>
      </c>
      <c r="C15" s="13" t="s">
        <v>69</v>
      </c>
      <c r="D15" s="14" t="str">
        <f>"(V ± "&amp;L7&amp;" ) mV"</f>
        <v>(V ± 1 ) mV</v>
      </c>
      <c r="E15" s="14" t="str">
        <f>"(V ± "&amp;M7&amp;" ) V"</f>
        <v>(V ± 0,001 ) V</v>
      </c>
      <c r="F15" s="6" t="s">
        <v>30</v>
      </c>
      <c r="G15" s="6" t="s">
        <v>65</v>
      </c>
      <c r="H15" s="3" t="s">
        <v>7</v>
      </c>
      <c r="I15" s="3" t="s">
        <v>8</v>
      </c>
    </row>
    <row r="16" spans="2:13">
      <c r="B16" s="16">
        <v>7</v>
      </c>
      <c r="C16" s="27">
        <f>I9</f>
        <v>4.2300000000000003E-3</v>
      </c>
      <c r="D16" s="16">
        <v>2360</v>
      </c>
      <c r="E16" s="5">
        <f>D16/1000</f>
        <v>2.36</v>
      </c>
      <c r="F16" s="40">
        <f>LN(E16)</f>
        <v>0.8586616190375187</v>
      </c>
      <c r="G16" s="40">
        <f>1/D16*$M$7</f>
        <v>4.2372881355932204E-7</v>
      </c>
      <c r="H16" s="40">
        <f t="shared" ref="H16:H20" si="2">C16*$G$26+$H$26</f>
        <v>0.84453431811463953</v>
      </c>
      <c r="I16" s="40">
        <f>F16-H16</f>
        <v>1.4127300922879171E-2</v>
      </c>
    </row>
    <row r="17" spans="2:9">
      <c r="B17" s="16" t="s">
        <v>44</v>
      </c>
      <c r="C17" s="27">
        <f>I9+I8</f>
        <v>8.4836666666666671E-3</v>
      </c>
      <c r="D17" s="16">
        <v>880</v>
      </c>
      <c r="E17" s="5">
        <f t="shared" ref="E17:E20" si="3">D17/1000</f>
        <v>0.88</v>
      </c>
      <c r="F17" s="40">
        <f t="shared" ref="F17:F20" si="4">LN(E17)</f>
        <v>-0.12783337150988489</v>
      </c>
      <c r="G17" s="40">
        <f t="shared" ref="G16:G20" si="5">1/D17*$M$7</f>
        <v>1.1363636363636364E-6</v>
      </c>
      <c r="H17" s="40">
        <f t="shared" si="2"/>
        <v>-7.7606100522635613E-2</v>
      </c>
      <c r="I17" s="40">
        <f t="shared" ref="I17:I20" si="6">F17-H17</f>
        <v>-5.0227270987249273E-2</v>
      </c>
    </row>
    <row r="18" spans="2:9">
      <c r="B18" s="16" t="s">
        <v>46</v>
      </c>
      <c r="C18" s="27">
        <f>I9+I8+I7</f>
        <v>1.2611333333333334E-2</v>
      </c>
      <c r="D18" s="16">
        <v>400</v>
      </c>
      <c r="E18" s="5">
        <f t="shared" si="3"/>
        <v>0.4</v>
      </c>
      <c r="F18" s="40">
        <f t="shared" si="4"/>
        <v>-0.916290731874155</v>
      </c>
      <c r="G18" s="40">
        <f t="shared" si="5"/>
        <v>2.5000000000000002E-6</v>
      </c>
      <c r="H18" s="40">
        <f t="shared" si="2"/>
        <v>-0.97243133396714443</v>
      </c>
      <c r="I18" s="40">
        <f t="shared" si="6"/>
        <v>5.6140602092989433E-2</v>
      </c>
    </row>
    <row r="19" spans="2:9">
      <c r="B19" s="16" t="s">
        <v>47</v>
      </c>
      <c r="C19" s="27">
        <f>I9+I8+I7+I6</f>
        <v>1.7101333333333333E-2</v>
      </c>
      <c r="D19" s="16">
        <v>140</v>
      </c>
      <c r="E19" s="5">
        <f t="shared" si="3"/>
        <v>0.14000000000000001</v>
      </c>
      <c r="F19" s="40">
        <f t="shared" si="4"/>
        <v>-1.9661128563728327</v>
      </c>
      <c r="G19" s="40">
        <f t="shared" si="5"/>
        <v>7.1428571428571427E-6</v>
      </c>
      <c r="H19" s="40">
        <f t="shared" si="2"/>
        <v>-1.9458057904395285</v>
      </c>
      <c r="I19" s="40">
        <f t="shared" si="6"/>
        <v>-2.0307065933304225E-2</v>
      </c>
    </row>
    <row r="20" spans="2:9">
      <c r="B20" s="16" t="s">
        <v>45</v>
      </c>
      <c r="C20" s="27">
        <f>I9+I8+I7+I6+I5</f>
        <v>2.1104666666666667E-2</v>
      </c>
      <c r="D20" s="16">
        <v>60</v>
      </c>
      <c r="E20" s="5">
        <f t="shared" si="3"/>
        <v>0.06</v>
      </c>
      <c r="F20" s="40">
        <f t="shared" si="4"/>
        <v>-2.8134107167600364</v>
      </c>
      <c r="G20" s="40">
        <f t="shared" si="5"/>
        <v>1.6666666666666667E-5</v>
      </c>
      <c r="H20" s="40">
        <f t="shared" si="2"/>
        <v>-2.8136771506647209</v>
      </c>
      <c r="I20" s="40">
        <f t="shared" si="6"/>
        <v>2.6643390468450434E-4</v>
      </c>
    </row>
    <row r="25" spans="2:9" ht="18">
      <c r="C25" t="s">
        <v>66</v>
      </c>
      <c r="F25" s="31" t="s">
        <v>31</v>
      </c>
      <c r="G25" s="31"/>
      <c r="H25" s="31"/>
      <c r="I25" s="31"/>
    </row>
    <row r="26" spans="2:9">
      <c r="F26" s="8" t="s">
        <v>9</v>
      </c>
      <c r="G26" s="21">
        <f t="array" ref="G26:H28">LINEST(F16:F20,C16:C20,1,1)</f>
        <v>-216.78718406957333</v>
      </c>
      <c r="H26" s="21">
        <v>1.7615441067289348</v>
      </c>
      <c r="I26" s="8" t="s">
        <v>12</v>
      </c>
    </row>
    <row r="27" spans="2:9">
      <c r="F27" s="8" t="s">
        <v>10</v>
      </c>
      <c r="G27" s="21">
        <v>3.4164132668199341</v>
      </c>
      <c r="H27" s="21">
        <v>4.7994801438736474E-2</v>
      </c>
      <c r="I27" s="8" t="s">
        <v>11</v>
      </c>
    </row>
    <row r="28" spans="2:9" ht="17.25">
      <c r="F28" s="8" t="s">
        <v>14</v>
      </c>
      <c r="G28" s="21">
        <v>0.99925548853835022</v>
      </c>
      <c r="H28" s="21">
        <v>4.5776902834656415E-2</v>
      </c>
      <c r="I28" s="8" t="s">
        <v>13</v>
      </c>
    </row>
  </sheetData>
  <mergeCells count="3">
    <mergeCell ref="C2:E2"/>
    <mergeCell ref="F2:H2"/>
    <mergeCell ref="F25:I2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E40E-1154-479A-AAB0-0FC0A58E6C1C}">
  <dimension ref="B2:M28"/>
  <sheetViews>
    <sheetView topLeftCell="K12" zoomScale="160" zoomScaleNormal="160" workbookViewId="0">
      <selection activeCell="F16" sqref="F16:I20"/>
    </sheetView>
  </sheetViews>
  <sheetFormatPr defaultColWidth="9.140625" defaultRowHeight="15"/>
  <cols>
    <col min="2" max="2" width="12.85546875" customWidth="1"/>
    <col min="3" max="3" width="22.42578125" bestFit="1" customWidth="1"/>
    <col min="4" max="6" width="11.7109375" customWidth="1"/>
    <col min="7" max="7" width="16.7109375" bestFit="1" customWidth="1"/>
    <col min="8" max="8" width="12.42578125" customWidth="1"/>
    <col min="9" max="9" width="11.28515625" customWidth="1"/>
    <col min="11" max="11" width="10.28515625" bestFit="1" customWidth="1"/>
    <col min="15" max="15" width="16.7109375" bestFit="1" customWidth="1"/>
  </cols>
  <sheetData>
    <row r="2" spans="2:13" ht="18">
      <c r="B2" s="14" t="s">
        <v>24</v>
      </c>
      <c r="C2" s="34" t="s">
        <v>67</v>
      </c>
      <c r="D2" s="34"/>
      <c r="E2" s="34"/>
      <c r="F2" s="34" t="s">
        <v>68</v>
      </c>
      <c r="G2" s="34"/>
      <c r="H2" s="34"/>
      <c r="I2" s="6" t="s">
        <v>26</v>
      </c>
    </row>
    <row r="3" spans="2:13">
      <c r="B3" s="16">
        <v>1</v>
      </c>
      <c r="C3" s="10">
        <f>'Coeficiente de Absorção #1'!C3</f>
        <v>4.29</v>
      </c>
      <c r="D3" s="10">
        <f>'Coeficiente de Absorção #1'!D3</f>
        <v>4.3280000000000003</v>
      </c>
      <c r="E3" s="10">
        <f>'Coeficiente de Absorção #1'!E3</f>
        <v>4.2969999999999997</v>
      </c>
      <c r="F3" s="2">
        <f>C3/1000</f>
        <v>4.2900000000000004E-3</v>
      </c>
      <c r="G3" s="2">
        <f t="shared" ref="G3:H10" si="0">D3/1000</f>
        <v>4.3280000000000002E-3</v>
      </c>
      <c r="H3" s="2">
        <f t="shared" si="0"/>
        <v>4.2969999999999996E-3</v>
      </c>
      <c r="I3" s="2">
        <f>AVERAGE(F3:H3)</f>
        <v>4.3049999999999998E-3</v>
      </c>
      <c r="L3" s="3" t="s">
        <v>20</v>
      </c>
      <c r="M3" s="3" t="s">
        <v>9</v>
      </c>
    </row>
    <row r="4" spans="2:13">
      <c r="B4" s="16">
        <v>2</v>
      </c>
      <c r="C4" s="10">
        <f>'Coeficiente de Absorção #1'!C4</f>
        <v>4.7229999999999999</v>
      </c>
      <c r="D4" s="10">
        <f>'Coeficiente de Absorção #1'!D4</f>
        <v>4.67</v>
      </c>
      <c r="E4" s="10">
        <f>'Coeficiente de Absorção #1'!E4</f>
        <v>4.609</v>
      </c>
      <c r="F4" s="2">
        <f t="shared" ref="F4:F10" si="1">C4/1000</f>
        <v>4.7229999999999998E-3</v>
      </c>
      <c r="G4" s="2">
        <f t="shared" si="0"/>
        <v>4.6699999999999997E-3</v>
      </c>
      <c r="H4" s="2">
        <f t="shared" si="0"/>
        <v>4.6090000000000002E-3</v>
      </c>
      <c r="I4" s="2">
        <f t="shared" ref="I4:I10" si="2">AVERAGE(F4:H4)</f>
        <v>4.6673333333333332E-3</v>
      </c>
      <c r="K4" s="6" t="s">
        <v>25</v>
      </c>
      <c r="L4" s="2">
        <f>'Coeficiente de Absorção #1'!L4</f>
        <v>1E-3</v>
      </c>
      <c r="M4" s="2">
        <f>L4/100</f>
        <v>1.0000000000000001E-5</v>
      </c>
    </row>
    <row r="5" spans="2:13">
      <c r="B5" s="16">
        <v>3</v>
      </c>
      <c r="C5" s="10">
        <f>'Coeficiente de Absorção #1'!C5</f>
        <v>3.99</v>
      </c>
      <c r="D5" s="10">
        <f>'Coeficiente de Absorção #1'!D5</f>
        <v>3.92</v>
      </c>
      <c r="E5" s="10">
        <f>'Coeficiente de Absorção #1'!E5</f>
        <v>4.0999999999999996</v>
      </c>
      <c r="F5" s="2">
        <f t="shared" si="1"/>
        <v>3.9900000000000005E-3</v>
      </c>
      <c r="G5" s="2">
        <f t="shared" si="0"/>
        <v>3.9199999999999999E-3</v>
      </c>
      <c r="H5" s="2">
        <f t="shared" si="0"/>
        <v>4.0999999999999995E-3</v>
      </c>
      <c r="I5" s="2">
        <f t="shared" si="2"/>
        <v>4.0033333333333336E-3</v>
      </c>
    </row>
    <row r="6" spans="2:13">
      <c r="B6" s="16">
        <v>4</v>
      </c>
      <c r="C6" s="10">
        <f>'Coeficiente de Absorção #1'!C6</f>
        <v>4.49</v>
      </c>
      <c r="D6" s="10">
        <f>'Coeficiente de Absorção #1'!D6</f>
        <v>4.57</v>
      </c>
      <c r="E6" s="10">
        <f>'Coeficiente de Absorção #1'!E6</f>
        <v>4.41</v>
      </c>
      <c r="F6" s="2">
        <f t="shared" si="1"/>
        <v>4.4900000000000001E-3</v>
      </c>
      <c r="G6" s="2">
        <f t="shared" si="0"/>
        <v>4.5700000000000003E-3</v>
      </c>
      <c r="H6" s="2">
        <f t="shared" si="0"/>
        <v>4.4099999999999999E-3</v>
      </c>
      <c r="I6" s="2">
        <f t="shared" si="2"/>
        <v>4.4900000000000001E-3</v>
      </c>
      <c r="L6" s="3" t="s">
        <v>28</v>
      </c>
      <c r="M6" s="3" t="s">
        <v>29</v>
      </c>
    </row>
    <row r="7" spans="2:13">
      <c r="B7" s="16">
        <v>5</v>
      </c>
      <c r="C7" s="10">
        <f>'Coeficiente de Absorção #1'!C7</f>
        <v>4.125</v>
      </c>
      <c r="D7" s="10">
        <f>'Coeficiente de Absorção #1'!D7</f>
        <v>4.1580000000000004</v>
      </c>
      <c r="E7" s="10">
        <f>'Coeficiente de Absorção #1'!E7</f>
        <v>4.0999999999999996</v>
      </c>
      <c r="F7" s="2">
        <f t="shared" si="1"/>
        <v>4.1250000000000002E-3</v>
      </c>
      <c r="G7" s="2">
        <f t="shared" si="0"/>
        <v>4.1580000000000002E-3</v>
      </c>
      <c r="H7" s="2">
        <f t="shared" si="0"/>
        <v>4.0999999999999995E-3</v>
      </c>
      <c r="I7" s="2">
        <f t="shared" si="2"/>
        <v>4.1276666666666666E-3</v>
      </c>
      <c r="K7" s="3" t="s">
        <v>23</v>
      </c>
      <c r="L7" s="2">
        <f>'Coeficiente de Absorção #1'!L7</f>
        <v>1</v>
      </c>
      <c r="M7" s="2">
        <f>L7/100</f>
        <v>0.01</v>
      </c>
    </row>
    <row r="8" spans="2:13">
      <c r="B8" s="16">
        <v>6</v>
      </c>
      <c r="C8" s="10">
        <f>'Coeficiente de Absorção #1'!C8</f>
        <v>4.2549999999999999</v>
      </c>
      <c r="D8" s="10">
        <f>'Coeficiente de Absorção #1'!D8</f>
        <v>4.1360000000000001</v>
      </c>
      <c r="E8" s="10">
        <f>'Coeficiente de Absorção #1'!E8</f>
        <v>4.37</v>
      </c>
      <c r="F8" s="2">
        <f t="shared" si="1"/>
        <v>4.2550000000000001E-3</v>
      </c>
      <c r="G8" s="2">
        <f t="shared" si="0"/>
        <v>4.1359999999999999E-3</v>
      </c>
      <c r="H8" s="2">
        <f t="shared" si="0"/>
        <v>4.3699999999999998E-3</v>
      </c>
      <c r="I8" s="2">
        <f t="shared" si="2"/>
        <v>4.253666666666666E-3</v>
      </c>
    </row>
    <row r="9" spans="2:13">
      <c r="B9" s="16">
        <v>7</v>
      </c>
      <c r="C9" s="10">
        <f>'Coeficiente de Absorção #1'!C9</f>
        <v>4.24</v>
      </c>
      <c r="D9" s="10">
        <f>'Coeficiente de Absorção #1'!D9</f>
        <v>4.165</v>
      </c>
      <c r="E9" s="10">
        <f>'Coeficiente de Absorção #1'!E9</f>
        <v>4.2850000000000001</v>
      </c>
      <c r="F9" s="2">
        <f t="shared" si="1"/>
        <v>4.2399999999999998E-3</v>
      </c>
      <c r="G9" s="2">
        <f t="shared" si="0"/>
        <v>4.1650000000000003E-3</v>
      </c>
      <c r="H9" s="2">
        <f t="shared" si="0"/>
        <v>4.2849999999999997E-3</v>
      </c>
      <c r="I9" s="2">
        <f t="shared" si="2"/>
        <v>4.2300000000000003E-3</v>
      </c>
    </row>
    <row r="12" spans="2:13">
      <c r="D12" s="9" t="str">
        <f>"Cm ± "&amp;L4</f>
        <v>Cm ± 0,001</v>
      </c>
      <c r="E12" s="9" t="str">
        <f>"m ± "&amp;M4</f>
        <v>m ± 0,00001</v>
      </c>
    </row>
    <row r="13" spans="2:13">
      <c r="B13" s="6" t="s">
        <v>70</v>
      </c>
      <c r="C13" s="9" t="s">
        <v>19</v>
      </c>
      <c r="D13" s="15">
        <v>20</v>
      </c>
      <c r="E13" s="16">
        <f>D13/100</f>
        <v>0.2</v>
      </c>
      <c r="F13" s="19"/>
    </row>
    <row r="15" spans="2:13" ht="18">
      <c r="B15" s="3" t="s">
        <v>27</v>
      </c>
      <c r="C15" s="13" t="s">
        <v>69</v>
      </c>
      <c r="D15" s="14" t="str">
        <f>"(V ± "&amp;L7&amp;" ) mV"</f>
        <v>(V ± 1 ) mV</v>
      </c>
      <c r="E15" s="14" t="str">
        <f>"(V ± "&amp;M7&amp;" ) V"</f>
        <v>(V ± 0,01 ) V</v>
      </c>
      <c r="F15" s="6" t="s">
        <v>30</v>
      </c>
      <c r="G15" s="6" t="s">
        <v>65</v>
      </c>
      <c r="H15" s="3" t="s">
        <v>7</v>
      </c>
      <c r="I15" s="3" t="s">
        <v>8</v>
      </c>
    </row>
    <row r="16" spans="2:13">
      <c r="B16" s="7">
        <v>3</v>
      </c>
      <c r="C16" s="36">
        <f>I5</f>
        <v>4.0033333333333336E-3</v>
      </c>
      <c r="D16" s="7">
        <v>2280</v>
      </c>
      <c r="E16" s="23">
        <v>2.2799999999999998</v>
      </c>
      <c r="F16" s="41">
        <f>LN(E16)</f>
        <v>0.82417544296634937</v>
      </c>
      <c r="G16" s="41">
        <f>1/D16*$M$7</f>
        <v>4.3859649122807023E-6</v>
      </c>
      <c r="H16" s="41">
        <f t="shared" ref="H16:H20" si="3">C16*$G$26+$H$26</f>
        <v>0.76198003210751208</v>
      </c>
      <c r="I16" s="41">
        <f>F16-H16</f>
        <v>6.2195410858837286E-2</v>
      </c>
    </row>
    <row r="17" spans="2:9">
      <c r="B17" s="7" t="s">
        <v>40</v>
      </c>
      <c r="C17" s="36">
        <f>I5+I6</f>
        <v>8.4933333333333336E-3</v>
      </c>
      <c r="D17" s="7">
        <v>800</v>
      </c>
      <c r="E17" s="23">
        <f>D17*0.001</f>
        <v>0.8</v>
      </c>
      <c r="F17" s="41">
        <f t="shared" ref="F17:F20" si="4">LN(E17)</f>
        <v>-0.22314355131420971</v>
      </c>
      <c r="G17" s="41">
        <f t="shared" ref="G16:G20" si="5">1/D17*$M$7</f>
        <v>1.2500000000000001E-5</v>
      </c>
      <c r="H17" s="41">
        <f t="shared" si="3"/>
        <v>-0.20542371410156113</v>
      </c>
      <c r="I17" s="41">
        <f t="shared" ref="I17:I20" si="6">F17-H17</f>
        <v>-1.7719837212648581E-2</v>
      </c>
    </row>
    <row r="18" spans="2:9">
      <c r="B18" s="7" t="s">
        <v>41</v>
      </c>
      <c r="C18" s="36">
        <f>I5+I6+I7</f>
        <v>1.2621E-2</v>
      </c>
      <c r="D18" s="7">
        <v>320</v>
      </c>
      <c r="E18" s="23">
        <f t="shared" ref="E18:E20" si="7">D18/1000</f>
        <v>0.32</v>
      </c>
      <c r="F18" s="41">
        <f t="shared" si="4"/>
        <v>-1.1394342831883648</v>
      </c>
      <c r="G18" s="41">
        <f t="shared" si="5"/>
        <v>3.1250000000000001E-5</v>
      </c>
      <c r="H18" s="41">
        <f t="shared" si="3"/>
        <v>-1.0947600607464723</v>
      </c>
      <c r="I18" s="41">
        <f t="shared" si="6"/>
        <v>-4.4674222441892564E-2</v>
      </c>
    </row>
    <row r="19" spans="2:9">
      <c r="B19" s="7" t="s">
        <v>42</v>
      </c>
      <c r="C19" s="36">
        <f>I5+I6+I7+I8</f>
        <v>1.6874666666666666E-2</v>
      </c>
      <c r="D19" s="7">
        <v>120</v>
      </c>
      <c r="E19" s="23">
        <f t="shared" si="7"/>
        <v>0.12</v>
      </c>
      <c r="F19" s="41">
        <f t="shared" si="4"/>
        <v>-2.120263536200091</v>
      </c>
      <c r="G19" s="41">
        <f t="shared" si="5"/>
        <v>8.3333333333333331E-5</v>
      </c>
      <c r="H19" s="41">
        <f t="shared" si="3"/>
        <v>-2.0112440403584979</v>
      </c>
      <c r="I19" s="41">
        <f t="shared" si="6"/>
        <v>-0.10901949584159309</v>
      </c>
    </row>
    <row r="20" spans="2:9">
      <c r="B20" s="7" t="s">
        <v>43</v>
      </c>
      <c r="C20" s="36">
        <f>I5+I6+I7+I8+I9</f>
        <v>2.1104666666666667E-2</v>
      </c>
      <c r="D20" s="7">
        <v>60</v>
      </c>
      <c r="E20" s="23">
        <f t="shared" si="7"/>
        <v>0.06</v>
      </c>
      <c r="F20" s="41">
        <f t="shared" si="4"/>
        <v>-2.8134107167600364</v>
      </c>
      <c r="G20" s="41">
        <f t="shared" si="5"/>
        <v>1.6666666666666666E-4</v>
      </c>
      <c r="H20" s="41">
        <f t="shared" si="3"/>
        <v>-2.9226288613973357</v>
      </c>
      <c r="I20" s="41">
        <f t="shared" si="6"/>
        <v>0.10921814463729929</v>
      </c>
    </row>
    <row r="25" spans="2:9">
      <c r="F25" s="39" t="s">
        <v>60</v>
      </c>
      <c r="G25" s="39"/>
      <c r="H25" s="39"/>
      <c r="I25" s="39"/>
    </row>
    <row r="26" spans="2:9">
      <c r="F26" s="9" t="s">
        <v>9</v>
      </c>
      <c r="G26" s="35">
        <f t="array" ref="G26:H28">LINEST(F16:F20,C16:C20,1,1)</f>
        <v>-215.45740450090719</v>
      </c>
      <c r="H26" s="35">
        <v>1.6245278414594773</v>
      </c>
      <c r="I26" s="9" t="s">
        <v>12</v>
      </c>
    </row>
    <row r="27" spans="2:9">
      <c r="F27" s="9" t="s">
        <v>10</v>
      </c>
      <c r="G27" s="35">
        <v>7.4243929128600721</v>
      </c>
      <c r="H27" s="35">
        <v>0.10381490992163261</v>
      </c>
      <c r="I27" s="9" t="s">
        <v>11</v>
      </c>
    </row>
    <row r="28" spans="2:9" ht="17.25">
      <c r="F28" s="9" t="s">
        <v>14</v>
      </c>
      <c r="G28" s="35">
        <v>0.99645042791683303</v>
      </c>
      <c r="H28" s="35">
        <v>9.998650159746425E-2</v>
      </c>
      <c r="I28" s="9" t="s">
        <v>13</v>
      </c>
    </row>
  </sheetData>
  <mergeCells count="3">
    <mergeCell ref="F25:I25"/>
    <mergeCell ref="F2:H2"/>
    <mergeCell ref="C2:E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740D-C390-4794-91E1-ECED3CAE2903}">
  <dimension ref="B2:M28"/>
  <sheetViews>
    <sheetView topLeftCell="K13" zoomScale="175" zoomScaleNormal="175" workbookViewId="0">
      <selection activeCell="F16" sqref="F16:I20"/>
    </sheetView>
  </sheetViews>
  <sheetFormatPr defaultColWidth="9.140625" defaultRowHeight="15"/>
  <cols>
    <col min="2" max="2" width="13.42578125" bestFit="1" customWidth="1"/>
    <col min="3" max="3" width="20.28515625" bestFit="1" customWidth="1"/>
    <col min="4" max="6" width="11.7109375" customWidth="1"/>
    <col min="7" max="7" width="16.7109375" bestFit="1" customWidth="1"/>
    <col min="8" max="8" width="12.42578125" customWidth="1"/>
    <col min="9" max="9" width="11.28515625" customWidth="1"/>
    <col min="11" max="11" width="10.28515625" bestFit="1" customWidth="1"/>
    <col min="15" max="15" width="16.7109375" bestFit="1" customWidth="1"/>
  </cols>
  <sheetData>
    <row r="2" spans="2:13">
      <c r="B2" s="14" t="s">
        <v>24</v>
      </c>
      <c r="C2" s="34" t="str">
        <f xml:space="preserve"> "(Valores Retirados ± "&amp;L4&amp;" ) cm"</f>
        <v>(Valores Retirados ± 0,001 ) cm</v>
      </c>
      <c r="D2" s="34"/>
      <c r="E2" s="34"/>
      <c r="F2" s="34" t="str">
        <f xml:space="preserve"> "(Valores Retirados ± "&amp;M4&amp;" ) m"</f>
        <v>(Valores Retirados ± 0,00001 ) m</v>
      </c>
      <c r="G2" s="34"/>
      <c r="H2" s="34"/>
      <c r="I2" s="6" t="s">
        <v>26</v>
      </c>
    </row>
    <row r="3" spans="2:13">
      <c r="B3" s="16">
        <v>1</v>
      </c>
      <c r="C3" s="10">
        <f>'Coeficiente de Absorção #1'!C3</f>
        <v>4.29</v>
      </c>
      <c r="D3" s="10">
        <f>'Coeficiente de Absorção #1'!D3</f>
        <v>4.3280000000000003</v>
      </c>
      <c r="E3" s="10">
        <f>'Coeficiente de Absorção #1'!E3</f>
        <v>4.2969999999999997</v>
      </c>
      <c r="F3" s="2">
        <f>C3/1000</f>
        <v>4.2900000000000004E-3</v>
      </c>
      <c r="G3" s="2">
        <f t="shared" ref="G3:H10" si="0">D3/1000</f>
        <v>4.3280000000000002E-3</v>
      </c>
      <c r="H3" s="2">
        <f t="shared" si="0"/>
        <v>4.2969999999999996E-3</v>
      </c>
      <c r="I3" s="2">
        <f>AVERAGE(F3:H3)</f>
        <v>4.3049999999999998E-3</v>
      </c>
      <c r="L3" s="3" t="s">
        <v>20</v>
      </c>
      <c r="M3" s="3" t="s">
        <v>9</v>
      </c>
    </row>
    <row r="4" spans="2:13">
      <c r="B4" s="16">
        <v>2</v>
      </c>
      <c r="C4" s="10">
        <f>'Coeficiente de Absorção #1'!C4</f>
        <v>4.7229999999999999</v>
      </c>
      <c r="D4" s="10">
        <f>'Coeficiente de Absorção #1'!D4</f>
        <v>4.67</v>
      </c>
      <c r="E4" s="10">
        <f>'Coeficiente de Absorção #1'!E4</f>
        <v>4.609</v>
      </c>
      <c r="F4" s="2">
        <f t="shared" ref="F4:F10" si="1">C4/1000</f>
        <v>4.7229999999999998E-3</v>
      </c>
      <c r="G4" s="2">
        <f t="shared" si="0"/>
        <v>4.6699999999999997E-3</v>
      </c>
      <c r="H4" s="2">
        <f t="shared" si="0"/>
        <v>4.6090000000000002E-3</v>
      </c>
      <c r="I4" s="2">
        <f t="shared" ref="I4:I10" si="2">AVERAGE(F4:H4)</f>
        <v>4.6673333333333332E-3</v>
      </c>
      <c r="K4" s="6" t="s">
        <v>25</v>
      </c>
      <c r="L4" s="2">
        <f>'Coeficiente de Absorção #2'!L4</f>
        <v>1E-3</v>
      </c>
      <c r="M4" s="2">
        <f>L4/100</f>
        <v>1.0000000000000001E-5</v>
      </c>
    </row>
    <row r="5" spans="2:13">
      <c r="B5" s="16">
        <v>3</v>
      </c>
      <c r="C5" s="10">
        <f>'Coeficiente de Absorção #1'!C5</f>
        <v>3.99</v>
      </c>
      <c r="D5" s="10">
        <f>'Coeficiente de Absorção #1'!D5</f>
        <v>3.92</v>
      </c>
      <c r="E5" s="10">
        <f>'Coeficiente de Absorção #1'!E5</f>
        <v>4.0999999999999996</v>
      </c>
      <c r="F5" s="2">
        <f t="shared" si="1"/>
        <v>3.9900000000000005E-3</v>
      </c>
      <c r="G5" s="2">
        <f t="shared" si="0"/>
        <v>3.9199999999999999E-3</v>
      </c>
      <c r="H5" s="2">
        <f t="shared" si="0"/>
        <v>4.0999999999999995E-3</v>
      </c>
      <c r="I5" s="2">
        <f t="shared" si="2"/>
        <v>4.0033333333333336E-3</v>
      </c>
    </row>
    <row r="6" spans="2:13">
      <c r="B6" s="16">
        <v>4</v>
      </c>
      <c r="C6" s="10">
        <f>'Coeficiente de Absorção #1'!C6</f>
        <v>4.49</v>
      </c>
      <c r="D6" s="10">
        <f>'Coeficiente de Absorção #1'!D6</f>
        <v>4.57</v>
      </c>
      <c r="E6" s="10">
        <f>'Coeficiente de Absorção #1'!E6</f>
        <v>4.41</v>
      </c>
      <c r="F6" s="2">
        <f t="shared" si="1"/>
        <v>4.4900000000000001E-3</v>
      </c>
      <c r="G6" s="2">
        <f t="shared" si="0"/>
        <v>4.5700000000000003E-3</v>
      </c>
      <c r="H6" s="2">
        <f t="shared" si="0"/>
        <v>4.4099999999999999E-3</v>
      </c>
      <c r="I6" s="2">
        <f t="shared" si="2"/>
        <v>4.4900000000000001E-3</v>
      </c>
      <c r="L6" s="3" t="s">
        <v>28</v>
      </c>
      <c r="M6" s="3" t="s">
        <v>29</v>
      </c>
    </row>
    <row r="7" spans="2:13">
      <c r="B7" s="16">
        <v>5</v>
      </c>
      <c r="C7" s="10">
        <f>'Coeficiente de Absorção #1'!C7</f>
        <v>4.125</v>
      </c>
      <c r="D7" s="10">
        <f>'Coeficiente de Absorção #1'!D7</f>
        <v>4.1580000000000004</v>
      </c>
      <c r="E7" s="10">
        <f>'Coeficiente de Absorção #1'!E7</f>
        <v>4.0999999999999996</v>
      </c>
      <c r="F7" s="2">
        <f t="shared" si="1"/>
        <v>4.1250000000000002E-3</v>
      </c>
      <c r="G7" s="2">
        <f t="shared" si="0"/>
        <v>4.1580000000000002E-3</v>
      </c>
      <c r="H7" s="2">
        <f t="shared" si="0"/>
        <v>4.0999999999999995E-3</v>
      </c>
      <c r="I7" s="2">
        <f t="shared" si="2"/>
        <v>4.1276666666666666E-3</v>
      </c>
      <c r="K7" s="3" t="s">
        <v>23</v>
      </c>
      <c r="L7" s="2">
        <f>'Coeficiente de Absorção #2'!L7</f>
        <v>1</v>
      </c>
      <c r="M7" s="2">
        <f>L7/100</f>
        <v>0.01</v>
      </c>
    </row>
    <row r="8" spans="2:13">
      <c r="B8" s="16">
        <v>6</v>
      </c>
      <c r="C8" s="10">
        <f>'Coeficiente de Absorção #1'!C8</f>
        <v>4.2549999999999999</v>
      </c>
      <c r="D8" s="10">
        <f>'Coeficiente de Absorção #1'!D8</f>
        <v>4.1360000000000001</v>
      </c>
      <c r="E8" s="10">
        <f>'Coeficiente de Absorção #1'!E8</f>
        <v>4.37</v>
      </c>
      <c r="F8" s="2">
        <f t="shared" si="1"/>
        <v>4.2550000000000001E-3</v>
      </c>
      <c r="G8" s="2">
        <f t="shared" si="0"/>
        <v>4.1359999999999999E-3</v>
      </c>
      <c r="H8" s="2">
        <f t="shared" si="0"/>
        <v>4.3699999999999998E-3</v>
      </c>
      <c r="I8" s="2">
        <f t="shared" si="2"/>
        <v>4.253666666666666E-3</v>
      </c>
    </row>
    <row r="9" spans="2:13">
      <c r="B9" s="16">
        <v>7</v>
      </c>
      <c r="C9" s="10">
        <f>'Coeficiente de Absorção #1'!C9</f>
        <v>4.24</v>
      </c>
      <c r="D9" s="10">
        <f>'Coeficiente de Absorção #1'!D9</f>
        <v>4.165</v>
      </c>
      <c r="E9" s="10">
        <f>'Coeficiente de Absorção #1'!E9</f>
        <v>4.2850000000000001</v>
      </c>
      <c r="F9" s="2">
        <f t="shared" si="1"/>
        <v>4.2399999999999998E-3</v>
      </c>
      <c r="G9" s="2">
        <f t="shared" si="0"/>
        <v>4.1650000000000003E-3</v>
      </c>
      <c r="H9" s="2">
        <f t="shared" si="0"/>
        <v>4.2849999999999997E-3</v>
      </c>
      <c r="I9" s="2">
        <f t="shared" si="2"/>
        <v>4.2300000000000003E-3</v>
      </c>
    </row>
    <row r="12" spans="2:13">
      <c r="D12" s="9" t="str">
        <f>"Cm ± "&amp;L4</f>
        <v>Cm ± 0,001</v>
      </c>
      <c r="E12" s="9" t="str">
        <f>"m ± "&amp;M4</f>
        <v>m ± 0,00001</v>
      </c>
    </row>
    <row r="13" spans="2:13">
      <c r="B13" s="6" t="s">
        <v>71</v>
      </c>
      <c r="C13" s="9" t="s">
        <v>19</v>
      </c>
      <c r="D13" s="15">
        <v>20</v>
      </c>
      <c r="E13" s="16">
        <f>D13/100</f>
        <v>0.2</v>
      </c>
      <c r="F13" s="19"/>
    </row>
    <row r="15" spans="2:13">
      <c r="B15" s="3" t="s">
        <v>27</v>
      </c>
      <c r="C15" s="13" t="str">
        <f>"(Esp. Filtros ± "&amp;M4&amp;" ) m"</f>
        <v>(Esp. Filtros ± 0,00001 ) m</v>
      </c>
      <c r="D15" s="14" t="str">
        <f>"(V ± "&amp;L7&amp;" ) mV"</f>
        <v>(V ± 1 ) mV</v>
      </c>
      <c r="E15" s="14" t="str">
        <f>"(V ± "&amp;M7&amp;" ) V"</f>
        <v>(V ± 0,01 ) V</v>
      </c>
      <c r="F15" s="6" t="s">
        <v>30</v>
      </c>
      <c r="G15" s="6" t="s">
        <v>65</v>
      </c>
      <c r="H15" s="3" t="s">
        <v>7</v>
      </c>
      <c r="I15" s="3" t="s">
        <v>8</v>
      </c>
    </row>
    <row r="16" spans="2:13">
      <c r="B16" s="7">
        <v>6</v>
      </c>
      <c r="C16" s="36">
        <f>I8</f>
        <v>4.253666666666666E-3</v>
      </c>
      <c r="D16" s="7">
        <v>2060</v>
      </c>
      <c r="E16" s="7">
        <v>2.06</v>
      </c>
      <c r="F16" s="41">
        <f>LN(E16)</f>
        <v>0.72270598280148979</v>
      </c>
      <c r="G16" s="41">
        <f t="shared" ref="G16:G20" si="3">1/D16*$M$7</f>
        <v>4.8543689320388348E-6</v>
      </c>
      <c r="H16" s="41">
        <f t="shared" ref="H16:H20" si="4">C16*$G$26+$H$26</f>
        <v>0.71900031747508686</v>
      </c>
      <c r="I16" s="41">
        <f>F16-H16</f>
        <v>3.7056653264029293E-3</v>
      </c>
    </row>
    <row r="17" spans="2:9">
      <c r="B17" s="7" t="s">
        <v>48</v>
      </c>
      <c r="C17" s="36">
        <f>I8+I7</f>
        <v>8.3813333333333326E-3</v>
      </c>
      <c r="D17" s="7">
        <v>960</v>
      </c>
      <c r="E17" s="7">
        <f>D17*0.001</f>
        <v>0.96</v>
      </c>
      <c r="F17" s="41">
        <f t="shared" ref="F17:F20" si="5">LN(E17)</f>
        <v>-4.0821994520255166E-2</v>
      </c>
      <c r="G17" s="41">
        <f t="shared" si="3"/>
        <v>1.0416666666666666E-5</v>
      </c>
      <c r="H17" s="41">
        <f t="shared" si="4"/>
        <v>-0.11995653910046533</v>
      </c>
      <c r="I17" s="41">
        <f t="shared" ref="I17:I20" si="6">F17-H17</f>
        <v>7.9134544580210159E-2</v>
      </c>
    </row>
    <row r="18" spans="2:9">
      <c r="B18" s="7" t="s">
        <v>49</v>
      </c>
      <c r="C18" s="36">
        <f>I8+I7+I6</f>
        <v>1.2871333333333332E-2</v>
      </c>
      <c r="D18" s="7">
        <v>360</v>
      </c>
      <c r="E18" s="7">
        <f t="shared" ref="E18:E20" si="7">D18/1000</f>
        <v>0.36</v>
      </c>
      <c r="F18" s="41">
        <f t="shared" si="5"/>
        <v>-1.0216512475319814</v>
      </c>
      <c r="G18" s="41">
        <f t="shared" si="3"/>
        <v>2.7777777777777779E-5</v>
      </c>
      <c r="H18" s="41">
        <f t="shared" si="4"/>
        <v>-1.0325584011753006</v>
      </c>
      <c r="I18" s="41">
        <f t="shared" si="6"/>
        <v>1.0907153643319178E-2</v>
      </c>
    </row>
    <row r="19" spans="2:9">
      <c r="B19" s="7" t="s">
        <v>50</v>
      </c>
      <c r="C19" s="36">
        <f>I8+I7+I6+I5</f>
        <v>1.6874666666666666E-2</v>
      </c>
      <c r="D19" s="7">
        <v>120</v>
      </c>
      <c r="E19" s="7">
        <f t="shared" si="7"/>
        <v>0.12</v>
      </c>
      <c r="F19" s="41">
        <f t="shared" si="5"/>
        <v>-2.120263536200091</v>
      </c>
      <c r="G19" s="41">
        <f t="shared" si="3"/>
        <v>8.3333333333333331E-5</v>
      </c>
      <c r="H19" s="41">
        <f t="shared" si="4"/>
        <v>-1.8462442485040891</v>
      </c>
      <c r="I19" s="41">
        <f t="shared" si="6"/>
        <v>-0.27401928769600192</v>
      </c>
    </row>
    <row r="20" spans="2:9">
      <c r="B20" s="7" t="s">
        <v>51</v>
      </c>
      <c r="C20" s="36">
        <f>I9+I8+I7+I6+I5</f>
        <v>2.1104666666666667E-2</v>
      </c>
      <c r="D20" s="7">
        <v>80</v>
      </c>
      <c r="E20" s="7">
        <f t="shared" si="7"/>
        <v>0.08</v>
      </c>
      <c r="F20" s="41">
        <f t="shared" si="5"/>
        <v>-2.5257286443082556</v>
      </c>
      <c r="G20" s="41">
        <f t="shared" si="3"/>
        <v>1.25E-4</v>
      </c>
      <c r="H20" s="41">
        <f t="shared" si="4"/>
        <v>-2.706000568454324</v>
      </c>
      <c r="I20" s="41">
        <f t="shared" si="6"/>
        <v>0.18027192414606841</v>
      </c>
    </row>
    <row r="25" spans="2:9">
      <c r="F25" s="31" t="s">
        <v>61</v>
      </c>
      <c r="G25" s="31"/>
      <c r="H25" s="31"/>
      <c r="I25" s="31"/>
    </row>
    <row r="26" spans="2:9">
      <c r="F26" s="8" t="s">
        <v>9</v>
      </c>
      <c r="G26" s="21">
        <f t="array" ref="G26:H28">LINEST(F16:F20,C16:C20,1,1)</f>
        <v>-203.25208509461817</v>
      </c>
      <c r="H26" s="21">
        <v>1.5835669367725609</v>
      </c>
      <c r="I26" s="8" t="s">
        <v>12</v>
      </c>
    </row>
    <row r="27" spans="2:9">
      <c r="F27" s="8" t="s">
        <v>10</v>
      </c>
      <c r="G27" s="21">
        <v>14.60618006878869</v>
      </c>
      <c r="H27" s="21">
        <v>0.20492142495122631</v>
      </c>
      <c r="I27" s="8" t="s">
        <v>11</v>
      </c>
    </row>
    <row r="28" spans="2:9" ht="17.25">
      <c r="F28" s="8" t="s">
        <v>14</v>
      </c>
      <c r="G28" s="21">
        <v>0.98474375094148092</v>
      </c>
      <c r="H28" s="21">
        <v>0.19491836818420316</v>
      </c>
      <c r="I28" s="8" t="s">
        <v>13</v>
      </c>
    </row>
  </sheetData>
  <mergeCells count="3">
    <mergeCell ref="C2:E2"/>
    <mergeCell ref="F2:H2"/>
    <mergeCell ref="F25:I2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CA03-1F6F-4BA1-96FF-71CF6360130C}">
  <dimension ref="B2:M33"/>
  <sheetViews>
    <sheetView topLeftCell="I1" zoomScale="145" zoomScaleNormal="145" workbookViewId="0">
      <selection activeCell="F16" sqref="F16:I20"/>
    </sheetView>
  </sheetViews>
  <sheetFormatPr defaultColWidth="9.140625" defaultRowHeight="15"/>
  <cols>
    <col min="2" max="2" width="13.5703125" bestFit="1" customWidth="1"/>
    <col min="3" max="3" width="23.7109375" bestFit="1" customWidth="1"/>
    <col min="4" max="6" width="11.7109375" customWidth="1"/>
    <col min="7" max="7" width="16.7109375" bestFit="1" customWidth="1"/>
    <col min="8" max="8" width="12.42578125" customWidth="1"/>
    <col min="9" max="9" width="11.28515625" customWidth="1"/>
    <col min="11" max="11" width="10.28515625" bestFit="1" customWidth="1"/>
    <col min="15" max="15" width="16.7109375" bestFit="1" customWidth="1"/>
  </cols>
  <sheetData>
    <row r="2" spans="2:13">
      <c r="B2" s="14" t="s">
        <v>24</v>
      </c>
      <c r="C2" s="34" t="str">
        <f xml:space="preserve"> "(Valores Retirados ± "&amp;L4&amp;" ) cm"</f>
        <v>(Valores Retirados ± 0,001 ) cm</v>
      </c>
      <c r="D2" s="34"/>
      <c r="E2" s="34"/>
      <c r="F2" s="34" t="str">
        <f xml:space="preserve"> "(Valores Retirados ± "&amp;M4&amp;" ) m"</f>
        <v>(Valores Retirados ± 0,00001 ) m</v>
      </c>
      <c r="G2" s="34"/>
      <c r="H2" s="34"/>
      <c r="I2" s="6" t="s">
        <v>26</v>
      </c>
    </row>
    <row r="3" spans="2:13">
      <c r="B3" s="16">
        <v>1</v>
      </c>
      <c r="C3" s="10">
        <f>'Coeficiente de Absorção #1'!C3</f>
        <v>4.29</v>
      </c>
      <c r="D3" s="10">
        <f>'Coeficiente de Absorção #1'!D3</f>
        <v>4.3280000000000003</v>
      </c>
      <c r="E3" s="10">
        <f>'Coeficiente de Absorção #1'!E3</f>
        <v>4.2969999999999997</v>
      </c>
      <c r="F3" s="2">
        <f>C3/1000</f>
        <v>4.2900000000000004E-3</v>
      </c>
      <c r="G3" s="2">
        <f t="shared" ref="G3:H10" si="0">D3/1000</f>
        <v>4.3280000000000002E-3</v>
      </c>
      <c r="H3" s="2">
        <f t="shared" si="0"/>
        <v>4.2969999999999996E-3</v>
      </c>
      <c r="I3" s="2">
        <f>AVERAGE(F3:H3)</f>
        <v>4.3049999999999998E-3</v>
      </c>
      <c r="L3" s="3" t="s">
        <v>20</v>
      </c>
      <c r="M3" s="3" t="s">
        <v>9</v>
      </c>
    </row>
    <row r="4" spans="2:13">
      <c r="B4" s="16">
        <v>2</v>
      </c>
      <c r="C4" s="10">
        <f>'Coeficiente de Absorção #1'!C4</f>
        <v>4.7229999999999999</v>
      </c>
      <c r="D4" s="10">
        <f>'Coeficiente de Absorção #1'!D4</f>
        <v>4.67</v>
      </c>
      <c r="E4" s="10">
        <f>'Coeficiente de Absorção #1'!E4</f>
        <v>4.609</v>
      </c>
      <c r="F4" s="2">
        <f t="shared" ref="F4:F10" si="1">C4/1000</f>
        <v>4.7229999999999998E-3</v>
      </c>
      <c r="G4" s="2">
        <f t="shared" si="0"/>
        <v>4.6699999999999997E-3</v>
      </c>
      <c r="H4" s="2">
        <f t="shared" si="0"/>
        <v>4.6090000000000002E-3</v>
      </c>
      <c r="I4" s="2">
        <f t="shared" ref="I4:I10" si="2">AVERAGE(F4:H4)</f>
        <v>4.6673333333333332E-3</v>
      </c>
      <c r="K4" s="6" t="s">
        <v>25</v>
      </c>
      <c r="L4" s="2">
        <f>'Coeficiente de Absorção #3'!L4</f>
        <v>1E-3</v>
      </c>
      <c r="M4" s="2">
        <f>L4/100</f>
        <v>1.0000000000000001E-5</v>
      </c>
    </row>
    <row r="5" spans="2:13">
      <c r="B5" s="16">
        <v>3</v>
      </c>
      <c r="C5" s="10">
        <f>'Coeficiente de Absorção #1'!C5</f>
        <v>3.99</v>
      </c>
      <c r="D5" s="10">
        <f>'Coeficiente de Absorção #1'!D5</f>
        <v>3.92</v>
      </c>
      <c r="E5" s="10">
        <f>'Coeficiente de Absorção #1'!E5</f>
        <v>4.0999999999999996</v>
      </c>
      <c r="F5" s="2">
        <f t="shared" si="1"/>
        <v>3.9900000000000005E-3</v>
      </c>
      <c r="G5" s="2">
        <f t="shared" si="0"/>
        <v>3.9199999999999999E-3</v>
      </c>
      <c r="H5" s="2">
        <f t="shared" si="0"/>
        <v>4.0999999999999995E-3</v>
      </c>
      <c r="I5" s="2">
        <f t="shared" si="2"/>
        <v>4.0033333333333336E-3</v>
      </c>
    </row>
    <row r="6" spans="2:13">
      <c r="B6" s="16">
        <v>4</v>
      </c>
      <c r="C6" s="10">
        <f>'Coeficiente de Absorção #1'!C6</f>
        <v>4.49</v>
      </c>
      <c r="D6" s="10">
        <f>'Coeficiente de Absorção #1'!D6</f>
        <v>4.57</v>
      </c>
      <c r="E6" s="10">
        <f>'Coeficiente de Absorção #1'!E6</f>
        <v>4.41</v>
      </c>
      <c r="F6" s="2">
        <f t="shared" si="1"/>
        <v>4.4900000000000001E-3</v>
      </c>
      <c r="G6" s="2">
        <f t="shared" si="0"/>
        <v>4.5700000000000003E-3</v>
      </c>
      <c r="H6" s="2">
        <f t="shared" si="0"/>
        <v>4.4099999999999999E-3</v>
      </c>
      <c r="I6" s="2">
        <f t="shared" si="2"/>
        <v>4.4900000000000001E-3</v>
      </c>
      <c r="L6" s="3" t="s">
        <v>28</v>
      </c>
      <c r="M6" s="3" t="s">
        <v>29</v>
      </c>
    </row>
    <row r="7" spans="2:13">
      <c r="B7" s="16">
        <v>5</v>
      </c>
      <c r="C7" s="10">
        <f>'Coeficiente de Absorção #1'!C7</f>
        <v>4.125</v>
      </c>
      <c r="D7" s="10">
        <f>'Coeficiente de Absorção #1'!D7</f>
        <v>4.1580000000000004</v>
      </c>
      <c r="E7" s="10">
        <f>'Coeficiente de Absorção #1'!E7</f>
        <v>4.0999999999999996</v>
      </c>
      <c r="F7" s="2">
        <f t="shared" si="1"/>
        <v>4.1250000000000002E-3</v>
      </c>
      <c r="G7" s="2">
        <f t="shared" si="0"/>
        <v>4.1580000000000002E-3</v>
      </c>
      <c r="H7" s="2">
        <f t="shared" si="0"/>
        <v>4.0999999999999995E-3</v>
      </c>
      <c r="I7" s="2">
        <f t="shared" si="2"/>
        <v>4.1276666666666666E-3</v>
      </c>
      <c r="K7" s="3" t="s">
        <v>23</v>
      </c>
      <c r="L7" s="2">
        <f>'Coeficiente de Absorção #3'!L7</f>
        <v>1</v>
      </c>
      <c r="M7" s="2">
        <f>L7/100</f>
        <v>0.01</v>
      </c>
    </row>
    <row r="8" spans="2:13">
      <c r="B8" s="16">
        <v>6</v>
      </c>
      <c r="C8" s="10">
        <f>'Coeficiente de Absorção #1'!C8</f>
        <v>4.2549999999999999</v>
      </c>
      <c r="D8" s="10">
        <f>'Coeficiente de Absorção #1'!D8</f>
        <v>4.1360000000000001</v>
      </c>
      <c r="E8" s="10">
        <f>'Coeficiente de Absorção #1'!E8</f>
        <v>4.37</v>
      </c>
      <c r="F8" s="2">
        <f t="shared" si="1"/>
        <v>4.2550000000000001E-3</v>
      </c>
      <c r="G8" s="2">
        <f t="shared" si="0"/>
        <v>4.1359999999999999E-3</v>
      </c>
      <c r="H8" s="2">
        <f t="shared" si="0"/>
        <v>4.3699999999999998E-3</v>
      </c>
      <c r="I8" s="2">
        <f t="shared" si="2"/>
        <v>4.253666666666666E-3</v>
      </c>
    </row>
    <row r="9" spans="2:13">
      <c r="B9" s="16">
        <v>7</v>
      </c>
      <c r="C9" s="10">
        <f>'Coeficiente de Absorção #1'!C9</f>
        <v>4.24</v>
      </c>
      <c r="D9" s="10">
        <f>'Coeficiente de Absorção #1'!D9</f>
        <v>4.165</v>
      </c>
      <c r="E9" s="10">
        <f>'Coeficiente de Absorção #1'!E9</f>
        <v>4.2850000000000001</v>
      </c>
      <c r="F9" s="2">
        <f t="shared" si="1"/>
        <v>4.2399999999999998E-3</v>
      </c>
      <c r="G9" s="2">
        <f t="shared" si="0"/>
        <v>4.1650000000000003E-3</v>
      </c>
      <c r="H9" s="2">
        <f t="shared" si="0"/>
        <v>4.2849999999999997E-3</v>
      </c>
      <c r="I9" s="2">
        <f t="shared" si="2"/>
        <v>4.2300000000000003E-3</v>
      </c>
    </row>
    <row r="12" spans="2:13">
      <c r="D12" s="9" t="str">
        <f>"Cm ± "&amp;L4</f>
        <v>Cm ± 0,001</v>
      </c>
      <c r="E12" s="9" t="str">
        <f>"m ± "&amp;M4</f>
        <v>m ± 0,00001</v>
      </c>
    </row>
    <row r="13" spans="2:13">
      <c r="B13" s="6" t="s">
        <v>72</v>
      </c>
      <c r="C13" s="9" t="s">
        <v>19</v>
      </c>
      <c r="D13" s="15">
        <v>20</v>
      </c>
      <c r="E13" s="16">
        <f>D13/100</f>
        <v>0.2</v>
      </c>
      <c r="F13" s="19"/>
    </row>
    <row r="15" spans="2:13">
      <c r="B15" s="3" t="s">
        <v>27</v>
      </c>
      <c r="C15" s="13" t="str">
        <f>"(Esp. Filtros ± "&amp;M4&amp;" ) m"</f>
        <v>(Esp. Filtros ± 0,00001 ) m</v>
      </c>
      <c r="D15" s="14" t="str">
        <f>"(V ± "&amp;L7&amp;" ) mV"</f>
        <v>(V ± 1 ) mV</v>
      </c>
      <c r="E15" s="14" t="str">
        <f>"(V ± "&amp;M7&amp;" ) V"</f>
        <v>(V ± 0,01 ) V</v>
      </c>
      <c r="F15" s="6" t="s">
        <v>30</v>
      </c>
      <c r="G15" s="6" t="s">
        <v>65</v>
      </c>
      <c r="H15" s="3" t="s">
        <v>7</v>
      </c>
      <c r="I15" s="3" t="s">
        <v>8</v>
      </c>
    </row>
    <row r="16" spans="2:13">
      <c r="B16" s="16">
        <v>1</v>
      </c>
      <c r="C16" s="27">
        <f>I3</f>
        <v>4.3049999999999998E-3</v>
      </c>
      <c r="D16" s="16">
        <v>2440</v>
      </c>
      <c r="E16" s="16">
        <v>2.44</v>
      </c>
      <c r="F16" s="40">
        <f>LN(E16)</f>
        <v>0.89199803930511046</v>
      </c>
      <c r="G16" s="40">
        <f>1/D16*$M$7</f>
        <v>4.0983606557377053E-6</v>
      </c>
      <c r="H16" s="40">
        <f t="shared" ref="H16:H20" si="3">C16*$G$26+$H$26</f>
        <v>0.86168758214201313</v>
      </c>
      <c r="I16" s="40">
        <f>F16-H16</f>
        <v>3.0310457163097326E-2</v>
      </c>
    </row>
    <row r="17" spans="2:9">
      <c r="B17" s="16" t="s">
        <v>52</v>
      </c>
      <c r="C17" s="27">
        <f>I4+I3</f>
        <v>8.9723333333333322E-3</v>
      </c>
      <c r="D17" s="16">
        <v>840</v>
      </c>
      <c r="E17" s="16">
        <f>D17*0.001</f>
        <v>0.84</v>
      </c>
      <c r="F17" s="40">
        <f t="shared" ref="F17:F20" si="4">LN(E17)</f>
        <v>-0.1743533871447778</v>
      </c>
      <c r="G17" s="40">
        <f t="shared" ref="G17:G20" si="5">1/D17*$M$7</f>
        <v>1.1904761904761907E-5</v>
      </c>
      <c r="H17" s="40">
        <f t="shared" si="3"/>
        <v>-0.16452934579736378</v>
      </c>
      <c r="I17" s="40">
        <f t="shared" ref="I17:I20" si="6">F17-H17</f>
        <v>-9.8240413474140198E-3</v>
      </c>
    </row>
    <row r="18" spans="2:9">
      <c r="B18" s="16" t="s">
        <v>53</v>
      </c>
      <c r="C18" s="27">
        <f>I5+I4+I3</f>
        <v>1.2975666666666667E-2</v>
      </c>
      <c r="D18" s="16">
        <v>360</v>
      </c>
      <c r="E18" s="16">
        <f t="shared" ref="E18:E20" si="7">D18/1000</f>
        <v>0.36</v>
      </c>
      <c r="F18" s="40">
        <f t="shared" si="4"/>
        <v>-1.0216512475319814</v>
      </c>
      <c r="G18" s="40">
        <f t="shared" si="5"/>
        <v>2.7777777777777779E-5</v>
      </c>
      <c r="H18" s="40">
        <f t="shared" si="3"/>
        <v>-1.0447511215831029</v>
      </c>
      <c r="I18" s="40">
        <f t="shared" si="6"/>
        <v>2.3099874051121461E-2</v>
      </c>
    </row>
    <row r="19" spans="2:9">
      <c r="B19" s="16" t="s">
        <v>54</v>
      </c>
      <c r="C19" s="27">
        <f>I8+I5+I4+I3</f>
        <v>1.7229333333333333E-2</v>
      </c>
      <c r="D19" s="16">
        <v>120</v>
      </c>
      <c r="E19" s="16">
        <f t="shared" si="7"/>
        <v>0.12</v>
      </c>
      <c r="F19" s="40">
        <f t="shared" si="4"/>
        <v>-2.120263536200091</v>
      </c>
      <c r="G19" s="40">
        <f t="shared" si="5"/>
        <v>8.3333333333333331E-5</v>
      </c>
      <c r="H19" s="40">
        <f t="shared" si="3"/>
        <v>-1.9800142423825879</v>
      </c>
      <c r="I19" s="40">
        <f t="shared" si="6"/>
        <v>-0.14024929381750306</v>
      </c>
    </row>
    <row r="20" spans="2:9">
      <c r="B20" s="16" t="s">
        <v>55</v>
      </c>
      <c r="C20" s="27">
        <f>I9+I8+I5+I4+I3</f>
        <v>2.1459333333333334E-2</v>
      </c>
      <c r="D20" s="16">
        <v>60</v>
      </c>
      <c r="E20" s="16">
        <f t="shared" si="7"/>
        <v>0.06</v>
      </c>
      <c r="F20" s="40">
        <f t="shared" si="4"/>
        <v>-2.8134107167600364</v>
      </c>
      <c r="G20" s="40">
        <f t="shared" si="5"/>
        <v>1.6666666666666666E-4</v>
      </c>
      <c r="H20" s="40">
        <f t="shared" si="3"/>
        <v>-2.9100737207107334</v>
      </c>
      <c r="I20" s="40">
        <f t="shared" si="6"/>
        <v>9.6663003950697046E-2</v>
      </c>
    </row>
    <row r="25" spans="2:9">
      <c r="F25" s="39" t="s">
        <v>62</v>
      </c>
      <c r="G25" s="39"/>
      <c r="H25" s="39"/>
      <c r="I25" s="39"/>
    </row>
    <row r="26" spans="2:9">
      <c r="F26" s="9" t="s">
        <v>9</v>
      </c>
      <c r="G26" s="35">
        <f t="array" ref="G26:H28">LINEST(F16:F20,C16:C20,1,1)</f>
        <v>-219.87221709885239</v>
      </c>
      <c r="H26" s="35">
        <v>1.8082374767525726</v>
      </c>
      <c r="I26" s="9" t="s">
        <v>12</v>
      </c>
    </row>
    <row r="27" spans="2:9">
      <c r="F27" s="9" t="s">
        <v>10</v>
      </c>
      <c r="G27" s="35">
        <v>7.4966508938956853</v>
      </c>
      <c r="H27" s="35">
        <v>0.10732296274112504</v>
      </c>
      <c r="I27" s="9" t="s">
        <v>11</v>
      </c>
    </row>
    <row r="28" spans="2:9" ht="17.25">
      <c r="F28" s="9" t="s">
        <v>14</v>
      </c>
      <c r="G28" s="35">
        <v>0.99652461320111529</v>
      </c>
      <c r="H28" s="35">
        <v>0.10093304799402124</v>
      </c>
      <c r="I28" s="9" t="s">
        <v>13</v>
      </c>
    </row>
    <row r="33" spans="8:8">
      <c r="H33" t="s">
        <v>64</v>
      </c>
    </row>
  </sheetData>
  <mergeCells count="3">
    <mergeCell ref="C2:E2"/>
    <mergeCell ref="F2:H2"/>
    <mergeCell ref="F25:I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2C2-5285-48A4-883D-9C894AAF0160}">
  <dimension ref="B2:M28"/>
  <sheetViews>
    <sheetView tabSelected="1" topLeftCell="C1" zoomScale="85" zoomScaleNormal="85" workbookViewId="0">
      <selection activeCell="T34" sqref="T34"/>
    </sheetView>
  </sheetViews>
  <sheetFormatPr defaultColWidth="9.140625" defaultRowHeight="15"/>
  <cols>
    <col min="2" max="2" width="13.42578125" bestFit="1" customWidth="1"/>
    <col min="3" max="3" width="20.28515625" bestFit="1" customWidth="1"/>
    <col min="4" max="6" width="11.7109375" customWidth="1"/>
    <col min="7" max="7" width="16.7109375" bestFit="1" customWidth="1"/>
    <col min="8" max="8" width="12.42578125" customWidth="1"/>
    <col min="9" max="9" width="11.28515625" customWidth="1"/>
    <col min="11" max="11" width="10.28515625" bestFit="1" customWidth="1"/>
    <col min="15" max="15" width="16.7109375" bestFit="1" customWidth="1"/>
  </cols>
  <sheetData>
    <row r="2" spans="2:13">
      <c r="B2" s="14" t="s">
        <v>24</v>
      </c>
      <c r="C2" s="34" t="str">
        <f xml:space="preserve"> "(Valores Retirados ± "&amp;L4&amp;" ) cm"</f>
        <v>(Valores Retirados ± 0,001 ) cm</v>
      </c>
      <c r="D2" s="34"/>
      <c r="E2" s="34"/>
      <c r="F2" s="34" t="str">
        <f xml:space="preserve"> "(Valores Retirados ± "&amp;M4&amp;" ) m"</f>
        <v>(Valores Retirados ± 0,00001 ) m</v>
      </c>
      <c r="G2" s="34"/>
      <c r="H2" s="34"/>
      <c r="I2" s="6" t="s">
        <v>26</v>
      </c>
    </row>
    <row r="3" spans="2:13">
      <c r="B3" s="16">
        <v>1</v>
      </c>
      <c r="C3" s="10">
        <f>'Coeficiente de Absorção #1'!C3</f>
        <v>4.29</v>
      </c>
      <c r="D3" s="10">
        <f>'Coeficiente de Absorção #1'!D3</f>
        <v>4.3280000000000003</v>
      </c>
      <c r="E3" s="10">
        <f>'Coeficiente de Absorção #1'!E3</f>
        <v>4.2969999999999997</v>
      </c>
      <c r="F3" s="2">
        <f>C3/1000</f>
        <v>4.2900000000000004E-3</v>
      </c>
      <c r="G3" s="2">
        <f t="shared" ref="G3:H10" si="0">D3/1000</f>
        <v>4.3280000000000002E-3</v>
      </c>
      <c r="H3" s="2">
        <f t="shared" si="0"/>
        <v>4.2969999999999996E-3</v>
      </c>
      <c r="I3" s="2">
        <f>AVERAGE(F3:H3)</f>
        <v>4.3049999999999998E-3</v>
      </c>
      <c r="L3" s="3" t="s">
        <v>20</v>
      </c>
      <c r="M3" s="3" t="s">
        <v>9</v>
      </c>
    </row>
    <row r="4" spans="2:13">
      <c r="B4" s="16">
        <v>2</v>
      </c>
      <c r="C4" s="10">
        <f>'Coeficiente de Absorção #1'!C4</f>
        <v>4.7229999999999999</v>
      </c>
      <c r="D4" s="10">
        <f>'Coeficiente de Absorção #1'!D4</f>
        <v>4.67</v>
      </c>
      <c r="E4" s="10">
        <f>'Coeficiente de Absorção #1'!E4</f>
        <v>4.609</v>
      </c>
      <c r="F4" s="2">
        <f t="shared" ref="F4:F10" si="1">C4/1000</f>
        <v>4.7229999999999998E-3</v>
      </c>
      <c r="G4" s="2">
        <f t="shared" si="0"/>
        <v>4.6699999999999997E-3</v>
      </c>
      <c r="H4" s="2">
        <f t="shared" si="0"/>
        <v>4.6090000000000002E-3</v>
      </c>
      <c r="I4" s="2">
        <f t="shared" ref="I4:I10" si="2">AVERAGE(F4:H4)</f>
        <v>4.6673333333333332E-3</v>
      </c>
      <c r="K4" s="6" t="s">
        <v>25</v>
      </c>
      <c r="L4" s="2">
        <f>'Coeficiente de Absorção #4'!L4</f>
        <v>1E-3</v>
      </c>
      <c r="M4" s="2">
        <f>L4/100</f>
        <v>1.0000000000000001E-5</v>
      </c>
    </row>
    <row r="5" spans="2:13">
      <c r="B5" s="16">
        <v>3</v>
      </c>
      <c r="C5" s="10">
        <f>'Coeficiente de Absorção #1'!C5</f>
        <v>3.99</v>
      </c>
      <c r="D5" s="10">
        <f>'Coeficiente de Absorção #1'!D5</f>
        <v>3.92</v>
      </c>
      <c r="E5" s="10">
        <f>'Coeficiente de Absorção #1'!E5</f>
        <v>4.0999999999999996</v>
      </c>
      <c r="F5" s="2">
        <f t="shared" si="1"/>
        <v>3.9900000000000005E-3</v>
      </c>
      <c r="G5" s="2">
        <f t="shared" si="0"/>
        <v>3.9199999999999999E-3</v>
      </c>
      <c r="H5" s="2">
        <f t="shared" si="0"/>
        <v>4.0999999999999995E-3</v>
      </c>
      <c r="I5" s="2">
        <f t="shared" si="2"/>
        <v>4.0033333333333336E-3</v>
      </c>
    </row>
    <row r="6" spans="2:13">
      <c r="B6" s="16">
        <v>4</v>
      </c>
      <c r="C6" s="10">
        <f>'Coeficiente de Absorção #1'!C6</f>
        <v>4.49</v>
      </c>
      <c r="D6" s="10">
        <f>'Coeficiente de Absorção #1'!D6</f>
        <v>4.57</v>
      </c>
      <c r="E6" s="10">
        <f>'Coeficiente de Absorção #1'!E6</f>
        <v>4.41</v>
      </c>
      <c r="F6" s="2">
        <f t="shared" si="1"/>
        <v>4.4900000000000001E-3</v>
      </c>
      <c r="G6" s="2">
        <f t="shared" si="0"/>
        <v>4.5700000000000003E-3</v>
      </c>
      <c r="H6" s="2">
        <f t="shared" si="0"/>
        <v>4.4099999999999999E-3</v>
      </c>
      <c r="I6" s="2">
        <f t="shared" si="2"/>
        <v>4.4900000000000001E-3</v>
      </c>
      <c r="L6" s="3" t="s">
        <v>28</v>
      </c>
      <c r="M6" s="3" t="s">
        <v>29</v>
      </c>
    </row>
    <row r="7" spans="2:13">
      <c r="B7" s="16">
        <v>5</v>
      </c>
      <c r="C7" s="10">
        <f>'Coeficiente de Absorção #1'!C7</f>
        <v>4.125</v>
      </c>
      <c r="D7" s="10">
        <f>'Coeficiente de Absorção #1'!D7</f>
        <v>4.1580000000000004</v>
      </c>
      <c r="E7" s="10">
        <f>'Coeficiente de Absorção #1'!E7</f>
        <v>4.0999999999999996</v>
      </c>
      <c r="F7" s="2">
        <f t="shared" si="1"/>
        <v>4.1250000000000002E-3</v>
      </c>
      <c r="G7" s="2">
        <f t="shared" si="0"/>
        <v>4.1580000000000002E-3</v>
      </c>
      <c r="H7" s="2">
        <f t="shared" si="0"/>
        <v>4.0999999999999995E-3</v>
      </c>
      <c r="I7" s="2">
        <f t="shared" si="2"/>
        <v>4.1276666666666666E-3</v>
      </c>
      <c r="K7" s="3" t="s">
        <v>23</v>
      </c>
      <c r="L7" s="2">
        <f>'Coeficiente de Absorção #4'!L7</f>
        <v>1</v>
      </c>
      <c r="M7" s="2">
        <v>0.01</v>
      </c>
    </row>
    <row r="8" spans="2:13">
      <c r="B8" s="16">
        <v>6</v>
      </c>
      <c r="C8" s="10">
        <f>'Coeficiente de Absorção #1'!C8</f>
        <v>4.2549999999999999</v>
      </c>
      <c r="D8" s="10">
        <f>'Coeficiente de Absorção #1'!D8</f>
        <v>4.1360000000000001</v>
      </c>
      <c r="E8" s="10">
        <f>'Coeficiente de Absorção #1'!E8</f>
        <v>4.37</v>
      </c>
      <c r="F8" s="2">
        <f t="shared" si="1"/>
        <v>4.2550000000000001E-3</v>
      </c>
      <c r="G8" s="2">
        <f t="shared" si="0"/>
        <v>4.1359999999999999E-3</v>
      </c>
      <c r="H8" s="2">
        <f t="shared" si="0"/>
        <v>4.3699999999999998E-3</v>
      </c>
      <c r="I8" s="2">
        <f t="shared" si="2"/>
        <v>4.253666666666666E-3</v>
      </c>
    </row>
    <row r="9" spans="2:13">
      <c r="B9" s="16">
        <v>7</v>
      </c>
      <c r="C9" s="10">
        <f>'Coeficiente de Absorção #1'!C9</f>
        <v>4.24</v>
      </c>
      <c r="D9" s="10">
        <f>'Coeficiente de Absorção #1'!D9</f>
        <v>4.165</v>
      </c>
      <c r="E9" s="10">
        <f>'Coeficiente de Absorção #1'!E9</f>
        <v>4.2850000000000001</v>
      </c>
      <c r="F9" s="2">
        <f t="shared" si="1"/>
        <v>4.2399999999999998E-3</v>
      </c>
      <c r="G9" s="2">
        <f t="shared" si="0"/>
        <v>4.1650000000000003E-3</v>
      </c>
      <c r="H9" s="2">
        <f t="shared" si="0"/>
        <v>4.2849999999999997E-3</v>
      </c>
      <c r="I9" s="2">
        <f t="shared" si="2"/>
        <v>4.2300000000000003E-3</v>
      </c>
    </row>
    <row r="12" spans="2:13">
      <c r="D12" s="9" t="str">
        <f>"Cm ± "&amp;L4</f>
        <v>Cm ± 0,001</v>
      </c>
      <c r="E12" s="9" t="str">
        <f>"m ± "&amp;M4</f>
        <v>m ± 0,00001</v>
      </c>
    </row>
    <row r="13" spans="2:13">
      <c r="B13" s="6" t="s">
        <v>18</v>
      </c>
      <c r="C13" s="9" t="s">
        <v>19</v>
      </c>
      <c r="D13" s="15">
        <v>20</v>
      </c>
      <c r="E13" s="16">
        <f>D13/100</f>
        <v>0.2</v>
      </c>
      <c r="F13" s="19"/>
    </row>
    <row r="15" spans="2:13">
      <c r="B15" s="3" t="s">
        <v>27</v>
      </c>
      <c r="C15" s="13" t="str">
        <f>"(Esp. Filtros ± "&amp;M4&amp;" ) m"</f>
        <v>(Esp. Filtros ± 0,00001 ) m</v>
      </c>
      <c r="D15" s="14" t="str">
        <f>"(V ± "&amp;L7&amp;" ) mV"</f>
        <v>(V ± 1 ) mV</v>
      </c>
      <c r="E15" s="14" t="str">
        <f>"(V ± "&amp;M7&amp;" ) V"</f>
        <v>(V ± 0,01 ) V</v>
      </c>
      <c r="F15" s="6" t="s">
        <v>30</v>
      </c>
      <c r="G15" s="6" t="s">
        <v>65</v>
      </c>
      <c r="H15" s="3" t="s">
        <v>7</v>
      </c>
      <c r="I15" s="3" t="s">
        <v>8</v>
      </c>
    </row>
    <row r="16" spans="2:13">
      <c r="B16" s="16">
        <v>1</v>
      </c>
      <c r="C16" s="27">
        <f>I3</f>
        <v>4.3049999999999998E-3</v>
      </c>
      <c r="D16" s="16">
        <v>2440</v>
      </c>
      <c r="E16" s="16">
        <v>2.44</v>
      </c>
      <c r="F16" s="40">
        <f>LN(E16)</f>
        <v>0.89199803930511046</v>
      </c>
      <c r="G16" s="40">
        <f>1/E16*$M$7</f>
        <v>4.0983606557377051E-3</v>
      </c>
      <c r="H16" s="40">
        <f t="shared" ref="H16:H20" si="3">C16*$G$26+$H$26</f>
        <v>0.96889040835906826</v>
      </c>
      <c r="I16" s="40">
        <f>F16-H16</f>
        <v>-7.6892369053957799E-2</v>
      </c>
    </row>
    <row r="17" spans="2:9">
      <c r="B17" s="16" t="s">
        <v>56</v>
      </c>
      <c r="C17" s="27">
        <f>I5+I3</f>
        <v>8.3083333333333342E-3</v>
      </c>
      <c r="D17" s="16">
        <v>940</v>
      </c>
      <c r="E17" s="16">
        <f>D17*0.001</f>
        <v>0.94000000000000006</v>
      </c>
      <c r="F17" s="40">
        <f t="shared" ref="F17:F20" si="4">LN(E17)</f>
        <v>-6.1875403718087411E-2</v>
      </c>
      <c r="G17" s="40">
        <f t="shared" ref="G17:G20" si="5">1/E17*$M$7</f>
        <v>1.0638297872340425E-2</v>
      </c>
      <c r="H17" s="40">
        <f t="shared" si="3"/>
        <v>4.8393934227416446E-2</v>
      </c>
      <c r="I17" s="40">
        <f t="shared" ref="I17:I20" si="6">F17-H17</f>
        <v>-0.11026933794550386</v>
      </c>
    </row>
    <row r="18" spans="2:9">
      <c r="B18" s="16" t="s">
        <v>57</v>
      </c>
      <c r="C18" s="27">
        <f>I5+I7+I3</f>
        <v>1.2435999999999999E-2</v>
      </c>
      <c r="D18" s="16">
        <v>480</v>
      </c>
      <c r="E18" s="16">
        <f t="shared" ref="E18:E20" si="7">D18/1000</f>
        <v>0.48</v>
      </c>
      <c r="F18" s="40">
        <f t="shared" si="4"/>
        <v>-0.73396917508020043</v>
      </c>
      <c r="G18" s="40">
        <f t="shared" si="5"/>
        <v>2.0833333333333336E-2</v>
      </c>
      <c r="H18" s="40">
        <f t="shared" si="3"/>
        <v>-0.90069081507918147</v>
      </c>
      <c r="I18" s="40">
        <f t="shared" si="6"/>
        <v>0.16672163999898104</v>
      </c>
    </row>
    <row r="19" spans="2:9">
      <c r="B19" s="16" t="s">
        <v>58</v>
      </c>
      <c r="C19" s="27">
        <f>I9+I5+I7+I3</f>
        <v>1.6666E-2</v>
      </c>
      <c r="D19" s="16">
        <v>200</v>
      </c>
      <c r="E19" s="16">
        <f t="shared" si="7"/>
        <v>0.2</v>
      </c>
      <c r="F19" s="40">
        <f t="shared" si="4"/>
        <v>-1.6094379124341003</v>
      </c>
      <c r="G19" s="40">
        <f t="shared" si="5"/>
        <v>0.05</v>
      </c>
      <c r="H19" s="40">
        <f t="shared" si="3"/>
        <v>-1.8733053243823172</v>
      </c>
      <c r="I19" s="40">
        <f t="shared" si="6"/>
        <v>0.26386741194821695</v>
      </c>
    </row>
    <row r="20" spans="2:9">
      <c r="B20" s="16" t="s">
        <v>59</v>
      </c>
      <c r="C20" s="27">
        <f>I9+I8+I5+I4+I3</f>
        <v>2.1459333333333334E-2</v>
      </c>
      <c r="D20" s="16">
        <v>40</v>
      </c>
      <c r="E20" s="16">
        <f t="shared" si="7"/>
        <v>0.04</v>
      </c>
      <c r="F20" s="40">
        <f t="shared" si="4"/>
        <v>-3.2188758248682006</v>
      </c>
      <c r="G20" s="40">
        <f t="shared" si="5"/>
        <v>0.25</v>
      </c>
      <c r="H20" s="40">
        <f t="shared" si="3"/>
        <v>-2.9754484799204644</v>
      </c>
      <c r="I20" s="40">
        <f t="shared" si="6"/>
        <v>-0.24342734494773621</v>
      </c>
    </row>
    <row r="25" spans="2:9">
      <c r="F25" s="31" t="s">
        <v>63</v>
      </c>
      <c r="G25" s="31"/>
      <c r="H25" s="31"/>
      <c r="I25" s="31"/>
    </row>
    <row r="26" spans="2:9">
      <c r="F26" s="1" t="s">
        <v>9</v>
      </c>
      <c r="G26" s="35">
        <f t="array" ref="G26:H28">LINEST(F16:F20,C16:C20,1,1)</f>
        <v>-229.93250810948834</v>
      </c>
      <c r="H26" s="35">
        <v>1.9587498557704155</v>
      </c>
      <c r="I26" s="1" t="s">
        <v>12</v>
      </c>
    </row>
    <row r="27" spans="2:9">
      <c r="F27" s="1" t="s">
        <v>10</v>
      </c>
      <c r="G27" s="35">
        <v>17.877040859143058</v>
      </c>
      <c r="H27" s="35">
        <v>0.25033909980281127</v>
      </c>
      <c r="I27" s="1" t="s">
        <v>11</v>
      </c>
    </row>
    <row r="28" spans="2:9" ht="17.25">
      <c r="F28" s="1" t="s">
        <v>14</v>
      </c>
      <c r="G28" s="35">
        <v>0.98218825360968354</v>
      </c>
      <c r="H28" s="35">
        <v>0.24135088696071658</v>
      </c>
      <c r="I28" s="1" t="s">
        <v>13</v>
      </c>
    </row>
  </sheetData>
  <mergeCells count="3">
    <mergeCell ref="C2:E2"/>
    <mergeCell ref="F2:H2"/>
    <mergeCell ref="F25:I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Varrimento Inicial </vt:lpstr>
      <vt:lpstr>P = K' d^-2</vt:lpstr>
      <vt:lpstr>Coeficiente de Absorção #1</vt:lpstr>
      <vt:lpstr>Coeficiente de Absorção #2</vt:lpstr>
      <vt:lpstr>Coeficiente de Absorção #3</vt:lpstr>
      <vt:lpstr>Coeficiente de Absorção #4</vt:lpstr>
      <vt:lpstr>Coeficiente de Absorção 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Sérgio Sousa</cp:lastModifiedBy>
  <dcterms:created xsi:type="dcterms:W3CDTF">2015-06-05T18:19:34Z</dcterms:created>
  <dcterms:modified xsi:type="dcterms:W3CDTF">2023-03-04T19:41:22Z</dcterms:modified>
</cp:coreProperties>
</file>