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3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4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5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faculdade\2º Ano\2ºS\LABS\LABSFISICAII\016\T3B\"/>
    </mc:Choice>
  </mc:AlternateContent>
  <xr:revisionPtr revIDLastSave="0" documentId="13_ncr:1_{A166EA92-BDD0-44AA-A961-745319CE26DC}" xr6:coauthVersionLast="47" xr6:coauthVersionMax="47" xr10:uidLastSave="{00000000-0000-0000-0000-000000000000}"/>
  <bookViews>
    <workbookView xWindow="14295" yWindow="0" windowWidth="14610" windowHeight="15585" activeTab="1" xr2:uid="{BDFC7A73-9C8C-480E-ABE4-F0A2AC96A04A}"/>
  </bookViews>
  <sheets>
    <sheet name="ω" sheetId="1" r:id="rId1"/>
    <sheet name="i0" sheetId="2" r:id="rId2"/>
    <sheet name="n" sheetId="3" r:id="rId3"/>
    <sheet name="S" sheetId="4" r:id="rId4"/>
    <sheet name="cos(θ)" sheetId="9" r:id="rId5"/>
    <sheet name="Resultados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124" i="2" l="1"/>
  <c r="AR117" i="2"/>
  <c r="AR116" i="2"/>
  <c r="AS150" i="2"/>
  <c r="AS133" i="2"/>
  <c r="AS134" i="2"/>
  <c r="AS135" i="2"/>
  <c r="AS136" i="2"/>
  <c r="AS137" i="2"/>
  <c r="AS138" i="2"/>
  <c r="AS139" i="2"/>
  <c r="AS140" i="2"/>
  <c r="AS141" i="2"/>
  <c r="AS142" i="2"/>
  <c r="AS143" i="2"/>
  <c r="AS144" i="2"/>
  <c r="AS145" i="2"/>
  <c r="AS146" i="2"/>
  <c r="AS147" i="2"/>
  <c r="AS148" i="2"/>
  <c r="AS149" i="2"/>
  <c r="AS132" i="2"/>
  <c r="AT130" i="2"/>
  <c r="AT129" i="2"/>
  <c r="AT125" i="2"/>
  <c r="AT124" i="2"/>
  <c r="AT121" i="2"/>
  <c r="AT117" i="2"/>
  <c r="AT116" i="2"/>
  <c r="AT113" i="2"/>
  <c r="AU132" i="2"/>
  <c r="AU133" i="2"/>
  <c r="AU134" i="2"/>
  <c r="AU135" i="2"/>
  <c r="AU136" i="2"/>
  <c r="AU137" i="2"/>
  <c r="AU138" i="2"/>
  <c r="AU139" i="2"/>
  <c r="AU140" i="2"/>
  <c r="AU141" i="2"/>
  <c r="AU142" i="2"/>
  <c r="AU143" i="2"/>
  <c r="AU144" i="2"/>
  <c r="AU145" i="2"/>
  <c r="AU146" i="2"/>
  <c r="AU147" i="2"/>
  <c r="AU148" i="2"/>
  <c r="AU149" i="2"/>
  <c r="AU150" i="2"/>
  <c r="AR129" i="2"/>
  <c r="AR127" i="2"/>
  <c r="AR121" i="2"/>
  <c r="AR119" i="2"/>
  <c r="AR115" i="2"/>
  <c r="AT126" i="2"/>
  <c r="AT127" i="2"/>
  <c r="AT128" i="2"/>
  <c r="AR126" i="2"/>
  <c r="AR128" i="2"/>
  <c r="AR130" i="2"/>
  <c r="AR112" i="2"/>
  <c r="AR113" i="2"/>
  <c r="AR114" i="2"/>
  <c r="AR118" i="2"/>
  <c r="AR120" i="2"/>
  <c r="AR122" i="2"/>
  <c r="AR123" i="2"/>
  <c r="AR125" i="2"/>
  <c r="AP127" i="2"/>
  <c r="AP126" i="2"/>
  <c r="AP128" i="2"/>
  <c r="AP129" i="2"/>
  <c r="AP130" i="2"/>
  <c r="AX125" i="2"/>
  <c r="AP125" i="2"/>
  <c r="AX124" i="2"/>
  <c r="AP124" i="2"/>
  <c r="AX123" i="2"/>
  <c r="AT123" i="2"/>
  <c r="AP123" i="2"/>
  <c r="AX122" i="2"/>
  <c r="AT122" i="2"/>
  <c r="AP122" i="2"/>
  <c r="AX121" i="2"/>
  <c r="AP121" i="2"/>
  <c r="AX120" i="2"/>
  <c r="AT120" i="2"/>
  <c r="AP120" i="2"/>
  <c r="AX119" i="2"/>
  <c r="AT119" i="2"/>
  <c r="AP119" i="2"/>
  <c r="AX118" i="2"/>
  <c r="AT118" i="2"/>
  <c r="AP118" i="2"/>
  <c r="AX117" i="2"/>
  <c r="AP117" i="2"/>
  <c r="AX116" i="2"/>
  <c r="AP116" i="2"/>
  <c r="AX115" i="2"/>
  <c r="AT115" i="2"/>
  <c r="AP115" i="2"/>
  <c r="AX114" i="2"/>
  <c r="AT114" i="2"/>
  <c r="AP114" i="2"/>
  <c r="AX113" i="2"/>
  <c r="AP113" i="2"/>
  <c r="AX112" i="2"/>
  <c r="AT112" i="2"/>
  <c r="AP112" i="2"/>
  <c r="BI111" i="2" l="1" a="1"/>
  <c r="BJ112" i="2" s="1"/>
  <c r="BC111" i="2" a="1"/>
  <c r="BD111" i="2" s="1"/>
  <c r="BJ113" i="2" l="1"/>
  <c r="BD112" i="2"/>
  <c r="BI113" i="2"/>
  <c r="BC113" i="2"/>
  <c r="BD113" i="2"/>
  <c r="BI112" i="2"/>
  <c r="BC111" i="2"/>
  <c r="BI111" i="2"/>
  <c r="BC112" i="2"/>
  <c r="BJ111" i="2"/>
  <c r="AY112" i="2" l="1"/>
  <c r="AZ112" i="2" s="1"/>
  <c r="AU115" i="2"/>
  <c r="AV115" i="2" s="1"/>
  <c r="AU120" i="2"/>
  <c r="AV120" i="2" s="1"/>
  <c r="AY127" i="2"/>
  <c r="AZ127" i="2" s="1"/>
  <c r="AU114" i="2"/>
  <c r="AV114" i="2" s="1"/>
  <c r="AU122" i="2"/>
  <c r="AV122" i="2" s="1"/>
  <c r="AU130" i="2"/>
  <c r="AV130" i="2" s="1"/>
  <c r="AY126" i="2"/>
  <c r="AZ126" i="2" s="1"/>
  <c r="AU112" i="2"/>
  <c r="AV112" i="2" s="1"/>
  <c r="AU123" i="2"/>
  <c r="AV123" i="2" s="1"/>
  <c r="AY119" i="2"/>
  <c r="AZ119" i="2" s="1"/>
  <c r="AY120" i="2"/>
  <c r="AZ120" i="2" s="1"/>
  <c r="AY123" i="2"/>
  <c r="AZ123" i="2" s="1"/>
  <c r="AU124" i="2"/>
  <c r="AV124" i="2" s="1"/>
  <c r="AU113" i="2"/>
  <c r="AV113" i="2" s="1"/>
  <c r="AU119" i="2"/>
  <c r="AV119" i="2" s="1"/>
  <c r="AY128" i="2"/>
  <c r="AZ128" i="2" s="1"/>
  <c r="AY125" i="2"/>
  <c r="AZ125" i="2" s="1"/>
  <c r="AY118" i="2"/>
  <c r="AZ118" i="2" s="1"/>
  <c r="AU125" i="2"/>
  <c r="AV125" i="2" s="1"/>
  <c r="AY115" i="2"/>
  <c r="AZ115" i="2" s="1"/>
  <c r="AY122" i="2"/>
  <c r="AZ122" i="2" s="1"/>
  <c r="AY117" i="2"/>
  <c r="AZ117" i="2" s="1"/>
  <c r="AU126" i="2"/>
  <c r="AV126" i="2" s="1"/>
  <c r="AU129" i="2"/>
  <c r="AV129" i="2" s="1"/>
  <c r="AY129" i="2"/>
  <c r="AZ129" i="2" s="1"/>
  <c r="AY124" i="2"/>
  <c r="AZ124" i="2" s="1"/>
  <c r="AU117" i="2"/>
  <c r="AV117" i="2" s="1"/>
  <c r="AY114" i="2"/>
  <c r="AZ114" i="2" s="1"/>
  <c r="AU128" i="2"/>
  <c r="AV128" i="2" s="1"/>
  <c r="AU127" i="2"/>
  <c r="AV127" i="2" s="1"/>
  <c r="AY116" i="2"/>
  <c r="AZ116" i="2" s="1"/>
  <c r="AY121" i="2"/>
  <c r="AZ121" i="2" s="1"/>
  <c r="AU116" i="2"/>
  <c r="AV116" i="2" s="1"/>
  <c r="AU118" i="2"/>
  <c r="AV118" i="2" s="1"/>
  <c r="AY113" i="2"/>
  <c r="AZ113" i="2" s="1"/>
  <c r="AY130" i="2"/>
  <c r="AZ130" i="2" s="1"/>
  <c r="AU121" i="2"/>
  <c r="AV121" i="2" s="1"/>
  <c r="F5" i="9" l="1"/>
  <c r="F6" i="9"/>
  <c r="F7" i="9"/>
  <c r="F8" i="9"/>
  <c r="F9" i="9"/>
  <c r="F10" i="9"/>
  <c r="F4" i="9"/>
  <c r="F5" i="4"/>
  <c r="F6" i="4"/>
  <c r="F4" i="4"/>
  <c r="B5" i="1"/>
  <c r="K47" i="1"/>
  <c r="G6" i="1" l="1"/>
  <c r="I18" i="2"/>
  <c r="O8" i="3"/>
  <c r="AC6" i="4"/>
  <c r="M62" i="2"/>
  <c r="P24" i="9"/>
  <c r="P26" i="9" s="1"/>
  <c r="P14" i="9"/>
  <c r="P15" i="9"/>
  <c r="P16" i="9"/>
  <c r="P17" i="9"/>
  <c r="P18" i="9"/>
  <c r="P19" i="9"/>
  <c r="P20" i="9"/>
  <c r="P21" i="9"/>
  <c r="P12" i="9"/>
  <c r="E4" i="4"/>
  <c r="M16" i="4"/>
  <c r="M17" i="4"/>
  <c r="M18" i="4"/>
  <c r="M19" i="4"/>
  <c r="M20" i="4"/>
  <c r="M21" i="4"/>
  <c r="M22" i="4"/>
  <c r="M23" i="4"/>
  <c r="K20" i="3"/>
  <c r="K21" i="3"/>
  <c r="K22" i="3"/>
  <c r="K23" i="3"/>
  <c r="K24" i="3"/>
  <c r="K25" i="3"/>
  <c r="K26" i="3"/>
  <c r="K27" i="3"/>
  <c r="D29" i="2"/>
  <c r="D28" i="2"/>
  <c r="D27" i="2"/>
  <c r="D26" i="2"/>
  <c r="D25" i="2"/>
  <c r="D24" i="2"/>
  <c r="D21" i="2"/>
  <c r="P13" i="9" s="1"/>
  <c r="D20" i="2"/>
  <c r="M14" i="4" s="1"/>
  <c r="M8" i="4" s="1"/>
  <c r="D23" i="2"/>
  <c r="D22" i="2"/>
  <c r="Q51" i="1"/>
  <c r="K70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48" i="1"/>
  <c r="T3" i="1"/>
  <c r="Q4" i="1"/>
  <c r="K6" i="1"/>
  <c r="Q2" i="1"/>
  <c r="C3" i="1"/>
  <c r="T51" i="1"/>
  <c r="E6" i="10" s="1"/>
  <c r="D6" i="10"/>
  <c r="M142" i="2"/>
  <c r="J142" i="2"/>
  <c r="G15" i="3"/>
  <c r="I6" i="10" s="1"/>
  <c r="D15" i="3"/>
  <c r="H6" i="10" s="1"/>
  <c r="I16" i="9"/>
  <c r="M6" i="10" s="1"/>
  <c r="E16" i="9"/>
  <c r="L6" i="10" s="1"/>
  <c r="AF8" i="4"/>
  <c r="K6" i="10" s="1"/>
  <c r="AC8" i="4"/>
  <c r="J6" i="10" s="1"/>
  <c r="L16" i="9"/>
  <c r="U5" i="4"/>
  <c r="J15" i="3"/>
  <c r="G6" i="10"/>
  <c r="E116" i="2"/>
  <c r="I2" i="10"/>
  <c r="I20" i="9"/>
  <c r="K19" i="3" l="1"/>
  <c r="M15" i="4"/>
  <c r="P25" i="9"/>
  <c r="P31" i="9"/>
  <c r="P30" i="9"/>
  <c r="P29" i="9"/>
  <c r="P28" i="9"/>
  <c r="P27" i="9"/>
  <c r="M9" i="4"/>
  <c r="M10" i="4"/>
  <c r="K18" i="3"/>
  <c r="L10" i="9"/>
  <c r="E14" i="9"/>
  <c r="I14" i="9" s="1"/>
  <c r="G19" i="3"/>
  <c r="M146" i="2"/>
  <c r="E5" i="4"/>
  <c r="E6" i="4"/>
  <c r="L4" i="9"/>
  <c r="H4" i="9"/>
  <c r="D9" i="9"/>
  <c r="J140" i="2" l="1"/>
  <c r="D13" i="3"/>
  <c r="G13" i="3" s="1"/>
  <c r="T55" i="1"/>
  <c r="Q49" i="1"/>
  <c r="T49" i="1" s="1"/>
  <c r="D4" i="9"/>
  <c r="E4" i="9" s="1"/>
  <c r="J4" i="9"/>
  <c r="P4" i="9"/>
  <c r="D5" i="9"/>
  <c r="E5" i="9" s="1"/>
  <c r="H5" i="9"/>
  <c r="J5" i="9"/>
  <c r="L5" i="9"/>
  <c r="P5" i="9"/>
  <c r="D6" i="9"/>
  <c r="E6" i="9" s="1"/>
  <c r="H6" i="9"/>
  <c r="J6" i="9"/>
  <c r="L13" i="9" s="1"/>
  <c r="L6" i="9"/>
  <c r="P6" i="9"/>
  <c r="D7" i="9"/>
  <c r="E7" i="9" s="1"/>
  <c r="H7" i="9"/>
  <c r="J7" i="9"/>
  <c r="L7" i="9"/>
  <c r="P7" i="9"/>
  <c r="D8" i="9"/>
  <c r="E8" i="9" s="1"/>
  <c r="H8" i="9"/>
  <c r="J8" i="9"/>
  <c r="L8" i="9"/>
  <c r="P8" i="9"/>
  <c r="E9" i="9"/>
  <c r="H9" i="9"/>
  <c r="J9" i="9"/>
  <c r="L9" i="9"/>
  <c r="P9" i="9"/>
  <c r="D10" i="9"/>
  <c r="H10" i="9"/>
  <c r="J10" i="9"/>
  <c r="P10" i="9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6" i="1"/>
  <c r="G28" i="1"/>
  <c r="N4" i="3"/>
  <c r="M113" i="2"/>
  <c r="I113" i="2"/>
  <c r="G113" i="2"/>
  <c r="E113" i="2"/>
  <c r="M112" i="2"/>
  <c r="I112" i="2"/>
  <c r="G112" i="2"/>
  <c r="E112" i="2"/>
  <c r="M111" i="2"/>
  <c r="I111" i="2"/>
  <c r="G111" i="2"/>
  <c r="E111" i="2"/>
  <c r="M110" i="2"/>
  <c r="I110" i="2"/>
  <c r="G110" i="2"/>
  <c r="E110" i="2"/>
  <c r="M109" i="2"/>
  <c r="I109" i="2"/>
  <c r="G109" i="2"/>
  <c r="E109" i="2"/>
  <c r="M108" i="2"/>
  <c r="I108" i="2"/>
  <c r="G108" i="2"/>
  <c r="E108" i="2"/>
  <c r="M107" i="2"/>
  <c r="I107" i="2"/>
  <c r="G107" i="2"/>
  <c r="E107" i="2"/>
  <c r="M106" i="2"/>
  <c r="I106" i="2"/>
  <c r="G106" i="2"/>
  <c r="E106" i="2"/>
  <c r="M105" i="2"/>
  <c r="I105" i="2"/>
  <c r="G105" i="2"/>
  <c r="E105" i="2"/>
  <c r="M104" i="2"/>
  <c r="I104" i="2"/>
  <c r="G104" i="2"/>
  <c r="E104" i="2"/>
  <c r="M103" i="2"/>
  <c r="I103" i="2"/>
  <c r="G103" i="2"/>
  <c r="E103" i="2"/>
  <c r="M102" i="2"/>
  <c r="I102" i="2"/>
  <c r="G102" i="2"/>
  <c r="E102" i="2"/>
  <c r="M101" i="2"/>
  <c r="I101" i="2"/>
  <c r="G101" i="2"/>
  <c r="E101" i="2"/>
  <c r="M100" i="2"/>
  <c r="I100" i="2"/>
  <c r="G100" i="2"/>
  <c r="E100" i="2"/>
  <c r="M99" i="2"/>
  <c r="I99" i="2"/>
  <c r="G99" i="2"/>
  <c r="E99" i="2"/>
  <c r="M98" i="2"/>
  <c r="I98" i="2"/>
  <c r="G98" i="2"/>
  <c r="E98" i="2"/>
  <c r="M97" i="2"/>
  <c r="I97" i="2"/>
  <c r="G97" i="2"/>
  <c r="E97" i="2"/>
  <c r="M96" i="2"/>
  <c r="I96" i="2"/>
  <c r="G96" i="2"/>
  <c r="E96" i="2"/>
  <c r="M95" i="2"/>
  <c r="I95" i="2"/>
  <c r="G95" i="2"/>
  <c r="E95" i="2"/>
  <c r="M94" i="2"/>
  <c r="I94" i="2"/>
  <c r="G94" i="2"/>
  <c r="E94" i="2"/>
  <c r="I62" i="2"/>
  <c r="E63" i="2"/>
  <c r="E64" i="2"/>
  <c r="E65" i="2"/>
  <c r="AZ81" i="2"/>
  <c r="AV81" i="2"/>
  <c r="AT81" i="2"/>
  <c r="AR81" i="2"/>
  <c r="AZ80" i="2"/>
  <c r="AV80" i="2"/>
  <c r="AT80" i="2"/>
  <c r="AR80" i="2"/>
  <c r="AZ79" i="2"/>
  <c r="AV79" i="2"/>
  <c r="AT79" i="2"/>
  <c r="AR79" i="2"/>
  <c r="AZ78" i="2"/>
  <c r="AV78" i="2"/>
  <c r="AT78" i="2"/>
  <c r="AR78" i="2"/>
  <c r="AZ77" i="2"/>
  <c r="AV77" i="2"/>
  <c r="AT77" i="2"/>
  <c r="AR77" i="2"/>
  <c r="AZ76" i="2"/>
  <c r="AV76" i="2"/>
  <c r="AT76" i="2"/>
  <c r="AR76" i="2"/>
  <c r="AZ75" i="2"/>
  <c r="AV75" i="2"/>
  <c r="AT75" i="2"/>
  <c r="AR75" i="2"/>
  <c r="AZ74" i="2"/>
  <c r="AV74" i="2"/>
  <c r="AT74" i="2"/>
  <c r="AR74" i="2"/>
  <c r="AZ73" i="2"/>
  <c r="AV73" i="2"/>
  <c r="AT73" i="2"/>
  <c r="AR73" i="2"/>
  <c r="AZ72" i="2"/>
  <c r="AV72" i="2"/>
  <c r="AT72" i="2"/>
  <c r="AR72" i="2"/>
  <c r="AZ71" i="2"/>
  <c r="AV71" i="2"/>
  <c r="AT71" i="2"/>
  <c r="AR71" i="2"/>
  <c r="AZ70" i="2"/>
  <c r="AV70" i="2"/>
  <c r="AT70" i="2"/>
  <c r="AR70" i="2"/>
  <c r="AZ69" i="2"/>
  <c r="AV69" i="2"/>
  <c r="AT69" i="2"/>
  <c r="AR69" i="2"/>
  <c r="AZ68" i="2"/>
  <c r="AV68" i="2"/>
  <c r="AT68" i="2"/>
  <c r="AR68" i="2"/>
  <c r="AZ67" i="2"/>
  <c r="AV67" i="2"/>
  <c r="AT67" i="2"/>
  <c r="AR67" i="2"/>
  <c r="AZ66" i="2"/>
  <c r="AV66" i="2"/>
  <c r="AT66" i="2"/>
  <c r="AR66" i="2"/>
  <c r="AZ65" i="2"/>
  <c r="AV65" i="2"/>
  <c r="AT65" i="2"/>
  <c r="AR65" i="2"/>
  <c r="AZ64" i="2"/>
  <c r="AV64" i="2"/>
  <c r="AT64" i="2"/>
  <c r="AR64" i="2"/>
  <c r="AZ63" i="2"/>
  <c r="AV63" i="2"/>
  <c r="AT63" i="2"/>
  <c r="AR63" i="2"/>
  <c r="AZ62" i="2"/>
  <c r="AV62" i="2"/>
  <c r="AT62" i="2"/>
  <c r="AR62" i="2"/>
  <c r="AZ17" i="2"/>
  <c r="AV17" i="2"/>
  <c r="AT17" i="2"/>
  <c r="AR17" i="2"/>
  <c r="AZ16" i="2"/>
  <c r="AV16" i="2"/>
  <c r="AT16" i="2"/>
  <c r="AR16" i="2"/>
  <c r="AZ15" i="2"/>
  <c r="AV15" i="2"/>
  <c r="AT15" i="2"/>
  <c r="AR15" i="2"/>
  <c r="AZ14" i="2"/>
  <c r="AV14" i="2"/>
  <c r="AT14" i="2"/>
  <c r="AR14" i="2"/>
  <c r="AZ13" i="2"/>
  <c r="AV13" i="2"/>
  <c r="AT13" i="2"/>
  <c r="AR13" i="2"/>
  <c r="AZ12" i="2"/>
  <c r="AV12" i="2"/>
  <c r="AT12" i="2"/>
  <c r="AR12" i="2"/>
  <c r="AZ11" i="2"/>
  <c r="AV11" i="2"/>
  <c r="AT11" i="2"/>
  <c r="AR11" i="2"/>
  <c r="AZ10" i="2"/>
  <c r="AV10" i="2"/>
  <c r="AT10" i="2"/>
  <c r="AR10" i="2"/>
  <c r="AZ9" i="2"/>
  <c r="AV9" i="2"/>
  <c r="AT9" i="2"/>
  <c r="AR9" i="2"/>
  <c r="AZ8" i="2"/>
  <c r="AV8" i="2"/>
  <c r="AT8" i="2"/>
  <c r="AR8" i="2"/>
  <c r="AZ7" i="2"/>
  <c r="AV7" i="2"/>
  <c r="AT7" i="2"/>
  <c r="AR7" i="2"/>
  <c r="AZ6" i="2"/>
  <c r="AV6" i="2"/>
  <c r="AT6" i="2"/>
  <c r="AR6" i="2"/>
  <c r="AZ5" i="2"/>
  <c r="AV5" i="2"/>
  <c r="AT5" i="2"/>
  <c r="AR5" i="2"/>
  <c r="L12" i="9" l="1"/>
  <c r="AF4" i="9" a="1"/>
  <c r="K32" i="1"/>
  <c r="J69" i="1"/>
  <c r="K33" i="1"/>
  <c r="AE92" i="2" a="1"/>
  <c r="AF92" i="2" s="1"/>
  <c r="AF6" i="4"/>
  <c r="M140" i="2"/>
  <c r="U92" i="2" a="1"/>
  <c r="U92" i="2" s="1"/>
  <c r="J141" i="2" s="1"/>
  <c r="F5" i="10" s="1"/>
  <c r="F8" i="10" s="1"/>
  <c r="W4" i="9" a="1"/>
  <c r="BG60" i="2" a="1"/>
  <c r="BH61" i="2" s="1"/>
  <c r="BP3" i="2" a="1"/>
  <c r="BP3" i="2" s="1"/>
  <c r="BG3" i="2" a="1"/>
  <c r="BG3" i="2" s="1"/>
  <c r="BP60" i="2" a="1"/>
  <c r="AF4" i="9" l="1"/>
  <c r="I15" i="9" s="1"/>
  <c r="AG6" i="9"/>
  <c r="AF6" i="9"/>
  <c r="AG5" i="9"/>
  <c r="AF5" i="9"/>
  <c r="AG4" i="9"/>
  <c r="AE93" i="2"/>
  <c r="AE92" i="2"/>
  <c r="AF93" i="2"/>
  <c r="AE94" i="2"/>
  <c r="AF94" i="2"/>
  <c r="J143" i="2"/>
  <c r="U94" i="2"/>
  <c r="V93" i="2"/>
  <c r="V94" i="2"/>
  <c r="V92" i="2"/>
  <c r="J100" i="2" s="1"/>
  <c r="K100" i="2" s="1"/>
  <c r="U93" i="2"/>
  <c r="F6" i="10" s="1"/>
  <c r="F7" i="10" s="1"/>
  <c r="W5" i="9"/>
  <c r="X5" i="9"/>
  <c r="W4" i="9"/>
  <c r="E15" i="9" s="1"/>
  <c r="L5" i="10" s="1"/>
  <c r="X4" i="9"/>
  <c r="W6" i="9"/>
  <c r="X6" i="9"/>
  <c r="N106" i="2"/>
  <c r="O106" i="2" s="1"/>
  <c r="N95" i="2"/>
  <c r="O95" i="2" s="1"/>
  <c r="N107" i="2"/>
  <c r="O107" i="2" s="1"/>
  <c r="N98" i="2"/>
  <c r="O98" i="2" s="1"/>
  <c r="N100" i="2"/>
  <c r="O100" i="2" s="1"/>
  <c r="N112" i="2"/>
  <c r="O112" i="2" s="1"/>
  <c r="N101" i="2"/>
  <c r="O101" i="2" s="1"/>
  <c r="N113" i="2"/>
  <c r="O113" i="2" s="1"/>
  <c r="N102" i="2"/>
  <c r="O102" i="2" s="1"/>
  <c r="N103" i="2"/>
  <c r="O103" i="2" s="1"/>
  <c r="N104" i="2"/>
  <c r="O104" i="2" s="1"/>
  <c r="N105" i="2"/>
  <c r="O105" i="2" s="1"/>
  <c r="N96" i="2"/>
  <c r="O96" i="2" s="1"/>
  <c r="N108" i="2"/>
  <c r="O108" i="2" s="1"/>
  <c r="N97" i="2"/>
  <c r="O97" i="2" s="1"/>
  <c r="N109" i="2"/>
  <c r="O109" i="2" s="1"/>
  <c r="N110" i="2"/>
  <c r="O110" i="2" s="1"/>
  <c r="N99" i="2"/>
  <c r="O99" i="2" s="1"/>
  <c r="N111" i="2"/>
  <c r="O111" i="2" s="1"/>
  <c r="J96" i="2"/>
  <c r="K96" i="2" s="1"/>
  <c r="BG61" i="2"/>
  <c r="BH62" i="2"/>
  <c r="BH60" i="2"/>
  <c r="BG60" i="2"/>
  <c r="AW79" i="2" s="1"/>
  <c r="BG62" i="2"/>
  <c r="BQ3" i="2"/>
  <c r="BA7" i="2" s="1"/>
  <c r="BB7" i="2" s="1"/>
  <c r="BP4" i="2"/>
  <c r="BQ4" i="2"/>
  <c r="BP5" i="2"/>
  <c r="BQ5" i="2"/>
  <c r="BG5" i="2"/>
  <c r="BH5" i="2"/>
  <c r="BH3" i="2"/>
  <c r="AW11" i="2" s="1"/>
  <c r="AX11" i="2" s="1"/>
  <c r="BG4" i="2"/>
  <c r="BH4" i="2"/>
  <c r="BQ62" i="2"/>
  <c r="BP62" i="2"/>
  <c r="BQ61" i="2"/>
  <c r="BP61" i="2"/>
  <c r="BP60" i="2"/>
  <c r="BQ60" i="2"/>
  <c r="L7" i="10" l="1"/>
  <c r="L8" i="10"/>
  <c r="I17" i="9"/>
  <c r="M5" i="10"/>
  <c r="M141" i="2"/>
  <c r="N94" i="2"/>
  <c r="O94" i="2" s="1"/>
  <c r="BA5" i="2"/>
  <c r="BA12" i="2"/>
  <c r="BB12" i="2" s="1"/>
  <c r="AW62" i="2"/>
  <c r="AX62" i="2" s="1"/>
  <c r="J110" i="2"/>
  <c r="K110" i="2" s="1"/>
  <c r="J105" i="2"/>
  <c r="K105" i="2" s="1"/>
  <c r="J112" i="2"/>
  <c r="K112" i="2" s="1"/>
  <c r="J103" i="2"/>
  <c r="K103" i="2" s="1"/>
  <c r="J102" i="2"/>
  <c r="K102" i="2" s="1"/>
  <c r="J106" i="2"/>
  <c r="K106" i="2" s="1"/>
  <c r="E17" i="9"/>
  <c r="J101" i="2"/>
  <c r="K101" i="2" s="1"/>
  <c r="AW65" i="2"/>
  <c r="J109" i="2"/>
  <c r="K109" i="2" s="1"/>
  <c r="J94" i="2"/>
  <c r="K94" i="2" s="1"/>
  <c r="J97" i="2"/>
  <c r="K97" i="2" s="1"/>
  <c r="J111" i="2"/>
  <c r="K111" i="2" s="1"/>
  <c r="J104" i="2"/>
  <c r="K104" i="2" s="1"/>
  <c r="J108" i="2"/>
  <c r="K108" i="2" s="1"/>
  <c r="J107" i="2"/>
  <c r="K107" i="2" s="1"/>
  <c r="AW70" i="2"/>
  <c r="AX70" i="2" s="1"/>
  <c r="AW77" i="2"/>
  <c r="AX77" i="2" s="1"/>
  <c r="J113" i="2"/>
  <c r="K113" i="2" s="1"/>
  <c r="J95" i="2"/>
  <c r="K95" i="2" s="1"/>
  <c r="J99" i="2"/>
  <c r="K99" i="2" s="1"/>
  <c r="J98" i="2"/>
  <c r="K98" i="2" s="1"/>
  <c r="Q7" i="9"/>
  <c r="R7" i="9" s="1"/>
  <c r="Q5" i="9"/>
  <c r="R5" i="9" s="1"/>
  <c r="Q4" i="9"/>
  <c r="R4" i="9" s="1"/>
  <c r="Q8" i="9"/>
  <c r="R8" i="9" s="1"/>
  <c r="Q10" i="9"/>
  <c r="R10" i="9" s="1"/>
  <c r="Q9" i="9"/>
  <c r="R9" i="9" s="1"/>
  <c r="Q6" i="9"/>
  <c r="R6" i="9" s="1"/>
  <c r="M5" i="9"/>
  <c r="N5" i="9" s="1"/>
  <c r="M6" i="9"/>
  <c r="N6" i="9" s="1"/>
  <c r="M4" i="9"/>
  <c r="N4" i="9" s="1"/>
  <c r="M10" i="9"/>
  <c r="N10" i="9" s="1"/>
  <c r="M7" i="9"/>
  <c r="N7" i="9" s="1"/>
  <c r="M9" i="9"/>
  <c r="N9" i="9" s="1"/>
  <c r="M8" i="9"/>
  <c r="N8" i="9" s="1"/>
  <c r="BA15" i="2"/>
  <c r="BB15" i="2" s="1"/>
  <c r="BA10" i="2"/>
  <c r="BB10" i="2" s="1"/>
  <c r="AW75" i="2"/>
  <c r="AX75" i="2" s="1"/>
  <c r="BA8" i="2"/>
  <c r="BB8" i="2" s="1"/>
  <c r="BA11" i="2"/>
  <c r="BB11" i="2" s="1"/>
  <c r="BA13" i="2"/>
  <c r="BB13" i="2" s="1"/>
  <c r="BA17" i="2"/>
  <c r="BB17" i="2" s="1"/>
  <c r="AW80" i="2"/>
  <c r="AX80" i="2" s="1"/>
  <c r="AW73" i="2"/>
  <c r="AX73" i="2" s="1"/>
  <c r="BA6" i="2"/>
  <c r="BB6" i="2" s="1"/>
  <c r="BA14" i="2"/>
  <c r="BB14" i="2" s="1"/>
  <c r="BA9" i="2"/>
  <c r="BB9" i="2" s="1"/>
  <c r="AW71" i="2"/>
  <c r="AW76" i="2"/>
  <c r="AX76" i="2" s="1"/>
  <c r="AW81" i="2"/>
  <c r="AX81" i="2" s="1"/>
  <c r="AW66" i="2"/>
  <c r="AX66" i="2" s="1"/>
  <c r="AW64" i="2"/>
  <c r="AW69" i="2"/>
  <c r="AX69" i="2" s="1"/>
  <c r="AW72" i="2"/>
  <c r="AX72" i="2" s="1"/>
  <c r="AW78" i="2"/>
  <c r="AX78" i="2" s="1"/>
  <c r="AW67" i="2"/>
  <c r="AX67" i="2" s="1"/>
  <c r="AW68" i="2"/>
  <c r="AX68" i="2" s="1"/>
  <c r="AW63" i="2"/>
  <c r="AX63" i="2" s="1"/>
  <c r="AW74" i="2"/>
  <c r="AX74" i="2" s="1"/>
  <c r="BA16" i="2"/>
  <c r="BB16" i="2" s="1"/>
  <c r="BA74" i="2"/>
  <c r="BB74" i="2" s="1"/>
  <c r="BA67" i="2"/>
  <c r="BB67" i="2" s="1"/>
  <c r="BA68" i="2"/>
  <c r="BB68" i="2" s="1"/>
  <c r="BA62" i="2"/>
  <c r="BB62" i="2" s="1"/>
  <c r="BA71" i="2"/>
  <c r="BB71" i="2" s="1"/>
  <c r="BA72" i="2"/>
  <c r="BB72" i="2" s="1"/>
  <c r="BA77" i="2"/>
  <c r="BB77" i="2" s="1"/>
  <c r="BA79" i="2"/>
  <c r="BB79" i="2" s="1"/>
  <c r="BA80" i="2"/>
  <c r="BB80" i="2" s="1"/>
  <c r="BA70" i="2"/>
  <c r="BB70" i="2" s="1"/>
  <c r="BA65" i="2"/>
  <c r="BB65" i="2" s="1"/>
  <c r="BA78" i="2"/>
  <c r="BB78" i="2" s="1"/>
  <c r="BA63" i="2"/>
  <c r="BB63" i="2" s="1"/>
  <c r="BA66" i="2"/>
  <c r="BB66" i="2" s="1"/>
  <c r="BA69" i="2"/>
  <c r="BB69" i="2" s="1"/>
  <c r="BA75" i="2"/>
  <c r="BB75" i="2" s="1"/>
  <c r="BA81" i="2"/>
  <c r="BB81" i="2" s="1"/>
  <c r="BA76" i="2"/>
  <c r="BB76" i="2" s="1"/>
  <c r="BA73" i="2"/>
  <c r="BB73" i="2" s="1"/>
  <c r="BA64" i="2"/>
  <c r="BB64" i="2" s="1"/>
  <c r="AW16" i="2"/>
  <c r="AX16" i="2" s="1"/>
  <c r="AW14" i="2"/>
  <c r="AX14" i="2" s="1"/>
  <c r="AW12" i="2"/>
  <c r="AX12" i="2" s="1"/>
  <c r="AW15" i="2"/>
  <c r="AX15" i="2" s="1"/>
  <c r="AW6" i="2"/>
  <c r="AX6" i="2" s="1"/>
  <c r="AW5" i="2"/>
  <c r="AX5" i="2" s="1"/>
  <c r="AW8" i="2"/>
  <c r="AX8" i="2" s="1"/>
  <c r="AW17" i="2"/>
  <c r="AX17" i="2" s="1"/>
  <c r="AX64" i="2"/>
  <c r="AW9" i="2"/>
  <c r="AX9" i="2" s="1"/>
  <c r="AW13" i="2"/>
  <c r="AX13" i="2" s="1"/>
  <c r="AW10" i="2"/>
  <c r="AX10" i="2" s="1"/>
  <c r="AW7" i="2"/>
  <c r="AX7" i="2" s="1"/>
  <c r="BB5" i="2"/>
  <c r="AX71" i="2"/>
  <c r="AX79" i="2"/>
  <c r="AX65" i="2"/>
  <c r="M8" i="10" l="1"/>
  <c r="M7" i="10"/>
  <c r="G5" i="10"/>
  <c r="M143" i="2"/>
  <c r="H4" i="3"/>
  <c r="F4" i="3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62" i="2"/>
  <c r="G63" i="2"/>
  <c r="G64" i="2"/>
  <c r="G65" i="2"/>
  <c r="E62" i="2"/>
  <c r="I63" i="2"/>
  <c r="M63" i="2"/>
  <c r="I64" i="2"/>
  <c r="M64" i="2"/>
  <c r="I65" i="2"/>
  <c r="M65" i="2"/>
  <c r="G27" i="1"/>
  <c r="J68" i="1" s="1"/>
  <c r="G29" i="1"/>
  <c r="J70" i="1" s="1"/>
  <c r="G26" i="1"/>
  <c r="J67" i="1" s="1"/>
  <c r="C26" i="1"/>
  <c r="C27" i="1"/>
  <c r="C28" i="1"/>
  <c r="C29" i="1"/>
  <c r="G7" i="10" l="1"/>
  <c r="G8" i="10"/>
  <c r="Y61" i="2" a="1"/>
  <c r="S61" i="2" a="1"/>
  <c r="P6" i="4"/>
  <c r="L6" i="4"/>
  <c r="J6" i="4"/>
  <c r="H6" i="4"/>
  <c r="P5" i="4"/>
  <c r="L5" i="4"/>
  <c r="J5" i="4"/>
  <c r="H5" i="4"/>
  <c r="P4" i="4"/>
  <c r="L4" i="4"/>
  <c r="J4" i="4"/>
  <c r="H4" i="4"/>
  <c r="N5" i="3"/>
  <c r="N6" i="3"/>
  <c r="N7" i="3"/>
  <c r="N8" i="3"/>
  <c r="AA4" i="3" a="1"/>
  <c r="AA4" i="3" s="1"/>
  <c r="O4" i="3" l="1"/>
  <c r="Y61" i="2"/>
  <c r="Z63" i="2"/>
  <c r="Y63" i="2"/>
  <c r="Z62" i="2"/>
  <c r="Y62" i="2"/>
  <c r="Z61" i="2"/>
  <c r="S61" i="2"/>
  <c r="S62" i="2"/>
  <c r="T62" i="2"/>
  <c r="S63" i="2"/>
  <c r="T63" i="2"/>
  <c r="T61" i="2"/>
  <c r="C9" i="4" a="1"/>
  <c r="D9" i="4" s="1"/>
  <c r="Q9" i="4" a="1"/>
  <c r="Q9" i="4" s="1"/>
  <c r="AF7" i="4" s="1"/>
  <c r="AB6" i="3"/>
  <c r="AA6" i="3"/>
  <c r="AB5" i="3"/>
  <c r="AA5" i="3"/>
  <c r="AB4" i="3"/>
  <c r="O7" i="3" s="1"/>
  <c r="P7" i="3" s="1"/>
  <c r="H6" i="3"/>
  <c r="J5" i="3"/>
  <c r="H5" i="3"/>
  <c r="J6" i="3"/>
  <c r="J7" i="3"/>
  <c r="H7" i="3"/>
  <c r="J8" i="3"/>
  <c r="H8" i="3"/>
  <c r="J4" i="3"/>
  <c r="S4" i="3" s="1" a="1"/>
  <c r="F5" i="3"/>
  <c r="F6" i="3"/>
  <c r="F7" i="3"/>
  <c r="F8" i="3"/>
  <c r="M18" i="2"/>
  <c r="E18" i="2"/>
  <c r="M17" i="2"/>
  <c r="I17" i="2"/>
  <c r="E17" i="2"/>
  <c r="M16" i="2"/>
  <c r="I16" i="2"/>
  <c r="E16" i="2"/>
  <c r="M15" i="2"/>
  <c r="I15" i="2"/>
  <c r="E15" i="2"/>
  <c r="M14" i="2"/>
  <c r="I14" i="2"/>
  <c r="E14" i="2"/>
  <c r="M13" i="2"/>
  <c r="I13" i="2"/>
  <c r="E13" i="2"/>
  <c r="M12" i="2"/>
  <c r="I12" i="2"/>
  <c r="E12" i="2"/>
  <c r="M11" i="2"/>
  <c r="I11" i="2"/>
  <c r="E11" i="2"/>
  <c r="M10" i="2"/>
  <c r="I10" i="2"/>
  <c r="E10" i="2"/>
  <c r="M9" i="2"/>
  <c r="I9" i="2"/>
  <c r="E9" i="2"/>
  <c r="M8" i="2"/>
  <c r="I8" i="2"/>
  <c r="E8" i="2"/>
  <c r="M7" i="2"/>
  <c r="I7" i="2"/>
  <c r="E7" i="2"/>
  <c r="M6" i="2"/>
  <c r="I6" i="2"/>
  <c r="E6" i="2"/>
  <c r="M5" i="2"/>
  <c r="I5" i="2"/>
  <c r="G5" i="2"/>
  <c r="E5" i="2"/>
  <c r="J12" i="3" l="1"/>
  <c r="J11" i="3"/>
  <c r="S4" i="3"/>
  <c r="K6" i="3" s="1"/>
  <c r="L6" i="3" s="1"/>
  <c r="T6" i="3"/>
  <c r="S6" i="3"/>
  <c r="T5" i="3"/>
  <c r="S5" i="3"/>
  <c r="T4" i="3"/>
  <c r="D10" i="4"/>
  <c r="D11" i="4"/>
  <c r="J63" i="2"/>
  <c r="K63" i="2" s="1"/>
  <c r="J64" i="2"/>
  <c r="K64" i="2" s="1"/>
  <c r="J65" i="2"/>
  <c r="K65" i="2" s="1"/>
  <c r="J62" i="2"/>
  <c r="K62" i="2" s="1"/>
  <c r="N63" i="2"/>
  <c r="N64" i="2"/>
  <c r="N65" i="2"/>
  <c r="N62" i="2"/>
  <c r="O62" i="2" s="1"/>
  <c r="AD3" i="2" a="1"/>
  <c r="T3" i="2" a="1"/>
  <c r="C10" i="4"/>
  <c r="C11" i="4"/>
  <c r="C9" i="4"/>
  <c r="AC7" i="4" s="1"/>
  <c r="Q10" i="4"/>
  <c r="Q11" i="4"/>
  <c r="R11" i="4"/>
  <c r="R10" i="4"/>
  <c r="R9" i="4"/>
  <c r="Q5" i="4" s="1"/>
  <c r="P8" i="3"/>
  <c r="P4" i="3"/>
  <c r="O6" i="3"/>
  <c r="P6" i="3" s="1"/>
  <c r="O5" i="3"/>
  <c r="P5" i="3" s="1"/>
  <c r="AC9" i="4" l="1"/>
  <c r="J5" i="10"/>
  <c r="AF9" i="4"/>
  <c r="K5" i="10"/>
  <c r="D14" i="3"/>
  <c r="G14" i="3"/>
  <c r="Q6" i="4"/>
  <c r="R6" i="4" s="1"/>
  <c r="Q4" i="4"/>
  <c r="R4" i="4" s="1"/>
  <c r="M5" i="4"/>
  <c r="N5" i="4" s="1"/>
  <c r="M6" i="4"/>
  <c r="N6" i="4" s="1"/>
  <c r="M4" i="4"/>
  <c r="N4" i="4" s="1"/>
  <c r="T3" i="2"/>
  <c r="T5" i="2"/>
  <c r="U3" i="2"/>
  <c r="U4" i="2"/>
  <c r="T4" i="2"/>
  <c r="U5" i="2"/>
  <c r="AD3" i="2"/>
  <c r="AD5" i="2"/>
  <c r="AE5" i="2"/>
  <c r="AE3" i="2"/>
  <c r="AD4" i="2"/>
  <c r="AE4" i="2"/>
  <c r="R5" i="4"/>
  <c r="K7" i="3"/>
  <c r="L7" i="3" s="1"/>
  <c r="K4" i="3"/>
  <c r="L4" i="3" s="1"/>
  <c r="K5" i="3"/>
  <c r="L5" i="3" s="1"/>
  <c r="K8" i="3"/>
  <c r="L8" i="3" s="1"/>
  <c r="K7" i="10" l="1"/>
  <c r="K8" i="10"/>
  <c r="J7" i="10"/>
  <c r="J8" i="10"/>
  <c r="I5" i="10"/>
  <c r="G16" i="3"/>
  <c r="H5" i="10"/>
  <c r="D16" i="3"/>
  <c r="N5" i="2"/>
  <c r="O5" i="2" s="1"/>
  <c r="J5" i="2"/>
  <c r="K5" i="2" s="1"/>
  <c r="N8" i="2"/>
  <c r="O8" i="2" s="1"/>
  <c r="N9" i="2"/>
  <c r="O9" i="2" s="1"/>
  <c r="N18" i="2"/>
  <c r="N6" i="2"/>
  <c r="O6" i="2" s="1"/>
  <c r="N14" i="2"/>
  <c r="O14" i="2" s="1"/>
  <c r="N17" i="2"/>
  <c r="O17" i="2" s="1"/>
  <c r="N12" i="2"/>
  <c r="O12" i="2" s="1"/>
  <c r="N10" i="2"/>
  <c r="O10" i="2" s="1"/>
  <c r="N11" i="2"/>
  <c r="O11" i="2" s="1"/>
  <c r="N7" i="2"/>
  <c r="O7" i="2" s="1"/>
  <c r="N15" i="2"/>
  <c r="O15" i="2" s="1"/>
  <c r="N13" i="2"/>
  <c r="O13" i="2" s="1"/>
  <c r="N16" i="2"/>
  <c r="O16" i="2" s="1"/>
  <c r="J10" i="2"/>
  <c r="K10" i="2" s="1"/>
  <c r="J11" i="2"/>
  <c r="K11" i="2" s="1"/>
  <c r="J9" i="2"/>
  <c r="K9" i="2" s="1"/>
  <c r="J15" i="2"/>
  <c r="K15" i="2" s="1"/>
  <c r="J17" i="2"/>
  <c r="K17" i="2" s="1"/>
  <c r="J12" i="2"/>
  <c r="K12" i="2" s="1"/>
  <c r="J8" i="2"/>
  <c r="K8" i="2" s="1"/>
  <c r="J7" i="2"/>
  <c r="K7" i="2" s="1"/>
  <c r="J18" i="2"/>
  <c r="K18" i="2" s="1"/>
  <c r="J14" i="2"/>
  <c r="K14" i="2" s="1"/>
  <c r="J6" i="2"/>
  <c r="K6" i="2" s="1"/>
  <c r="J13" i="2"/>
  <c r="K13" i="2" s="1"/>
  <c r="J16" i="2"/>
  <c r="K16" i="2" s="1"/>
  <c r="O18" i="2"/>
  <c r="O63" i="2"/>
  <c r="O65" i="2"/>
  <c r="O64" i="2"/>
  <c r="G25" i="1"/>
  <c r="J66" i="1" s="1"/>
  <c r="G7" i="1"/>
  <c r="J48" i="1" s="1"/>
  <c r="G8" i="1"/>
  <c r="J49" i="1" s="1"/>
  <c r="G9" i="1"/>
  <c r="J50" i="1" s="1"/>
  <c r="G10" i="1"/>
  <c r="J51" i="1" s="1"/>
  <c r="G11" i="1"/>
  <c r="J52" i="1" s="1"/>
  <c r="G12" i="1"/>
  <c r="J53" i="1" s="1"/>
  <c r="G13" i="1"/>
  <c r="J54" i="1" s="1"/>
  <c r="G14" i="1"/>
  <c r="J55" i="1" s="1"/>
  <c r="G15" i="1"/>
  <c r="J56" i="1" s="1"/>
  <c r="G16" i="1"/>
  <c r="J57" i="1" s="1"/>
  <c r="G17" i="1"/>
  <c r="J58" i="1" s="1"/>
  <c r="G18" i="1"/>
  <c r="J59" i="1" s="1"/>
  <c r="G19" i="1"/>
  <c r="J60" i="1" s="1"/>
  <c r="G20" i="1"/>
  <c r="J61" i="1" s="1"/>
  <c r="G21" i="1"/>
  <c r="J62" i="1" s="1"/>
  <c r="G22" i="1"/>
  <c r="J63" i="1" s="1"/>
  <c r="G23" i="1"/>
  <c r="J64" i="1" s="1"/>
  <c r="G24" i="1"/>
  <c r="J65" i="1" s="1"/>
  <c r="J47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6" i="1"/>
  <c r="Z7" i="1" s="1" a="1"/>
  <c r="H7" i="10" l="1"/>
  <c r="H8" i="10"/>
  <c r="I7" i="10"/>
  <c r="I8" i="10"/>
  <c r="Z7" i="1"/>
  <c r="T50" i="1" s="1"/>
  <c r="Z9" i="1"/>
  <c r="AA9" i="1"/>
  <c r="AA8" i="1"/>
  <c r="Z8" i="1"/>
  <c r="AA7" i="1"/>
  <c r="P7" i="1" a="1"/>
  <c r="T52" i="1" l="1"/>
  <c r="E5" i="10"/>
  <c r="L16" i="1"/>
  <c r="M16" i="1" s="1"/>
  <c r="P7" i="1"/>
  <c r="Q50" i="1" s="1"/>
  <c r="Q9" i="1"/>
  <c r="Q7" i="1"/>
  <c r="P9" i="1"/>
  <c r="Q8" i="1"/>
  <c r="P8" i="1"/>
  <c r="E7" i="10" l="1"/>
  <c r="E8" i="10"/>
  <c r="Q52" i="1"/>
  <c r="D5" i="10"/>
  <c r="H27" i="1"/>
  <c r="I27" i="1" s="1"/>
  <c r="H29" i="1"/>
  <c r="I29" i="1" s="1"/>
  <c r="H28" i="1"/>
  <c r="I28" i="1" s="1"/>
  <c r="H26" i="1"/>
  <c r="I26" i="1" s="1"/>
  <c r="H13" i="1"/>
  <c r="I13" i="1" s="1"/>
  <c r="H23" i="1"/>
  <c r="I23" i="1" s="1"/>
  <c r="H17" i="1"/>
  <c r="I17" i="1" s="1"/>
  <c r="H6" i="1"/>
  <c r="I6" i="1" s="1"/>
  <c r="H10" i="1"/>
  <c r="I10" i="1" s="1"/>
  <c r="H9" i="1"/>
  <c r="I9" i="1" s="1"/>
  <c r="H16" i="1"/>
  <c r="I16" i="1" s="1"/>
  <c r="H11" i="1"/>
  <c r="I11" i="1" s="1"/>
  <c r="H21" i="1"/>
  <c r="I21" i="1" s="1"/>
  <c r="H20" i="1"/>
  <c r="I20" i="1" s="1"/>
  <c r="H24" i="1"/>
  <c r="I24" i="1" s="1"/>
  <c r="H8" i="1"/>
  <c r="I8" i="1" s="1"/>
  <c r="H25" i="1"/>
  <c r="I25" i="1" s="1"/>
  <c r="H15" i="1"/>
  <c r="I15" i="1" s="1"/>
  <c r="H19" i="1"/>
  <c r="I19" i="1" s="1"/>
  <c r="H22" i="1"/>
  <c r="I22" i="1" s="1"/>
  <c r="H7" i="1"/>
  <c r="I7" i="1" s="1"/>
  <c r="H12" i="1"/>
  <c r="I12" i="1" s="1"/>
  <c r="H14" i="1"/>
  <c r="I14" i="1" s="1"/>
  <c r="H18" i="1"/>
  <c r="I18" i="1" s="1"/>
  <c r="L29" i="1"/>
  <c r="M29" i="1" s="1"/>
  <c r="L26" i="1"/>
  <c r="M26" i="1" s="1"/>
  <c r="L27" i="1"/>
  <c r="M27" i="1" s="1"/>
  <c r="L28" i="1"/>
  <c r="M28" i="1" s="1"/>
  <c r="L6" i="1"/>
  <c r="M6" i="1" s="1"/>
  <c r="L13" i="1"/>
  <c r="M13" i="1" s="1"/>
  <c r="L23" i="1"/>
  <c r="M23" i="1" s="1"/>
  <c r="L17" i="1"/>
  <c r="M17" i="1" s="1"/>
  <c r="L10" i="1"/>
  <c r="M10" i="1" s="1"/>
  <c r="L9" i="1"/>
  <c r="M9" i="1" s="1"/>
  <c r="L15" i="1"/>
  <c r="M15" i="1" s="1"/>
  <c r="L11" i="1"/>
  <c r="M11" i="1" s="1"/>
  <c r="L20" i="1"/>
  <c r="M20" i="1" s="1"/>
  <c r="L8" i="1"/>
  <c r="M8" i="1" s="1"/>
  <c r="L22" i="1"/>
  <c r="M22" i="1" s="1"/>
  <c r="L7" i="1"/>
  <c r="M7" i="1" s="1"/>
  <c r="L14" i="1"/>
  <c r="M14" i="1" s="1"/>
  <c r="L18" i="1"/>
  <c r="M18" i="1" s="1"/>
  <c r="L21" i="1"/>
  <c r="M21" i="1" s="1"/>
  <c r="L24" i="1"/>
  <c r="M24" i="1" s="1"/>
  <c r="L25" i="1"/>
  <c r="M25" i="1" s="1"/>
  <c r="L12" i="1"/>
  <c r="M12" i="1" s="1"/>
  <c r="L19" i="1"/>
  <c r="M19" i="1" s="1"/>
  <c r="D8" i="10" l="1"/>
  <c r="D7" i="10"/>
</calcChain>
</file>

<file path=xl/sharedStrings.xml><?xml version="1.0" encoding="utf-8"?>
<sst xmlns="http://schemas.openxmlformats.org/spreadsheetml/2006/main" count="469" uniqueCount="93">
  <si>
    <t>Ajuste</t>
  </si>
  <si>
    <t>Resíduos</t>
  </si>
  <si>
    <t>s(m)</t>
  </si>
  <si>
    <t>m</t>
  </si>
  <si>
    <t>r^2</t>
  </si>
  <si>
    <t>b</t>
  </si>
  <si>
    <t>s(b)</t>
  </si>
  <si>
    <t>s(y)</t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</si>
  <si>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ao variar i - Voltimetro</t>
    </r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</si>
  <si>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para variar i - Osciloscópio</t>
    </r>
  </si>
  <si>
    <t>Bobinas</t>
  </si>
  <si>
    <t>n</t>
  </si>
  <si>
    <t>Osciloscopio</t>
  </si>
  <si>
    <t>Voltimetro</t>
  </si>
  <si>
    <t>Osciloscópio</t>
  </si>
  <si>
    <t>u(L)</t>
  </si>
  <si>
    <t>u(D)</t>
  </si>
  <si>
    <t>N</t>
  </si>
  <si>
    <t>u(f)</t>
  </si>
  <si>
    <t>L (m)</t>
  </si>
  <si>
    <t xml:space="preserve">Ensaio 4 - Grupo 2B </t>
  </si>
  <si>
    <t>Ensaio 2 - Grupo 2B - Reduzir Amplitude da Corrente</t>
  </si>
  <si>
    <t>Ensaio 1 - Grupo 2B - Reduzir Amplitude da Corrente</t>
  </si>
  <si>
    <t>Ensaio 3 - Grupo 2B - Confirmar Tendência</t>
  </si>
  <si>
    <t>Gama final para análise</t>
  </si>
  <si>
    <r>
      <t>S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</si>
  <si>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Ajuste VE0 ao variar n - Voltimetro</t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</si>
  <si>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para variar n - Osciloscópio</t>
    </r>
  </si>
  <si>
    <t>V volt - V osc</t>
  </si>
  <si>
    <t>cos(θ)</t>
  </si>
  <si>
    <r>
      <t>Cálculo de μ</t>
    </r>
    <r>
      <rPr>
        <b/>
        <vertAlign val="subscript"/>
        <sz val="11"/>
        <color theme="1"/>
        <rFont val="Calibri"/>
        <family val="2"/>
        <scheme val="minor"/>
      </rPr>
      <t>0</t>
    </r>
  </si>
  <si>
    <t>Voltímetro</t>
  </si>
  <si>
    <r>
      <t>μ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ref</t>
    </r>
  </si>
  <si>
    <r>
      <t>μ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</si>
  <si>
    <r>
      <t>u(μ</t>
    </r>
    <r>
      <rPr>
        <vertAlign val="subscript"/>
        <sz val="11"/>
        <color theme="1"/>
        <rFont val="Calibri"/>
        <family val="2"/>
        <scheme val="minor"/>
      </rPr>
      <t>0)</t>
    </r>
  </si>
  <si>
    <r>
      <t>u(μ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</si>
  <si>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t>Erro %</t>
  </si>
  <si>
    <t>n (bobina 1)</t>
  </si>
  <si>
    <t>D (bobina 1) (m)</t>
  </si>
  <si>
    <r>
      <t>S (bobina 1)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</si>
  <si>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Média de 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(A)</t>
    </r>
  </si>
  <si>
    <r>
      <t>u(i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médio)</t>
    </r>
  </si>
  <si>
    <t>n (bobina 6)</t>
  </si>
  <si>
    <t>D (bobina 6) (m)</t>
  </si>
  <si>
    <r>
      <t>S (bobina 6)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</si>
  <si>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para variar θ - Osciloscópio</t>
    </r>
  </si>
  <si>
    <t>Ajuste VE0 ao variar S - Voltimetro</t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</si>
  <si>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para variar S - Osciloscópio</t>
    </r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</si>
  <si>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ao variar ω - Voltimetro</t>
    </r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</si>
  <si>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para variar ω - Osciloscópio</t>
    </r>
  </si>
  <si>
    <t>ω</t>
  </si>
  <si>
    <r>
      <t>i</t>
    </r>
    <r>
      <rPr>
        <vertAlign val="subscript"/>
        <sz val="11"/>
        <color theme="1"/>
        <rFont val="Calibri"/>
        <family val="2"/>
        <scheme val="minor"/>
      </rPr>
      <t>0</t>
    </r>
  </si>
  <si>
    <t>S</t>
  </si>
  <si>
    <r>
      <t>μ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(Hm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</si>
  <si>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μ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ref (Hm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</si>
  <si>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u(μ</t>
    </r>
    <r>
      <rPr>
        <vertAlign val="subscript"/>
        <sz val="11"/>
        <color theme="1"/>
        <rFont val="Calibri"/>
        <family val="2"/>
        <scheme val="minor"/>
      </rPr>
      <t>0)</t>
    </r>
    <r>
      <rPr>
        <sz val="11"/>
        <color theme="1"/>
        <rFont val="Calibri"/>
        <family val="2"/>
        <scheme val="minor"/>
      </rPr>
      <t xml:space="preserve"> (Hm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</si>
  <si>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u(μ</t>
    </r>
    <r>
      <rPr>
        <vertAlign val="subscript"/>
        <sz val="11"/>
        <color theme="1"/>
        <rFont val="Calibri"/>
        <family val="2"/>
        <scheme val="minor"/>
      </rPr>
      <t>0)</t>
    </r>
    <r>
      <rPr>
        <sz val="11"/>
        <color theme="1"/>
        <rFont val="Calibri"/>
        <family val="2"/>
        <scheme val="minor"/>
      </rPr>
      <t xml:space="preserve"> (%)</t>
    </r>
  </si>
  <si>
    <t>Erro (%)</t>
  </si>
  <si>
    <t>u(f) (Hz)</t>
  </si>
  <si>
    <r>
      <t>u(ω) (s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</si>
  <si>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u(i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 (A)</t>
    </r>
  </si>
  <si>
    <t>u(w)</t>
  </si>
  <si>
    <t>u(Voltimetro) V</t>
  </si>
  <si>
    <r>
      <t>u(V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 V</t>
    </r>
  </si>
  <si>
    <t>u(Osciloscopio) V</t>
  </si>
  <si>
    <t>u(IRMS)</t>
  </si>
  <si>
    <t>u(i0)</t>
  </si>
  <si>
    <t>Incerteza</t>
  </si>
  <si>
    <r>
      <t>u(V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 Voltimetro</t>
    </r>
  </si>
  <si>
    <r>
      <t>u(V</t>
    </r>
    <r>
      <rPr>
        <vertAlign val="subscript"/>
        <sz val="11"/>
        <color theme="1"/>
        <rFont val="Calibri"/>
        <family val="2"/>
        <scheme val="minor"/>
      </rPr>
      <t xml:space="preserve">E0 </t>
    </r>
    <r>
      <rPr>
        <sz val="11"/>
        <color theme="1"/>
        <rFont val="Calibri"/>
        <family val="2"/>
        <scheme val="minor"/>
      </rPr>
      <t>- Osciloscopio)  V</t>
    </r>
  </si>
  <si>
    <t>u(S)</t>
  </si>
  <si>
    <t>u(cos(Theta))</t>
  </si>
  <si>
    <t>u(θ (°))</t>
  </si>
  <si>
    <t>u(θ (rad))</t>
  </si>
  <si>
    <t>ENSAIO 4</t>
  </si>
  <si>
    <t>ENSAIO 1</t>
  </si>
  <si>
    <t>Ajuste VE0 ao variar θ - Voltímetro</t>
  </si>
  <si>
    <r>
      <t>(w ± 6)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</si>
  <si>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(i</t>
    </r>
    <r>
      <rPr>
        <vertAlign val="subscript"/>
        <sz val="11"/>
        <color theme="1"/>
        <rFont val="Calibri"/>
        <family val="2"/>
        <scheme val="minor"/>
      </rPr>
      <t>rms</t>
    </r>
    <r>
      <rPr>
        <sz val="11"/>
        <color theme="1"/>
        <rFont val="Calibri"/>
        <family val="2"/>
        <scheme val="minor"/>
      </rPr>
      <t xml:space="preserve"> ± 0,001) A</t>
    </r>
  </si>
  <si>
    <r>
      <t>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± 0,0014) A</t>
    </r>
  </si>
  <si>
    <r>
      <t>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± 0,0001) V</t>
    </r>
  </si>
  <si>
    <r>
      <t>(V</t>
    </r>
    <r>
      <rPr>
        <vertAlign val="subscript"/>
        <sz val="11"/>
        <color theme="1"/>
        <rFont val="Calibri"/>
        <family val="2"/>
        <scheme val="minor"/>
      </rPr>
      <t>rms ±</t>
    </r>
    <r>
      <rPr>
        <sz val="11"/>
        <color theme="1"/>
        <rFont val="Calibri"/>
        <family val="2"/>
        <scheme val="minor"/>
      </rPr>
      <t xml:space="preserve"> 0,0001) V</t>
    </r>
  </si>
  <si>
    <r>
      <t>(V</t>
    </r>
    <r>
      <rPr>
        <vertAlign val="subscript"/>
        <sz val="11"/>
        <color theme="1"/>
        <rFont val="Calibri"/>
        <family val="2"/>
        <scheme val="minor"/>
      </rPr>
      <t xml:space="preserve">E0 ± </t>
    </r>
    <r>
      <rPr>
        <sz val="11"/>
        <color theme="1"/>
        <rFont val="Calibri"/>
        <family val="2"/>
        <scheme val="minor"/>
      </rPr>
      <t>0,0001) V</t>
    </r>
  </si>
  <si>
    <t>(f ± 1) Hz</t>
  </si>
  <si>
    <r>
      <t>(V</t>
    </r>
    <r>
      <rPr>
        <vertAlign val="subscript"/>
        <sz val="11"/>
        <color theme="1"/>
        <rFont val="Calibri"/>
        <family val="2"/>
        <scheme val="minor"/>
      </rPr>
      <t xml:space="preserve">E0 </t>
    </r>
    <r>
      <rPr>
        <sz val="11"/>
        <color theme="1"/>
        <rFont val="Calibri"/>
        <family val="2"/>
        <scheme val="minor"/>
      </rPr>
      <t>±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0,01) V</t>
    </r>
  </si>
  <si>
    <r>
      <t>(V</t>
    </r>
    <r>
      <rPr>
        <vertAlign val="subscript"/>
        <sz val="11"/>
        <color theme="1"/>
        <rFont val="Calibri"/>
        <family val="2"/>
        <scheme val="minor"/>
      </rPr>
      <t>pico a pico</t>
    </r>
    <r>
      <rPr>
        <sz val="11"/>
        <color theme="1"/>
        <rFont val="Calibri"/>
        <family val="2"/>
        <scheme val="minor"/>
      </rPr>
      <t xml:space="preserve"> ± 0,01) V</t>
    </r>
  </si>
  <si>
    <r>
      <t>(V</t>
    </r>
    <r>
      <rPr>
        <vertAlign val="subscript"/>
        <sz val="11"/>
        <color theme="1"/>
        <rFont val="Calibri"/>
        <family val="2"/>
        <scheme val="minor"/>
      </rPr>
      <t>rms</t>
    </r>
    <r>
      <rPr>
        <sz val="11"/>
        <color theme="1"/>
        <rFont val="Calibri"/>
        <family val="2"/>
        <scheme val="minor"/>
      </rPr>
      <t xml:space="preserve"> ± 0,0001) V</t>
    </r>
  </si>
  <si>
    <t>(D ±  0,001) m</t>
  </si>
  <si>
    <t>(θ ± 7,5) °</t>
  </si>
  <si>
    <t>(θ ± 0,1309) rad</t>
  </si>
  <si>
    <t>u(cos(θ))</t>
  </si>
  <si>
    <t>a6-</t>
  </si>
  <si>
    <t>OS VALORES DE VPICO NÃO PERCEBO UM CARALHO. ELAS REGISTARAM RMS ? O QUE SER RMS ? PICO A PICO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</si>
</sst>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"/>
    <numFmt numFmtId="166" formatCode="0.0000000"/>
    <numFmt numFmtId="167" formatCode="0.000E+00"/>
    <numFmt numFmtId="168" formatCode="0.00000"/>
    <numFmt numFmtId="169" formatCode="0.000000"/>
  </numFmts>
  <fonts count="9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A6244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6" fillId="0" borderId="0" xfId="0" applyFont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68" fontId="0" fillId="0" borderId="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vertical="center"/>
    </xf>
    <xf numFmtId="165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textRotation="90" wrapText="1"/>
    </xf>
    <xf numFmtId="0" fontId="0" fillId="11" borderId="1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6244"/>
      <color rgb="FFFF3300"/>
      <color rgb="FFFFFF99"/>
      <color rgb="FFFFCC66"/>
      <color rgb="FFCC99FF"/>
      <color rgb="FFA7FFFF"/>
      <color rgb="FFCCFFFF"/>
      <color rgb="FF66FFFF"/>
      <color rgb="FF99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</a:t>
            </a:r>
            <a:r>
              <a:rPr lang="en-US" sz="1600" baseline="-25000"/>
              <a:t>E0</a:t>
            </a:r>
            <a:r>
              <a:rPr lang="en-US" sz="1600"/>
              <a:t> ao variar</a:t>
            </a:r>
            <a:r>
              <a:rPr lang="en-US" sz="1600" baseline="0"/>
              <a:t> </a:t>
            </a:r>
            <a:r>
              <a:rPr lang="el-GR" sz="1600" baseline="0"/>
              <a:t>ω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69416953579966312"/>
        </c:manualLayout>
      </c:layout>
      <c:scatterChart>
        <c:scatterStyle val="lineMarker"/>
        <c:varyColors val="0"/>
        <c:ser>
          <c:idx val="0"/>
          <c:order val="0"/>
          <c:tx>
            <c:v>V(w) - Voltimetro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ω!$C$3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plus>
            <c:minus>
              <c:numRef>
                <c:f>ω!$C$3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ω!$Q$2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ω!$Q$2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ω!$G$6:$G$29</c:f>
              <c:numCache>
                <c:formatCode>0.0000</c:formatCode>
                <c:ptCount val="24"/>
                <c:pt idx="0">
                  <c:v>0.39103004999616087</c:v>
                </c:pt>
                <c:pt idx="1">
                  <c:v>0.43303219279864169</c:v>
                </c:pt>
                <c:pt idx="2">
                  <c:v>0.47418580746369876</c:v>
                </c:pt>
                <c:pt idx="3">
                  <c:v>0.50133870786126222</c:v>
                </c:pt>
                <c:pt idx="4">
                  <c:v>0.53923963133286124</c:v>
                </c:pt>
                <c:pt idx="5">
                  <c:v>0.58802999923473298</c:v>
                </c:pt>
                <c:pt idx="6">
                  <c:v>0.62663802948751857</c:v>
                </c:pt>
                <c:pt idx="7">
                  <c:v>0.66482179567159205</c:v>
                </c:pt>
                <c:pt idx="8">
                  <c:v>0.68999479708183309</c:v>
                </c:pt>
                <c:pt idx="9">
                  <c:v>0.73553247379024678</c:v>
                </c:pt>
                <c:pt idx="10">
                  <c:v>0.76975644199967574</c:v>
                </c:pt>
                <c:pt idx="11">
                  <c:v>0.80497035970276576</c:v>
                </c:pt>
                <c:pt idx="12">
                  <c:v>0.84753818793019586</c:v>
                </c:pt>
                <c:pt idx="13">
                  <c:v>0.88119647071467555</c:v>
                </c:pt>
                <c:pt idx="14">
                  <c:v>0.92362287758586847</c:v>
                </c:pt>
                <c:pt idx="15">
                  <c:v>0.96831202615685841</c:v>
                </c:pt>
                <c:pt idx="16">
                  <c:v>0.99037375772987846</c:v>
                </c:pt>
                <c:pt idx="17">
                  <c:v>1.0336486927384951</c:v>
                </c:pt>
                <c:pt idx="18">
                  <c:v>1.0728224084162301</c:v>
                </c:pt>
                <c:pt idx="19">
                  <c:v>1.0995510447450814</c:v>
                </c:pt>
                <c:pt idx="20">
                  <c:v>1.1514526824841742</c:v>
                </c:pt>
                <c:pt idx="21">
                  <c:v>1.1883636564621118</c:v>
                </c:pt>
                <c:pt idx="22">
                  <c:v>1.2255574731525243</c:v>
                </c:pt>
                <c:pt idx="23">
                  <c:v>1.2665696664613442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26-4AB0-8D50-35CB46636AFE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ω!$H$6:$H$29</c:f>
              <c:numCache>
                <c:formatCode>0.0000</c:formatCode>
                <c:ptCount val="24"/>
                <c:pt idx="0">
                  <c:v>0.39424346077034866</c:v>
                </c:pt>
                <c:pt idx="1">
                  <c:v>0.43415834946854892</c:v>
                </c:pt>
                <c:pt idx="2">
                  <c:v>0.4703076826291831</c:v>
                </c:pt>
                <c:pt idx="3">
                  <c:v>0.50495079357479089</c:v>
                </c:pt>
                <c:pt idx="4">
                  <c:v>0.54335946005796476</c:v>
                </c:pt>
                <c:pt idx="5">
                  <c:v>0.58327434875616502</c:v>
                </c:pt>
                <c:pt idx="6">
                  <c:v>0.61791745970177281</c:v>
                </c:pt>
                <c:pt idx="7">
                  <c:v>0.65632612618494668</c:v>
                </c:pt>
                <c:pt idx="8">
                  <c:v>0.69473479266812055</c:v>
                </c:pt>
                <c:pt idx="9">
                  <c:v>0.73540279247383389</c:v>
                </c:pt>
                <c:pt idx="10">
                  <c:v>0.77381145895700776</c:v>
                </c:pt>
                <c:pt idx="11">
                  <c:v>0.80619523658007597</c:v>
                </c:pt>
                <c:pt idx="12">
                  <c:v>0.84611012527827623</c:v>
                </c:pt>
                <c:pt idx="13">
                  <c:v>0.88376568065393679</c:v>
                </c:pt>
                <c:pt idx="14">
                  <c:v>0.92518679156716355</c:v>
                </c:pt>
                <c:pt idx="15">
                  <c:v>0.96133612472779773</c:v>
                </c:pt>
                <c:pt idx="16">
                  <c:v>0.9997447912109716</c:v>
                </c:pt>
                <c:pt idx="17">
                  <c:v>1.0351410132640926</c:v>
                </c:pt>
                <c:pt idx="18">
                  <c:v>1.0727965686397531</c:v>
                </c:pt>
                <c:pt idx="19">
                  <c:v>1.1089459018003873</c:v>
                </c:pt>
                <c:pt idx="20">
                  <c:v>1.1481076793910745</c:v>
                </c:pt>
                <c:pt idx="21">
                  <c:v>1.1872694569817615</c:v>
                </c:pt>
                <c:pt idx="22">
                  <c:v>1.2234187901423959</c:v>
                </c:pt>
                <c:pt idx="23">
                  <c:v>1.2610743455180564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26-4AB0-8D50-35CB46636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ax val="11000"/>
          <c:min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ax val="1.4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692215238991193"/>
          <c:y val="0.66997604166666669"/>
          <c:w val="0.27771445349872365"/>
          <c:h val="0.1601770427404853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Ajuste V</a:t>
            </a:r>
            <a:r>
              <a:rPr lang="en-US" sz="1600" b="0" i="0" baseline="-25000">
                <a:effectLst/>
              </a:rPr>
              <a:t>E0</a:t>
            </a:r>
            <a:r>
              <a:rPr lang="en-US" sz="1600" b="0" i="0" baseline="0">
                <a:effectLst/>
              </a:rPr>
              <a:t> ao variar </a:t>
            </a:r>
            <a:r>
              <a:rPr lang="el-GR" sz="1600" b="0" i="0" baseline="0">
                <a:effectLst/>
              </a:rPr>
              <a:t>ω</a:t>
            </a:r>
            <a:r>
              <a:rPr lang="en-US" sz="1600" b="0" i="0" baseline="0">
                <a:effectLst/>
              </a:rPr>
              <a:t> - Osciloscópio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4280567944648007"/>
          <c:w val="0.82172450701363975"/>
          <c:h val="0.69448407414550095"/>
        </c:manualLayout>
      </c:layout>
      <c:scatterChart>
        <c:scatterStyle val="lineMarker"/>
        <c:varyColors val="0"/>
        <c:ser>
          <c:idx val="0"/>
          <c:order val="0"/>
          <c:tx>
            <c:v>V(w)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ω!$C$3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plus>
            <c:minus>
              <c:numRef>
                <c:f>ω!$C$3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ω!$Q$4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ω!$Q$4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ω!$K$6:$K$29</c:f>
              <c:numCache>
                <c:formatCode>0.0000</c:formatCode>
                <c:ptCount val="24"/>
                <c:pt idx="0">
                  <c:v>0.39597979746446665</c:v>
                </c:pt>
                <c:pt idx="1">
                  <c:v>0.43840620433565947</c:v>
                </c:pt>
                <c:pt idx="2">
                  <c:v>0.48083261120685239</c:v>
                </c:pt>
                <c:pt idx="3">
                  <c:v>0.50770266889194116</c:v>
                </c:pt>
                <c:pt idx="4">
                  <c:v>0.54730064863838779</c:v>
                </c:pt>
                <c:pt idx="5">
                  <c:v>0.59396969619669993</c:v>
                </c:pt>
                <c:pt idx="6">
                  <c:v>0.6349818895055197</c:v>
                </c:pt>
                <c:pt idx="7">
                  <c:v>0.67033722856484712</c:v>
                </c:pt>
                <c:pt idx="8">
                  <c:v>0.69720728624993589</c:v>
                </c:pt>
                <c:pt idx="9">
                  <c:v>0.74246212024587499</c:v>
                </c:pt>
                <c:pt idx="10">
                  <c:v>0.77781745930520241</c:v>
                </c:pt>
                <c:pt idx="11">
                  <c:v>0.8131727983645296</c:v>
                </c:pt>
                <c:pt idx="12">
                  <c:v>0.85701341879809567</c:v>
                </c:pt>
                <c:pt idx="13">
                  <c:v>0.89095454429504994</c:v>
                </c:pt>
                <c:pt idx="14">
                  <c:v>0.93196673760386972</c:v>
                </c:pt>
                <c:pt idx="15">
                  <c:v>0.97722157159980871</c:v>
                </c:pt>
                <c:pt idx="16">
                  <c:v>0.99984898859777827</c:v>
                </c:pt>
                <c:pt idx="17">
                  <c:v>1.0436896090313441</c:v>
                </c:pt>
                <c:pt idx="18">
                  <c:v>1.0832875887777909</c:v>
                </c:pt>
                <c:pt idx="19">
                  <c:v>1.1115718600252529</c:v>
                </c:pt>
                <c:pt idx="20">
                  <c:v>1.1624835482706841</c:v>
                </c:pt>
                <c:pt idx="21">
                  <c:v>1.2006673144547577</c:v>
                </c:pt>
                <c:pt idx="22">
                  <c:v>1.2374368670764582</c:v>
                </c:pt>
                <c:pt idx="23">
                  <c:v>1.2784490603852781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1F-45FF-BA1C-57FAC332C206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ω!$L$6:$L$29</c:f>
              <c:numCache>
                <c:formatCode>0.0000</c:formatCode>
                <c:ptCount val="24"/>
                <c:pt idx="0">
                  <c:v>0.39947854751339418</c:v>
                </c:pt>
                <c:pt idx="1">
                  <c:v>0.43970621256448528</c:v>
                </c:pt>
                <c:pt idx="2">
                  <c:v>0.47613881487490733</c:v>
                </c:pt>
                <c:pt idx="3">
                  <c:v>0.51105339208906186</c:v>
                </c:pt>
                <c:pt idx="4">
                  <c:v>0.54976303204388532</c:v>
                </c:pt>
                <c:pt idx="5">
                  <c:v>0.58999069709497642</c:v>
                </c:pt>
                <c:pt idx="6">
                  <c:v>0.6249052743091309</c:v>
                </c:pt>
                <c:pt idx="7">
                  <c:v>0.66361491426395447</c:v>
                </c:pt>
                <c:pt idx="8">
                  <c:v>0.70232455421877793</c:v>
                </c:pt>
                <c:pt idx="9">
                  <c:v>0.74331123181800263</c:v>
                </c:pt>
                <c:pt idx="10">
                  <c:v>0.7820208717728262</c:v>
                </c:pt>
                <c:pt idx="11">
                  <c:v>0.81465841134257932</c:v>
                </c:pt>
                <c:pt idx="12">
                  <c:v>0.85488607639367042</c:v>
                </c:pt>
                <c:pt idx="13">
                  <c:v>0.89283670380036007</c:v>
                </c:pt>
                <c:pt idx="14">
                  <c:v>0.93458239394771869</c:v>
                </c:pt>
                <c:pt idx="15">
                  <c:v>0.97101499625814081</c:v>
                </c:pt>
                <c:pt idx="16">
                  <c:v>1.0097246362129644</c:v>
                </c:pt>
                <c:pt idx="17">
                  <c:v>1.0453982259752528</c:v>
                </c:pt>
                <c:pt idx="18">
                  <c:v>1.0833488533819422</c:v>
                </c:pt>
                <c:pt idx="19">
                  <c:v>1.1197814556923644</c:v>
                </c:pt>
                <c:pt idx="20">
                  <c:v>1.1592501081953217</c:v>
                </c:pt>
                <c:pt idx="21">
                  <c:v>1.1987187606982788</c:v>
                </c:pt>
                <c:pt idx="22">
                  <c:v>1.235151363008701</c:v>
                </c:pt>
                <c:pt idx="23">
                  <c:v>1.2731019904153908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1F-45FF-BA1C-57FAC332C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ax val="11000"/>
          <c:min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100100305367703"/>
          <c:y val="0.67404965277777773"/>
          <c:w val="0.29616632629216261"/>
          <c:h val="0.1601770427404853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el-GR" sz="1600"/>
              <a:t>ω</a:t>
            </a:r>
            <a:r>
              <a:rPr lang="pt-PT" sz="1600"/>
              <a:t>)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007360097297626"/>
          <c:y val="0.1380597279859789"/>
          <c:w val="0.80274234620343254"/>
          <c:h val="0.71422692411465194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ω!$C$3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plus>
            <c:minus>
              <c:numRef>
                <c:f>ω!$C$3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ω!$Q$2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ω!$Q$2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ω!$I$6:$I$29</c:f>
              <c:numCache>
                <c:formatCode>0.0000</c:formatCode>
                <c:ptCount val="24"/>
                <c:pt idx="0">
                  <c:v>-3.2134107741877971E-3</c:v>
                </c:pt>
                <c:pt idx="1">
                  <c:v>-1.1261566699072301E-3</c:v>
                </c:pt>
                <c:pt idx="2">
                  <c:v>3.8781248345156616E-3</c:v>
                </c:pt>
                <c:pt idx="3">
                  <c:v>-3.6120857135286677E-3</c:v>
                </c:pt>
                <c:pt idx="4">
                  <c:v>-4.1198287251035248E-3</c:v>
                </c:pt>
                <c:pt idx="5">
                  <c:v>4.7556504785679632E-3</c:v>
                </c:pt>
                <c:pt idx="6">
                  <c:v>8.7205697857457576E-3</c:v>
                </c:pt>
                <c:pt idx="7">
                  <c:v>8.4956694866453741E-3</c:v>
                </c:pt>
                <c:pt idx="8">
                  <c:v>-4.7399955862874599E-3</c:v>
                </c:pt>
                <c:pt idx="9">
                  <c:v>1.2968131641288849E-4</c:v>
                </c:pt>
                <c:pt idx="10">
                  <c:v>-4.0550169573320138E-3</c:v>
                </c:pt>
                <c:pt idx="11">
                  <c:v>-1.2248768773102103E-3</c:v>
                </c:pt>
                <c:pt idx="12">
                  <c:v>1.4280626519196371E-3</c:v>
                </c:pt>
                <c:pt idx="13">
                  <c:v>-2.5692099392612411E-3</c:v>
                </c:pt>
                <c:pt idx="14">
                  <c:v>-1.5639139812950731E-3</c:v>
                </c:pt>
                <c:pt idx="15">
                  <c:v>6.9759014290606824E-3</c:v>
                </c:pt>
                <c:pt idx="16">
                  <c:v>-9.3710334810931384E-3</c:v>
                </c:pt>
                <c:pt idx="17">
                  <c:v>-1.4923205255974459E-3</c:v>
                </c:pt>
                <c:pt idx="18">
                  <c:v>2.5839776476965781E-5</c:v>
                </c:pt>
                <c:pt idx="19">
                  <c:v>-9.3948570553059607E-3</c:v>
                </c:pt>
                <c:pt idx="20">
                  <c:v>3.3450030930997077E-3</c:v>
                </c:pt>
                <c:pt idx="21">
                  <c:v>1.0941994803503885E-3</c:v>
                </c:pt>
                <c:pt idx="22">
                  <c:v>2.1386830101284282E-3</c:v>
                </c:pt>
                <c:pt idx="23">
                  <c:v>5.4953209432877514E-3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5F-4F0C-93BF-59C9B9E81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el-GR" sz="1600"/>
              <a:t>ω</a:t>
            </a:r>
            <a:r>
              <a:rPr lang="pt-PT" sz="1600"/>
              <a:t>)</a:t>
            </a:r>
            <a:r>
              <a:rPr lang="en-US" sz="1600"/>
              <a:t>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2893927036761019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ω!$C$3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plus>
            <c:minus>
              <c:numRef>
                <c:f>ω!$C$3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ω!$Q$4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ω!$Q$4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ω!$M$6:$M$25</c:f>
              <c:numCache>
                <c:formatCode>0.0000</c:formatCode>
                <c:ptCount val="20"/>
                <c:pt idx="0">
                  <c:v>-3.4987500489275236E-3</c:v>
                </c:pt>
                <c:pt idx="1">
                  <c:v>-1.3000082288258108E-3</c:v>
                </c:pt>
                <c:pt idx="2">
                  <c:v>4.6937963319450549E-3</c:v>
                </c:pt>
                <c:pt idx="3">
                  <c:v>-3.3507231971207085E-3</c:v>
                </c:pt>
                <c:pt idx="4">
                  <c:v>-2.4623834054975369E-3</c:v>
                </c:pt>
                <c:pt idx="5">
                  <c:v>3.9789991017235016E-3</c:v>
                </c:pt>
                <c:pt idx="6">
                  <c:v>1.0076615196388805E-2</c:v>
                </c:pt>
                <c:pt idx="7">
                  <c:v>6.7223143008926511E-3</c:v>
                </c:pt>
                <c:pt idx="8">
                  <c:v>-5.117267968842043E-3</c:v>
                </c:pt>
                <c:pt idx="9">
                  <c:v>-8.4911157212763655E-4</c:v>
                </c:pt>
                <c:pt idx="10">
                  <c:v>-4.2034124676237905E-3</c:v>
                </c:pt>
                <c:pt idx="11">
                  <c:v>-1.4856129780497218E-3</c:v>
                </c:pt>
                <c:pt idx="12">
                  <c:v>2.1273424044252476E-3</c:v>
                </c:pt>
                <c:pt idx="13">
                  <c:v>-1.8821595053101214E-3</c:v>
                </c:pt>
                <c:pt idx="14">
                  <c:v>-2.6156563438489711E-3</c:v>
                </c:pt>
                <c:pt idx="15">
                  <c:v>6.2065753416679081E-3</c:v>
                </c:pt>
                <c:pt idx="16">
                  <c:v>-9.8756476151861117E-3</c:v>
                </c:pt>
                <c:pt idx="17">
                  <c:v>-1.7086169439086696E-3</c:v>
                </c:pt>
                <c:pt idx="18">
                  <c:v>-6.1264604151345381E-5</c:v>
                </c:pt>
                <c:pt idx="19">
                  <c:v>-8.2095956671115466E-3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B8-44F1-8993-5B19B5F6E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i0(</a:t>
            </a:r>
            <a:r>
              <a:rPr lang="el-GR" sz="1600"/>
              <a:t>ω</a:t>
            </a:r>
            <a:r>
              <a:rPr lang="en-US" sz="1600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40456579086525"/>
          <c:y val="0.14785798611111112"/>
          <c:w val="0.81864539441035944"/>
          <c:h val="0.71416944444444452"/>
        </c:manualLayout>
      </c:layout>
      <c:scatterChart>
        <c:scatterStyle val="lineMarker"/>
        <c:varyColors val="0"/>
        <c:ser>
          <c:idx val="0"/>
          <c:order val="0"/>
          <c:tx>
            <c:v>i0(w)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ω!$C$3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plus>
            <c:minus>
              <c:numRef>
                <c:f>ω!$C$3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ω!$T$3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ω!$T$3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ω!$E$6:$E$29</c:f>
              <c:numCache>
                <c:formatCode>0.0000</c:formatCode>
                <c:ptCount val="24"/>
                <c:pt idx="0">
                  <c:v>0.56992806563635734</c:v>
                </c:pt>
                <c:pt idx="1">
                  <c:v>0.57134227919873048</c:v>
                </c:pt>
                <c:pt idx="2">
                  <c:v>0.57699913344822273</c:v>
                </c:pt>
                <c:pt idx="3">
                  <c:v>0.56709963851161116</c:v>
                </c:pt>
                <c:pt idx="4">
                  <c:v>0.56709963851161116</c:v>
                </c:pt>
                <c:pt idx="5">
                  <c:v>0.57417070632347667</c:v>
                </c:pt>
                <c:pt idx="6">
                  <c:v>0.57699913344822273</c:v>
                </c:pt>
                <c:pt idx="7">
                  <c:v>0.57417070632347667</c:v>
                </c:pt>
                <c:pt idx="8">
                  <c:v>0.56709963851161116</c:v>
                </c:pt>
                <c:pt idx="9">
                  <c:v>0.56992806563635734</c:v>
                </c:pt>
                <c:pt idx="10">
                  <c:v>0.5685138520739843</c:v>
                </c:pt>
                <c:pt idx="11">
                  <c:v>0.5685138520739843</c:v>
                </c:pt>
                <c:pt idx="12">
                  <c:v>0.57134227919873048</c:v>
                </c:pt>
                <c:pt idx="13">
                  <c:v>0.56992806563635734</c:v>
                </c:pt>
                <c:pt idx="14">
                  <c:v>0.56992806563635734</c:v>
                </c:pt>
                <c:pt idx="15">
                  <c:v>0.5755849198858497</c:v>
                </c:pt>
                <c:pt idx="16">
                  <c:v>0.56709963851161116</c:v>
                </c:pt>
                <c:pt idx="17">
                  <c:v>0.57134227919873048</c:v>
                </c:pt>
                <c:pt idx="18">
                  <c:v>0.57134227919873048</c:v>
                </c:pt>
                <c:pt idx="19">
                  <c:v>0.56709963851161116</c:v>
                </c:pt>
                <c:pt idx="20">
                  <c:v>0.57275649276110352</c:v>
                </c:pt>
                <c:pt idx="21">
                  <c:v>0.57275649276110352</c:v>
                </c:pt>
                <c:pt idx="22">
                  <c:v>0.57275649276110352</c:v>
                </c:pt>
                <c:pt idx="23" formatCode="General">
                  <c:v>0.57275649276110352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FA-45C9-86DD-73D691634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7552063"/>
        <c:axId val="1127568287"/>
      </c:scatterChart>
      <c:valAx>
        <c:axId val="1127552063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baseline="0">
                    <a:effectLst/>
                  </a:rPr>
                  <a:t>ω</a:t>
                </a:r>
                <a:r>
                  <a:rPr lang="pt-PT" sz="1400" b="0" i="0" baseline="0">
                    <a:effectLst/>
                  </a:rPr>
                  <a:t> (s</a:t>
                </a:r>
                <a:r>
                  <a:rPr lang="pt-PT" sz="1400" b="0" i="0" baseline="30000">
                    <a:effectLst/>
                  </a:rPr>
                  <a:t>-1</a:t>
                </a:r>
                <a:r>
                  <a:rPr lang="pt-PT" sz="1400" b="0" i="0" baseline="0">
                    <a:effectLst/>
                  </a:rPr>
                  <a:t>)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27568287"/>
        <c:crosses val="autoZero"/>
        <c:crossBetween val="midCat"/>
      </c:valAx>
      <c:valAx>
        <c:axId val="112756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2755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Vvoltímetro</a:t>
            </a:r>
            <a:r>
              <a:rPr lang="en-US" baseline="0"/>
              <a:t> - </a:t>
            </a:r>
            <a:r>
              <a:rPr lang="en-US"/>
              <a:t>V</a:t>
            </a:r>
            <a:r>
              <a:rPr lang="en-US" baseline="-25000"/>
              <a:t>E0</a:t>
            </a:r>
            <a:r>
              <a:rPr lang="en-US" baseline="0"/>
              <a:t> VS Osciloscópio</a:t>
            </a:r>
            <a:endParaRPr lang="en-US" baseline="-25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8025668793443603"/>
          <c:y val="0.15667743055555558"/>
          <c:w val="0.75895694532338831"/>
          <c:h val="0.71603219112148098"/>
        </c:manualLayout>
      </c:layout>
      <c:scatterChart>
        <c:scatterStyle val="lineMarker"/>
        <c:varyColors val="0"/>
        <c:ser>
          <c:idx val="0"/>
          <c:order val="0"/>
          <c:tx>
            <c:v>Volt-Osc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ω!$C$3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plus>
            <c:minus>
              <c:numRef>
                <c:f>ω!$C$3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ω!$K$47</c:f>
                <c:numCache>
                  <c:formatCode>General</c:formatCode>
                  <c:ptCount val="1"/>
                  <c:pt idx="0">
                    <c:v>2.0000000000000001E-4</c:v>
                  </c:pt>
                </c:numCache>
              </c:numRef>
            </c:plus>
            <c:minus>
              <c:numRef>
                <c:f>ω!$K$47</c:f>
                <c:numCache>
                  <c:formatCode>General</c:formatCode>
                  <c:ptCount val="1"/>
                  <c:pt idx="0">
                    <c:v>2.0000000000000001E-4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ω!$J$47:$J$70</c:f>
              <c:numCache>
                <c:formatCode>General</c:formatCode>
                <c:ptCount val="24"/>
                <c:pt idx="0">
                  <c:v>4.9497474683057874E-3</c:v>
                </c:pt>
                <c:pt idx="1">
                  <c:v>5.3740115370177755E-3</c:v>
                </c:pt>
                <c:pt idx="2">
                  <c:v>6.6468037431536287E-3</c:v>
                </c:pt>
                <c:pt idx="3">
                  <c:v>6.3639610306789329E-3</c:v>
                </c:pt>
                <c:pt idx="4">
                  <c:v>8.0610173055265522E-3</c:v>
                </c:pt>
                <c:pt idx="5">
                  <c:v>5.9396969619669449E-3</c:v>
                </c:pt>
                <c:pt idx="6">
                  <c:v>8.3438600180011369E-3</c:v>
                </c:pt>
                <c:pt idx="7">
                  <c:v>5.5154328932550678E-3</c:v>
                </c:pt>
                <c:pt idx="8">
                  <c:v>7.2124891681027981E-3</c:v>
                </c:pt>
                <c:pt idx="9">
                  <c:v>6.9296464556282134E-3</c:v>
                </c:pt>
                <c:pt idx="10">
                  <c:v>8.0610173055266632E-3</c:v>
                </c:pt>
                <c:pt idx="11">
                  <c:v>8.2024386617638445E-3</c:v>
                </c:pt>
                <c:pt idx="12">
                  <c:v>9.4752308678998087E-3</c:v>
                </c:pt>
                <c:pt idx="13">
                  <c:v>9.7580735803743934E-3</c:v>
                </c:pt>
                <c:pt idx="14">
                  <c:v>8.3438600180012479E-3</c:v>
                </c:pt>
                <c:pt idx="15">
                  <c:v>8.9095454429503063E-3</c:v>
                </c:pt>
                <c:pt idx="16">
                  <c:v>9.4752308678998087E-3</c:v>
                </c:pt>
                <c:pt idx="17">
                  <c:v>1.0040916292848978E-2</c:v>
                </c:pt>
                <c:pt idx="18">
                  <c:v>1.0465180361560744E-2</c:v>
                </c:pt>
                <c:pt idx="19">
                  <c:v>1.2020815280171515E-2</c:v>
                </c:pt>
                <c:pt idx="20">
                  <c:v>1.1030865786509914E-2</c:v>
                </c:pt>
                <c:pt idx="21">
                  <c:v>1.2303657992645878E-2</c:v>
                </c:pt>
                <c:pt idx="22">
                  <c:v>1.187939392393389E-2</c:v>
                </c:pt>
                <c:pt idx="23">
                  <c:v>1.187939392393389E-2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09-4B41-A19C-3CAD7532F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7552063"/>
        <c:axId val="1127568287"/>
      </c:scatterChart>
      <c:valAx>
        <c:axId val="1127552063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baseline="0">
                    <a:effectLst/>
                  </a:rPr>
                  <a:t>ω</a:t>
                </a:r>
                <a:r>
                  <a:rPr lang="pt-PT" sz="1400" b="0" i="0" baseline="0">
                    <a:effectLst/>
                  </a:rPr>
                  <a:t> (s</a:t>
                </a:r>
                <a:r>
                  <a:rPr lang="pt-PT" sz="1400" b="0" i="0" baseline="30000">
                    <a:effectLst/>
                  </a:rPr>
                  <a:t>-1</a:t>
                </a:r>
                <a:r>
                  <a:rPr lang="pt-PT" sz="1400" b="0" i="0" baseline="0">
                    <a:effectLst/>
                  </a:rPr>
                  <a:t>)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27568287"/>
        <c:crosses val="autoZero"/>
        <c:crossBetween val="midCat"/>
      </c:valAx>
      <c:valAx>
        <c:axId val="1127568287"/>
        <c:scaling>
          <c:orientation val="minMax"/>
          <c:min val="3.000000000000000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3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30"/>
                  <a:t>V</a:t>
                </a:r>
                <a:r>
                  <a:rPr lang="en-US" sz="1130" baseline="-25000"/>
                  <a:t>E0</a:t>
                </a:r>
                <a:r>
                  <a:rPr lang="en-US" sz="1130" baseline="0"/>
                  <a:t>(Osciloscópio) - </a:t>
                </a:r>
                <a:r>
                  <a:rPr lang="en-US" sz="1130" b="0" i="0" u="none" strike="noStrike" baseline="0">
                    <a:effectLst/>
                  </a:rPr>
                  <a:t>V</a:t>
                </a:r>
                <a:r>
                  <a:rPr lang="en-US" sz="1130" b="0" i="0" u="none" strike="noStrike" baseline="-25000">
                    <a:effectLst/>
                  </a:rPr>
                  <a:t>E0</a:t>
                </a:r>
                <a:r>
                  <a:rPr lang="en-US" sz="1130" baseline="0"/>
                  <a:t>(Voltímetro) (V)</a:t>
                </a:r>
                <a:endParaRPr lang="en-US" sz="1130" baseline="-25000"/>
              </a:p>
            </c:rich>
          </c:tx>
          <c:layout>
            <c:manualLayout>
              <c:xMode val="edge"/>
              <c:yMode val="edge"/>
              <c:x val="2.4920654738045642E-2"/>
              <c:y val="0.156474907727062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3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2755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Ajuste VE0 ao variar</a:t>
            </a:r>
            <a:r>
              <a:rPr lang="en-US" sz="1500" baseline="0"/>
              <a:t> </a:t>
            </a:r>
            <a:r>
              <a:rPr lang="pt-PT" sz="1500" baseline="0"/>
              <a:t>i0 - Ensaio 1</a:t>
            </a:r>
            <a:r>
              <a:rPr lang="en-US" sz="15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VE0(i0)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i0!$G$5:$G$18</c:f>
              <c:numCache>
                <c:formatCode>0.0000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i0!$I$5:$I$18</c:f>
              <c:numCache>
                <c:formatCode>0.0000</c:formatCode>
                <c:ptCount val="14"/>
                <c:pt idx="0">
                  <c:v>0.89434865684474529</c:v>
                </c:pt>
                <c:pt idx="1">
                  <c:v>0.92574419792942797</c:v>
                </c:pt>
                <c:pt idx="2">
                  <c:v>0.97736299295604612</c:v>
                </c:pt>
                <c:pt idx="3">
                  <c:v>1.0118698038779497</c:v>
                </c:pt>
                <c:pt idx="4">
                  <c:v>1.0513263622681588</c:v>
                </c:pt>
                <c:pt idx="5">
                  <c:v>1.1102990678191171</c:v>
                </c:pt>
                <c:pt idx="6">
                  <c:v>1.1698374587950244</c:v>
                </c:pt>
                <c:pt idx="7">
                  <c:v>1.2196177761905573</c:v>
                </c:pt>
                <c:pt idx="8">
                  <c:v>1.2541245871124609</c:v>
                </c:pt>
                <c:pt idx="9">
                  <c:v>1.2821260156474481</c:v>
                </c:pt>
                <c:pt idx="10">
                  <c:v>1.3437857269669151</c:v>
                </c:pt>
                <c:pt idx="11">
                  <c:v>1.3774440097513947</c:v>
                </c:pt>
                <c:pt idx="12">
                  <c:v>1.4006371121743133</c:v>
                </c:pt>
                <c:pt idx="13">
                  <c:v>1.4340125522463185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3A-4596-9A9F-0C47744628D9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i0!$G$5:$G$18</c:f>
              <c:numCache>
                <c:formatCode>0.0000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i0!$J$5:$J$18</c:f>
              <c:numCache>
                <c:formatCode>0.0000</c:formatCode>
                <c:ptCount val="14"/>
                <c:pt idx="0">
                  <c:v>0.87680911558781716</c:v>
                </c:pt>
                <c:pt idx="1">
                  <c:v>0.91171615209770951</c:v>
                </c:pt>
                <c:pt idx="2">
                  <c:v>0.98153022511749399</c:v>
                </c:pt>
                <c:pt idx="3">
                  <c:v>1.0193461813365439</c:v>
                </c:pt>
                <c:pt idx="4">
                  <c:v>1.0629799769739092</c:v>
                </c:pt>
                <c:pt idx="5">
                  <c:v>1.1240672908662208</c:v>
                </c:pt>
                <c:pt idx="6">
                  <c:v>1.1793367653402167</c:v>
                </c:pt>
                <c:pt idx="7">
                  <c:v>1.2258794806867399</c:v>
                </c:pt>
                <c:pt idx="8">
                  <c:v>1.2578775974874743</c:v>
                </c:pt>
                <c:pt idx="9">
                  <c:v>1.2840578748698936</c:v>
                </c:pt>
                <c:pt idx="10">
                  <c:v>1.3393273493438895</c:v>
                </c:pt>
                <c:pt idx="11">
                  <c:v>1.3713254661446241</c:v>
                </c:pt>
                <c:pt idx="12">
                  <c:v>1.3945968238178856</c:v>
                </c:pt>
                <c:pt idx="13">
                  <c:v>1.4236860209094626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3A-4596-9A9F-0C4774462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i</a:t>
                </a:r>
                <a:r>
                  <a:rPr lang="en-US" sz="1400" baseline="-25000"/>
                  <a:t>0</a:t>
                </a:r>
                <a:r>
                  <a:rPr lang="en-US" sz="1400" baseline="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113439732316313"/>
          <c:y val="0.68406960830480923"/>
          <c:w val="0.16465875888722956"/>
          <c:h val="0.1436903721449946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="0" i="0" baseline="0">
                <a:effectLst/>
              </a:rPr>
              <a:t>Ajuste VE0 ao variar </a:t>
            </a:r>
            <a:r>
              <a:rPr lang="pt-PT" sz="1500" b="0" i="0" baseline="0">
                <a:effectLst/>
              </a:rPr>
              <a:t>i0</a:t>
            </a:r>
            <a:r>
              <a:rPr lang="en-US" sz="1500" b="0" i="0" baseline="0">
                <a:effectLst/>
              </a:rPr>
              <a:t> - Ensaio 1 - Osciloscópio</a:t>
            </a:r>
            <a:endParaRPr lang="en-US" sz="15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772936621247711"/>
          <c:y val="0.14280567944648007"/>
          <c:w val="0.82075045868512153"/>
          <c:h val="0.70340968712583585"/>
        </c:manualLayout>
      </c:layout>
      <c:scatterChart>
        <c:scatterStyle val="lineMarker"/>
        <c:varyColors val="0"/>
        <c:ser>
          <c:idx val="0"/>
          <c:order val="0"/>
          <c:tx>
            <c:v>V(i)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i0!$G$5:$G$18</c:f>
              <c:numCache>
                <c:formatCode>0.0000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i0!$M$5:$M$18</c:f>
              <c:numCache>
                <c:formatCode>0.00</c:formatCode>
                <c:ptCount val="14"/>
                <c:pt idx="0">
                  <c:v>0.92</c:v>
                </c:pt>
                <c:pt idx="1">
                  <c:v>0.95</c:v>
                </c:pt>
                <c:pt idx="2">
                  <c:v>1.01</c:v>
                </c:pt>
                <c:pt idx="3">
                  <c:v>1.04</c:v>
                </c:pt>
                <c:pt idx="4">
                  <c:v>1.0900000000000001</c:v>
                </c:pt>
                <c:pt idx="5">
                  <c:v>1.145</c:v>
                </c:pt>
                <c:pt idx="6">
                  <c:v>1.2</c:v>
                </c:pt>
                <c:pt idx="7">
                  <c:v>1.25</c:v>
                </c:pt>
                <c:pt idx="8">
                  <c:v>1.29</c:v>
                </c:pt>
                <c:pt idx="9">
                  <c:v>1.31</c:v>
                </c:pt>
                <c:pt idx="10">
                  <c:v>1.37</c:v>
                </c:pt>
                <c:pt idx="11">
                  <c:v>1.41</c:v>
                </c:pt>
                <c:pt idx="12">
                  <c:v>1.43</c:v>
                </c:pt>
                <c:pt idx="13">
                  <c:v>1.46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5A-4A5A-820D-EC86248A5ED5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i0!$G$5:$G$18</c:f>
              <c:numCache>
                <c:formatCode>0.0000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i0!$N$5:$N$18</c:f>
              <c:numCache>
                <c:formatCode>0.0000</c:formatCode>
                <c:ptCount val="14"/>
                <c:pt idx="0">
                  <c:v>0.90671186497588052</c:v>
                </c:pt>
                <c:pt idx="1">
                  <c:v>0.94165086684499766</c:v>
                </c:pt>
                <c:pt idx="2">
                  <c:v>1.0115288705832315</c:v>
                </c:pt>
                <c:pt idx="3">
                  <c:v>1.0493794559414418</c:v>
                </c:pt>
                <c:pt idx="4">
                  <c:v>1.0930532082778381</c:v>
                </c:pt>
                <c:pt idx="5">
                  <c:v>1.154196461548793</c:v>
                </c:pt>
                <c:pt idx="6">
                  <c:v>1.2095165478415615</c:v>
                </c:pt>
                <c:pt idx="7">
                  <c:v>1.256101883667051</c:v>
                </c:pt>
                <c:pt idx="8">
                  <c:v>1.288129302047075</c:v>
                </c:pt>
                <c:pt idx="9">
                  <c:v>1.3143335534489127</c:v>
                </c:pt>
                <c:pt idx="10">
                  <c:v>1.3696536397416812</c:v>
                </c:pt>
                <c:pt idx="11">
                  <c:v>1.4016810581217052</c:v>
                </c:pt>
                <c:pt idx="12">
                  <c:v>1.4249737260344499</c:v>
                </c:pt>
                <c:pt idx="13">
                  <c:v>1.4540895609253808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5A-4A5A-820D-EC86248A5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  <c:max val="1.5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2657990126314"/>
          <c:y val="0.68241123184039687"/>
          <c:w val="0.25831299939760655"/>
          <c:h val="0.1312233464282015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 Ensaio 1 -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56762291531348"/>
          <c:y val="0.1380597279859789"/>
          <c:w val="0.81280354482757977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i0!$G$5:$G$18</c:f>
              <c:numCache>
                <c:formatCode>0.0000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i0!$K$5:$K$18</c:f>
              <c:numCache>
                <c:formatCode>0.0000</c:formatCode>
                <c:ptCount val="14"/>
                <c:pt idx="0">
                  <c:v>1.7539541256928137E-2</c:v>
                </c:pt>
                <c:pt idx="1">
                  <c:v>1.4028045831718461E-2</c:v>
                </c:pt>
                <c:pt idx="2">
                  <c:v>-4.1672321614478758E-3</c:v>
                </c:pt>
                <c:pt idx="3">
                  <c:v>-7.4763774585941967E-3</c:v>
                </c:pt>
                <c:pt idx="4">
                  <c:v>-1.1653614705750437E-2</c:v>
                </c:pt>
                <c:pt idx="5">
                  <c:v>-1.3768223047103678E-2</c:v>
                </c:pt>
                <c:pt idx="6">
                  <c:v>-9.4993065451922654E-3</c:v>
                </c:pt>
                <c:pt idx="7">
                  <c:v>-6.2617044961825741E-3</c:v>
                </c:pt>
                <c:pt idx="8">
                  <c:v>-3.7530103750134103E-3</c:v>
                </c:pt>
                <c:pt idx="9">
                  <c:v>-1.9318592224455422E-3</c:v>
                </c:pt>
                <c:pt idx="10">
                  <c:v>4.4583776230255889E-3</c:v>
                </c:pt>
                <c:pt idx="11">
                  <c:v>6.1185436067705545E-3</c:v>
                </c:pt>
                <c:pt idx="12">
                  <c:v>6.0402883564276699E-3</c:v>
                </c:pt>
                <c:pt idx="13">
                  <c:v>1.0326531336855904E-2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89-4DED-BBB2-56B8607BD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At val="-20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718032316272968"/>
          <c:y val="0.73815336694469835"/>
          <c:w val="0.1536023622047244"/>
          <c:h val="9.150684268717435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 </a:t>
            </a:r>
            <a:r>
              <a:rPr lang="en-US" sz="1500" b="0" i="0" u="none" strike="noStrike" baseline="0">
                <a:effectLst/>
              </a:rPr>
              <a:t>Ensaio 1 -</a:t>
            </a:r>
            <a:r>
              <a:rPr lang="en-US" sz="1500"/>
              <a:t>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132884498708345"/>
          <c:y val="0.1380597279859789"/>
          <c:w val="0.78901403193477837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i0!$G$5:$G$18</c:f>
              <c:numCache>
                <c:formatCode>0.0000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i0!$O$5:$O$18</c:f>
              <c:numCache>
                <c:formatCode>0.0000</c:formatCode>
                <c:ptCount val="14"/>
                <c:pt idx="0">
                  <c:v>1.3288135024119518E-2</c:v>
                </c:pt>
                <c:pt idx="1">
                  <c:v>8.3491331550022974E-3</c:v>
                </c:pt>
                <c:pt idx="2">
                  <c:v>-1.5288705832314786E-3</c:v>
                </c:pt>
                <c:pt idx="3">
                  <c:v>-9.3794559414417389E-3</c:v>
                </c:pt>
                <c:pt idx="4">
                  <c:v>-3.0532082778380598E-3</c:v>
                </c:pt>
                <c:pt idx="5">
                  <c:v>-9.1964615487929446E-3</c:v>
                </c:pt>
                <c:pt idx="6">
                  <c:v>-9.516547841561529E-3</c:v>
                </c:pt>
                <c:pt idx="7">
                  <c:v>-6.1018836670510002E-3</c:v>
                </c:pt>
                <c:pt idx="8">
                  <c:v>1.8706979529250489E-3</c:v>
                </c:pt>
                <c:pt idx="9">
                  <c:v>-4.3335534489126193E-3</c:v>
                </c:pt>
                <c:pt idx="10">
                  <c:v>3.4636025831891182E-4</c:v>
                </c:pt>
                <c:pt idx="11">
                  <c:v>8.3189418782947389E-3</c:v>
                </c:pt>
                <c:pt idx="12">
                  <c:v>5.0262739655499988E-3</c:v>
                </c:pt>
                <c:pt idx="13">
                  <c:v>5.9104390746191893E-3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EA-4939-AA2A-85B09EE9A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983933244594884"/>
          <c:y val="0.74689465570485369"/>
          <c:w val="0.15479270387643618"/>
          <c:h val="9.262545511979954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Ajuste VE0 ao variar</a:t>
            </a:r>
            <a:r>
              <a:rPr lang="en-US" sz="1500" baseline="0"/>
              <a:t> </a:t>
            </a:r>
            <a:r>
              <a:rPr lang="pt-PT" sz="1500" baseline="0"/>
              <a:t>i0 - Ensaio 2</a:t>
            </a:r>
            <a:r>
              <a:rPr lang="en-US" sz="15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VEO(i0)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i0!$AT$5:$AT$17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i0!$AV$5:$AV$17</c:f>
              <c:numCache>
                <c:formatCode>0.0000</c:formatCode>
                <c:ptCount val="13"/>
                <c:pt idx="0">
                  <c:v>1.2525689521938503</c:v>
                </c:pt>
                <c:pt idx="1">
                  <c:v>1.2026472134420803</c:v>
                </c:pt>
                <c:pt idx="2">
                  <c:v>1.17111025100116</c:v>
                </c:pt>
                <c:pt idx="3">
                  <c:v>1.094318454564301</c:v>
                </c:pt>
                <c:pt idx="4">
                  <c:v>1.042699659537683</c:v>
                </c:pt>
                <c:pt idx="5">
                  <c:v>1.0135668601527974</c:v>
                </c:pt>
                <c:pt idx="6">
                  <c:v>0.97255466684397751</c:v>
                </c:pt>
                <c:pt idx="7">
                  <c:v>0.92574419792942797</c:v>
                </c:pt>
                <c:pt idx="8">
                  <c:v>0.88642906089545603</c:v>
                </c:pt>
                <c:pt idx="9">
                  <c:v>0.84584113165534813</c:v>
                </c:pt>
                <c:pt idx="10">
                  <c:v>0.80327330342791792</c:v>
                </c:pt>
                <c:pt idx="11">
                  <c:v>0.77145349827452336</c:v>
                </c:pt>
                <c:pt idx="12">
                  <c:v>0.7491089239890284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C7-40A1-AC3E-8C7ADDB4A959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i0!$AT$5:$AT$17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i0!$AW$5:$AW$17</c:f>
              <c:numCache>
                <c:formatCode>0.0000</c:formatCode>
                <c:ptCount val="13"/>
                <c:pt idx="0">
                  <c:v>1.2478686648676462</c:v>
                </c:pt>
                <c:pt idx="1">
                  <c:v>1.2006223667859217</c:v>
                </c:pt>
                <c:pt idx="2">
                  <c:v>1.1665000403935655</c:v>
                </c:pt>
                <c:pt idx="3">
                  <c:v>1.0930057989331057</c:v>
                </c:pt>
                <c:pt idx="4">
                  <c:v>1.0457595008513811</c:v>
                </c:pt>
                <c:pt idx="5">
                  <c:v>1.0168867631347718</c:v>
                </c:pt>
                <c:pt idx="6">
                  <c:v>0.97751484806666833</c:v>
                </c:pt>
                <c:pt idx="7">
                  <c:v>0.93289334432281756</c:v>
                </c:pt>
                <c:pt idx="8">
                  <c:v>0.89352142925471412</c:v>
                </c:pt>
                <c:pt idx="9">
                  <c:v>0.84889992551086335</c:v>
                </c:pt>
                <c:pt idx="10">
                  <c:v>0.80427842176701281</c:v>
                </c:pt>
                <c:pt idx="11">
                  <c:v>0.76490650669890925</c:v>
                </c:pt>
                <c:pt idx="12">
                  <c:v>0.73865856332017354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C7-40A1-AC3E-8C7ADDB4A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i</a:t>
                </a:r>
                <a:r>
                  <a:rPr lang="en-US" sz="1400" baseline="-25000"/>
                  <a:t>0</a:t>
                </a:r>
                <a:r>
                  <a:rPr lang="en-US" sz="1400" baseline="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394568250276349"/>
          <c:y val="0.6788037189980628"/>
          <c:w val="0.19186840191167343"/>
          <c:h val="0.1493316962456158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="0" i="0" baseline="0">
                <a:effectLst/>
              </a:rPr>
              <a:t>Ajuste VE0 ao variar </a:t>
            </a:r>
            <a:r>
              <a:rPr lang="pt-PT" sz="1500" b="0" i="0" baseline="0">
                <a:effectLst/>
              </a:rPr>
              <a:t>i0</a:t>
            </a:r>
            <a:r>
              <a:rPr lang="en-US" sz="1500" b="0" i="0" baseline="0">
                <a:effectLst/>
              </a:rPr>
              <a:t> - Ensaio 2 - Osciloscópio</a:t>
            </a:r>
            <a:endParaRPr lang="en-US" sz="15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649206960966903"/>
          <c:y val="0.14280567944648007"/>
          <c:w val="0.79198770437104549"/>
          <c:h val="0.68526796998806239"/>
        </c:manualLayout>
      </c:layout>
      <c:scatterChart>
        <c:scatterStyle val="lineMarker"/>
        <c:varyColors val="0"/>
        <c:ser>
          <c:idx val="0"/>
          <c:order val="0"/>
          <c:tx>
            <c:v>VE0(i0)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i0!$AT$5:$AT$17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i0!$AZ$5:$AZ$17</c:f>
              <c:numCache>
                <c:formatCode>0.00</c:formatCode>
                <c:ptCount val="13"/>
                <c:pt idx="0">
                  <c:v>1.29</c:v>
                </c:pt>
                <c:pt idx="1">
                  <c:v>1.23</c:v>
                </c:pt>
                <c:pt idx="2">
                  <c:v>1.2050000000000001</c:v>
                </c:pt>
                <c:pt idx="3">
                  <c:v>1.1299999999999999</c:v>
                </c:pt>
                <c:pt idx="4">
                  <c:v>1.08</c:v>
                </c:pt>
                <c:pt idx="5">
                  <c:v>1.05</c:v>
                </c:pt>
                <c:pt idx="6">
                  <c:v>1.0049999999999999</c:v>
                </c:pt>
                <c:pt idx="7">
                  <c:v>0.95</c:v>
                </c:pt>
                <c:pt idx="8">
                  <c:v>0.92</c:v>
                </c:pt>
                <c:pt idx="9">
                  <c:v>0.87</c:v>
                </c:pt>
                <c:pt idx="10">
                  <c:v>0.83</c:v>
                </c:pt>
                <c:pt idx="11">
                  <c:v>0.79</c:v>
                </c:pt>
                <c:pt idx="12">
                  <c:v>0.78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BF-4197-A820-BB920556628C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i0!$AT$5:$AT$17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i0!$BA$5:$BA$17</c:f>
              <c:numCache>
                <c:formatCode>0.0000</c:formatCode>
                <c:ptCount val="13"/>
                <c:pt idx="0">
                  <c:v>1.2841660224960165</c:v>
                </c:pt>
                <c:pt idx="1">
                  <c:v>1.2359292937260407</c:v>
                </c:pt>
                <c:pt idx="2">
                  <c:v>1.2010916562810581</c:v>
                </c:pt>
                <c:pt idx="3">
                  <c:v>1.1260567448610959</c:v>
                </c:pt>
                <c:pt idx="4">
                  <c:v>1.0778200160911198</c:v>
                </c:pt>
                <c:pt idx="5">
                  <c:v>1.0483420151761347</c:v>
                </c:pt>
                <c:pt idx="6">
                  <c:v>1.0081447412011548</c:v>
                </c:pt>
                <c:pt idx="7">
                  <c:v>0.96258783069617748</c:v>
                </c:pt>
                <c:pt idx="8">
                  <c:v>0.92239055672119752</c:v>
                </c:pt>
                <c:pt idx="9">
                  <c:v>0.87683364621622029</c:v>
                </c:pt>
                <c:pt idx="10">
                  <c:v>0.83127673571124328</c:v>
                </c:pt>
                <c:pt idx="11">
                  <c:v>0.79107946173626331</c:v>
                </c:pt>
                <c:pt idx="12">
                  <c:v>0.76428127908627674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BF-4197-A820-BB9205566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ax val="1.5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87573895266903"/>
          <c:y val="0.70938149272814444"/>
          <c:w val="0.17241972818958823"/>
          <c:h val="0.141276545778931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</a:t>
            </a:r>
            <a:r>
              <a:rPr lang="en-US" sz="1500" b="0" i="0" u="none" strike="noStrike" baseline="0">
                <a:effectLst/>
              </a:rPr>
              <a:t> Ensaio 2 -</a:t>
            </a:r>
            <a:r>
              <a:rPr lang="en-US" sz="1500"/>
              <a:t>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757099512829723"/>
          <c:y val="0.1380597279859789"/>
          <c:w val="0.80090877885241729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i0!$AT$5:$AT$17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i0!$AX$5:$AX$17</c:f>
              <c:numCache>
                <c:formatCode>0.0000</c:formatCode>
                <c:ptCount val="13"/>
                <c:pt idx="0">
                  <c:v>4.700287326204089E-3</c:v>
                </c:pt>
                <c:pt idx="1">
                  <c:v>2.024846656158541E-3</c:v>
                </c:pt>
                <c:pt idx="2">
                  <c:v>4.6102106075944782E-3</c:v>
                </c:pt>
                <c:pt idx="3">
                  <c:v>1.3126556311953141E-3</c:v>
                </c:pt>
                <c:pt idx="4">
                  <c:v>-3.0598413136981861E-3</c:v>
                </c:pt>
                <c:pt idx="5">
                  <c:v>-3.3199029819743764E-3</c:v>
                </c:pt>
                <c:pt idx="6">
                  <c:v>-4.9601812226908182E-3</c:v>
                </c:pt>
                <c:pt idx="7">
                  <c:v>-7.1491463933895938E-3</c:v>
                </c:pt>
                <c:pt idx="8">
                  <c:v>-7.0923683592580833E-3</c:v>
                </c:pt>
                <c:pt idx="9">
                  <c:v>-3.0587938555152183E-3</c:v>
                </c:pt>
                <c:pt idx="10">
                  <c:v>-1.0051183390948903E-3</c:v>
                </c:pt>
                <c:pt idx="11">
                  <c:v>6.5469915756141139E-3</c:v>
                </c:pt>
                <c:pt idx="12">
                  <c:v>1.0450360668854852E-2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36-4878-A27E-A54D85717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648827099737518"/>
          <c:y val="0.75060474061524263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</a:t>
            </a:r>
            <a:r>
              <a:rPr lang="en-US" sz="1500" b="0" i="0" u="none" strike="noStrike" baseline="0">
                <a:effectLst/>
              </a:rPr>
              <a:t> Ensaio 2 -</a:t>
            </a:r>
            <a:r>
              <a:rPr lang="en-US" sz="1500"/>
              <a:t>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8136052707862207"/>
          <c:y val="0.1380597279859789"/>
          <c:w val="0.77711924690209244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i0!$AT$5:$AT$17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i0!$BB$5:$BB$17</c:f>
              <c:numCache>
                <c:formatCode>0.0000</c:formatCode>
                <c:ptCount val="13"/>
                <c:pt idx="0">
                  <c:v>5.8339775039835118E-3</c:v>
                </c:pt>
                <c:pt idx="1">
                  <c:v>-5.9292937260406742E-3</c:v>
                </c:pt>
                <c:pt idx="2">
                  <c:v>3.9083437189419978E-3</c:v>
                </c:pt>
                <c:pt idx="3">
                  <c:v>3.9432551389040338E-3</c:v>
                </c:pt>
                <c:pt idx="4">
                  <c:v>2.1799839088803008E-3</c:v>
                </c:pt>
                <c:pt idx="5">
                  <c:v>1.6579848238653661E-3</c:v>
                </c:pt>
                <c:pt idx="6">
                  <c:v>-3.1447412011549325E-3</c:v>
                </c:pt>
                <c:pt idx="7">
                  <c:v>-1.2587830696177527E-2</c:v>
                </c:pt>
                <c:pt idx="8">
                  <c:v>-2.3905567211974788E-3</c:v>
                </c:pt>
                <c:pt idx="9">
                  <c:v>-6.8336462162202904E-3</c:v>
                </c:pt>
                <c:pt idx="10">
                  <c:v>-1.2767357112433153E-3</c:v>
                </c:pt>
                <c:pt idx="11">
                  <c:v>-1.0794617362632764E-3</c:v>
                </c:pt>
                <c:pt idx="12">
                  <c:v>1.5718720913723283E-2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56-4852-81D7-D7D6FEB66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0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499266014750247"/>
          <c:y val="0.75960282188287342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Ajuste VE0 ao variar</a:t>
            </a:r>
            <a:r>
              <a:rPr lang="en-US" sz="1500" baseline="0"/>
              <a:t> </a:t>
            </a:r>
            <a:r>
              <a:rPr lang="pt-PT" sz="1500" baseline="0"/>
              <a:t>i0</a:t>
            </a:r>
            <a:r>
              <a:rPr lang="en-US" sz="1500"/>
              <a:t> - Ensaio 4</a:t>
            </a:r>
            <a:r>
              <a:rPr lang="en-US" sz="1500" baseline="0"/>
              <a:t> - </a:t>
            </a:r>
            <a:r>
              <a:rPr lang="en-US" sz="1500"/>
              <a:t>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VEO(i0)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i0!$AT$62:$AT$81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i0!$AV$62:$AV$81</c:f>
              <c:numCache>
                <c:formatCode>0.0000</c:formatCode>
                <c:ptCount val="20"/>
                <c:pt idx="0">
                  <c:v>1.4299113329154367</c:v>
                </c:pt>
                <c:pt idx="1">
                  <c:v>1.3787168019575304</c:v>
                </c:pt>
                <c:pt idx="2">
                  <c:v>1.359766340221731</c:v>
                </c:pt>
                <c:pt idx="3">
                  <c:v>1.3221482594626066</c:v>
                </c:pt>
                <c:pt idx="4">
                  <c:v>1.2930154600777208</c:v>
                </c:pt>
                <c:pt idx="5">
                  <c:v>1.2645897674740216</c:v>
                </c:pt>
                <c:pt idx="6">
                  <c:v>1.2220219392465914</c:v>
                </c:pt>
                <c:pt idx="7">
                  <c:v>1.1910506622306207</c:v>
                </c:pt>
                <c:pt idx="8">
                  <c:v>1.1624835482706841</c:v>
                </c:pt>
                <c:pt idx="9">
                  <c:v>1.1313708498984762</c:v>
                </c:pt>
                <c:pt idx="10">
                  <c:v>1.1135517590125752</c:v>
                </c:pt>
                <c:pt idx="11">
                  <c:v>1.0773478918158239</c:v>
                </c:pt>
                <c:pt idx="12">
                  <c:v>1.0540133680366677</c:v>
                </c:pt>
                <c:pt idx="13">
                  <c:v>1.0361942771507668</c:v>
                </c:pt>
                <c:pt idx="14">
                  <c:v>1.0006975167352021</c:v>
                </c:pt>
                <c:pt idx="15">
                  <c:v>0.97340319498140138</c:v>
                </c:pt>
                <c:pt idx="16">
                  <c:v>0.9445532383089903</c:v>
                </c:pt>
                <c:pt idx="17">
                  <c:v>0.91372338264925679</c:v>
                </c:pt>
                <c:pt idx="18">
                  <c:v>0.89067170158257536</c:v>
                </c:pt>
                <c:pt idx="19">
                  <c:v>0.86450875067867294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39-40DA-B59F-C88A9E9D30C4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i0!$AT$62:$AT$81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i0!$AW$62:$AW$81</c:f>
              <c:numCache>
                <c:formatCode>0.0000</c:formatCode>
                <c:ptCount val="20"/>
                <c:pt idx="0">
                  <c:v>1.4150076768771243</c:v>
                </c:pt>
                <c:pt idx="1">
                  <c:v>1.3694825561165416</c:v>
                </c:pt>
                <c:pt idx="2">
                  <c:v>1.3524106358313233</c:v>
                </c:pt>
                <c:pt idx="3">
                  <c:v>1.3154214752133502</c:v>
                </c:pt>
                <c:pt idx="4">
                  <c:v>1.2898135947855225</c:v>
                </c:pt>
                <c:pt idx="5">
                  <c:v>1.2642057143576946</c:v>
                </c:pt>
                <c:pt idx="6">
                  <c:v>1.2272165537397213</c:v>
                </c:pt>
                <c:pt idx="7">
                  <c:v>1.1959180332168209</c:v>
                </c:pt>
                <c:pt idx="8">
                  <c:v>1.1703101527889932</c:v>
                </c:pt>
                <c:pt idx="9">
                  <c:v>1.1418569523136293</c:v>
                </c:pt>
                <c:pt idx="10">
                  <c:v>1.124785032028411</c:v>
                </c:pt>
                <c:pt idx="11">
                  <c:v>1.0906411914579739</c:v>
                </c:pt>
                <c:pt idx="12">
                  <c:v>1.0650333110301462</c:v>
                </c:pt>
                <c:pt idx="13">
                  <c:v>1.0451160706973914</c:v>
                </c:pt>
                <c:pt idx="14">
                  <c:v>1.0081269100794181</c:v>
                </c:pt>
                <c:pt idx="15">
                  <c:v>0.97967370960405398</c:v>
                </c:pt>
                <c:pt idx="16">
                  <c:v>0.94837518908115359</c:v>
                </c:pt>
                <c:pt idx="17">
                  <c:v>0.90854070841564383</c:v>
                </c:pt>
                <c:pt idx="18">
                  <c:v>0.87439686784520698</c:v>
                </c:pt>
                <c:pt idx="19">
                  <c:v>0.83740770722723368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39-40DA-B59F-C88A9E9D3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i</a:t>
                </a:r>
                <a:r>
                  <a:rPr lang="en-US" sz="1400" baseline="-25000"/>
                  <a:t>0</a:t>
                </a:r>
                <a:r>
                  <a:rPr lang="en-US" sz="1400" baseline="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423650822120334"/>
          <c:y val="0.63948295287868118"/>
          <c:w val="0.19708737454885353"/>
          <c:h val="0.1886526916458174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="0" i="0" baseline="0">
                <a:effectLst/>
              </a:rPr>
              <a:t>Ajuste VE0 ao variar </a:t>
            </a:r>
            <a:r>
              <a:rPr lang="pt-PT" sz="1500" b="0" i="0" baseline="0">
                <a:effectLst/>
              </a:rPr>
              <a:t>i0</a:t>
            </a:r>
            <a:r>
              <a:rPr lang="en-US" sz="1500" b="0" i="0" baseline="0">
                <a:effectLst/>
              </a:rPr>
              <a:t> - Ensaio 4 - Osciloscópio</a:t>
            </a:r>
            <a:endParaRPr lang="en-US" sz="15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4280567944648007"/>
          <c:w val="0.82172450701363975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V(i)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i0!$AT$62:$AT$81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i0!$AZ$62:$AZ$81</c:f>
              <c:numCache>
                <c:formatCode>0.00</c:formatCode>
                <c:ptCount val="20"/>
                <c:pt idx="0">
                  <c:v>1.46</c:v>
                </c:pt>
                <c:pt idx="1">
                  <c:v>1.41</c:v>
                </c:pt>
                <c:pt idx="2">
                  <c:v>1.39</c:v>
                </c:pt>
                <c:pt idx="3">
                  <c:v>1.37</c:v>
                </c:pt>
                <c:pt idx="4">
                  <c:v>1.33</c:v>
                </c:pt>
                <c:pt idx="5">
                  <c:v>1.3</c:v>
                </c:pt>
                <c:pt idx="6">
                  <c:v>1.25</c:v>
                </c:pt>
                <c:pt idx="7">
                  <c:v>1.23</c:v>
                </c:pt>
                <c:pt idx="8">
                  <c:v>1.19</c:v>
                </c:pt>
                <c:pt idx="9">
                  <c:v>1.17</c:v>
                </c:pt>
                <c:pt idx="10">
                  <c:v>1.1499999999999999</c:v>
                </c:pt>
                <c:pt idx="11">
                  <c:v>1.1000000000000001</c:v>
                </c:pt>
                <c:pt idx="12">
                  <c:v>1.0900000000000001</c:v>
                </c:pt>
                <c:pt idx="13">
                  <c:v>1.07</c:v>
                </c:pt>
                <c:pt idx="14">
                  <c:v>1.03</c:v>
                </c:pt>
                <c:pt idx="15">
                  <c:v>1</c:v>
                </c:pt>
                <c:pt idx="16">
                  <c:v>0.97</c:v>
                </c:pt>
                <c:pt idx="17">
                  <c:v>0.94</c:v>
                </c:pt>
                <c:pt idx="18">
                  <c:v>0.92</c:v>
                </c:pt>
                <c:pt idx="19">
                  <c:v>0.89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B9-478A-BE91-4DCC8FC8956A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i0!$AT$62:$AT$81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i0!$BA$62:$BA$81</c:f>
              <c:numCache>
                <c:formatCode>0.0000</c:formatCode>
                <c:ptCount val="20"/>
                <c:pt idx="0">
                  <c:v>1.4514286543401393</c:v>
                </c:pt>
                <c:pt idx="1">
                  <c:v>1.405164409032448</c:v>
                </c:pt>
                <c:pt idx="2">
                  <c:v>1.3878153170420637</c:v>
                </c:pt>
                <c:pt idx="3">
                  <c:v>1.3502256177295646</c:v>
                </c:pt>
                <c:pt idx="4">
                  <c:v>1.3242019797439881</c:v>
                </c:pt>
                <c:pt idx="5">
                  <c:v>1.2981783417584114</c:v>
                </c:pt>
                <c:pt idx="6">
                  <c:v>1.2605886424459121</c:v>
                </c:pt>
                <c:pt idx="7">
                  <c:v>1.2287819737968741</c:v>
                </c:pt>
                <c:pt idx="8">
                  <c:v>1.2027583358112977</c:v>
                </c:pt>
                <c:pt idx="9">
                  <c:v>1.1738431824939906</c:v>
                </c:pt>
                <c:pt idx="10">
                  <c:v>1.1564940905036063</c:v>
                </c:pt>
                <c:pt idx="11">
                  <c:v>1.1217959065228376</c:v>
                </c:pt>
                <c:pt idx="12">
                  <c:v>1.0957722685372611</c:v>
                </c:pt>
                <c:pt idx="13">
                  <c:v>1.075531661215146</c:v>
                </c:pt>
                <c:pt idx="14">
                  <c:v>1.0379419619026466</c:v>
                </c:pt>
                <c:pt idx="15">
                  <c:v>1.0090268085853396</c:v>
                </c:pt>
                <c:pt idx="16">
                  <c:v>0.97722013993630175</c:v>
                </c:pt>
                <c:pt idx="17">
                  <c:v>0.93673892529207159</c:v>
                </c:pt>
                <c:pt idx="18">
                  <c:v>0.90204074131130307</c:v>
                </c:pt>
                <c:pt idx="19">
                  <c:v>0.86445104199880374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B9-478A-BE91-4DCC8FC89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767103036783413"/>
          <c:y val="0.67094667029893729"/>
          <c:w val="0.28690784319326701"/>
          <c:h val="0.160176982882810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</a:t>
            </a:r>
            <a:r>
              <a:rPr lang="en-US" sz="1500" b="0" i="0" u="none" strike="noStrike" baseline="0">
                <a:effectLst/>
              </a:rPr>
              <a:t> Ensaio 4 -</a:t>
            </a:r>
            <a:r>
              <a:rPr lang="en-US" sz="1500"/>
              <a:t>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459730363450663"/>
          <c:y val="0.1380597279859789"/>
          <c:w val="0.80388247034620797"/>
          <c:h val="0.6986637338917863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i0!$AT$62:$AT$81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i0!$AX$62:$AX$81</c:f>
              <c:numCache>
                <c:formatCode>0.0000</c:formatCode>
                <c:ptCount val="20"/>
                <c:pt idx="0">
                  <c:v>1.4903656038312452E-2</c:v>
                </c:pt>
                <c:pt idx="1">
                  <c:v>9.2342458409888639E-3</c:v>
                </c:pt>
                <c:pt idx="2">
                  <c:v>7.3557043904077801E-3</c:v>
                </c:pt>
                <c:pt idx="3">
                  <c:v>6.7267842492564345E-3</c:v>
                </c:pt>
                <c:pt idx="4">
                  <c:v>3.201865292198347E-3</c:v>
                </c:pt>
                <c:pt idx="5">
                  <c:v>3.8405311632705441E-4</c:v>
                </c:pt>
                <c:pt idx="6">
                  <c:v>-5.1946144931298566E-3</c:v>
                </c:pt>
                <c:pt idx="7">
                  <c:v>-4.8673709862001591E-3</c:v>
                </c:pt>
                <c:pt idx="8">
                  <c:v>-7.8266045183090771E-3</c:v>
                </c:pt>
                <c:pt idx="9">
                  <c:v>-1.048610241515302E-2</c:v>
                </c:pt>
                <c:pt idx="10">
                  <c:v>-1.1233273015835765E-2</c:v>
                </c:pt>
                <c:pt idx="11">
                  <c:v>-1.329329964214998E-2</c:v>
                </c:pt>
                <c:pt idx="12">
                  <c:v>-1.1019942993478526E-2</c:v>
                </c:pt>
                <c:pt idx="13">
                  <c:v>-8.9217935466245901E-3</c:v>
                </c:pt>
                <c:pt idx="14">
                  <c:v>-7.4293933442159954E-3</c:v>
                </c:pt>
                <c:pt idx="15">
                  <c:v>-6.270514622652601E-3</c:v>
                </c:pt>
                <c:pt idx="16">
                  <c:v>-3.8219507721632962E-3</c:v>
                </c:pt>
                <c:pt idx="17">
                  <c:v>5.1826742336129605E-3</c:v>
                </c:pt>
                <c:pt idx="18">
                  <c:v>1.6274833737368377E-2</c:v>
                </c:pt>
                <c:pt idx="19">
                  <c:v>2.7101043451439266E-2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4D-426F-AEAE-C96F9F833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2.0000000000000004E-2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169664499330617"/>
          <c:y val="0.73810465879265075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</a:t>
            </a:r>
            <a:r>
              <a:rPr lang="en-US" sz="1500" b="0" i="0" u="none" strike="noStrike" baseline="0">
                <a:effectLst/>
              </a:rPr>
              <a:t> Ensaio 4 -</a:t>
            </a:r>
            <a:r>
              <a:rPr lang="en-US" sz="1500"/>
              <a:t>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6939177806577369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i0!$AT$62:$AT$81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i0!$BB$62:$BB$81</c:f>
              <c:numCache>
                <c:formatCode>0.0000</c:formatCode>
                <c:ptCount val="20"/>
                <c:pt idx="0">
                  <c:v>8.5713456598606186E-3</c:v>
                </c:pt>
                <c:pt idx="1">
                  <c:v>4.8355909675519282E-3</c:v>
                </c:pt>
                <c:pt idx="2">
                  <c:v>2.1846829579361682E-3</c:v>
                </c:pt>
                <c:pt idx="3">
                  <c:v>1.9774382270435487E-2</c:v>
                </c:pt>
                <c:pt idx="4">
                  <c:v>5.7980202560119487E-3</c:v>
                </c:pt>
                <c:pt idx="5">
                  <c:v>1.8216582415886418E-3</c:v>
                </c:pt>
                <c:pt idx="6">
                  <c:v>-1.0588642445912066E-2</c:v>
                </c:pt>
                <c:pt idx="7">
                  <c:v>1.2180262031258327E-3</c:v>
                </c:pt>
                <c:pt idx="8">
                  <c:v>-1.2758335811297705E-2</c:v>
                </c:pt>
                <c:pt idx="9">
                  <c:v>-3.8431824939906267E-3</c:v>
                </c:pt>
                <c:pt idx="10">
                  <c:v>-6.4940905036063867E-3</c:v>
                </c:pt>
                <c:pt idx="11">
                  <c:v>-2.1795906522837472E-2</c:v>
                </c:pt>
                <c:pt idx="12">
                  <c:v>-5.7722685372609828E-3</c:v>
                </c:pt>
                <c:pt idx="13">
                  <c:v>-5.5316612151459221E-3</c:v>
                </c:pt>
                <c:pt idx="14">
                  <c:v>-7.9419619026466215E-3</c:v>
                </c:pt>
                <c:pt idx="15">
                  <c:v>-9.0268085853395519E-3</c:v>
                </c:pt>
                <c:pt idx="16">
                  <c:v>-7.2201399363017726E-3</c:v>
                </c:pt>
                <c:pt idx="17">
                  <c:v>3.2610747079283575E-3</c:v>
                </c:pt>
                <c:pt idx="18">
                  <c:v>1.7959258688696966E-2</c:v>
                </c:pt>
                <c:pt idx="19">
                  <c:v>2.5548958001196276E-2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54-4214-A78E-6DE98E2B4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9282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57777328114032"/>
          <c:y val="0.73052170027406238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Resíduos Ve(</a:t>
            </a:r>
            <a:r>
              <a:rPr lang="pt-PT" sz="1800" b="0" i="0" baseline="0">
                <a:effectLst/>
              </a:rPr>
              <a:t>i0) para os 4 ensaios</a:t>
            </a:r>
            <a:r>
              <a:rPr lang="en-US" sz="1800" b="0" i="0" baseline="0">
                <a:effectLst/>
              </a:rPr>
              <a:t> - Voltimetro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815584638932361"/>
          <c:y val="0.13004629629629633"/>
          <c:w val="0.8240803480833061"/>
          <c:h val="0.71622666958296866"/>
        </c:manualLayout>
      </c:layout>
      <c:scatterChart>
        <c:scatterStyle val="lineMarker"/>
        <c:varyColors val="0"/>
        <c:ser>
          <c:idx val="0"/>
          <c:order val="0"/>
          <c:tx>
            <c:v>Resíduos Ensaio 1 - Volt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i0!$G$5:$G$18</c:f>
              <c:numCache>
                <c:formatCode>0.0000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i0!$K$5:$K$18</c:f>
              <c:numCache>
                <c:formatCode>0.0000</c:formatCode>
                <c:ptCount val="14"/>
                <c:pt idx="0">
                  <c:v>1.7539541256928137E-2</c:v>
                </c:pt>
                <c:pt idx="1">
                  <c:v>1.4028045831718461E-2</c:v>
                </c:pt>
                <c:pt idx="2">
                  <c:v>-4.1672321614478758E-3</c:v>
                </c:pt>
                <c:pt idx="3">
                  <c:v>-7.4763774585941967E-3</c:v>
                </c:pt>
                <c:pt idx="4">
                  <c:v>-1.1653614705750437E-2</c:v>
                </c:pt>
                <c:pt idx="5">
                  <c:v>-1.3768223047103678E-2</c:v>
                </c:pt>
                <c:pt idx="6">
                  <c:v>-9.4993065451922654E-3</c:v>
                </c:pt>
                <c:pt idx="7">
                  <c:v>-6.2617044961825741E-3</c:v>
                </c:pt>
                <c:pt idx="8">
                  <c:v>-3.7530103750134103E-3</c:v>
                </c:pt>
                <c:pt idx="9">
                  <c:v>-1.9318592224455422E-3</c:v>
                </c:pt>
                <c:pt idx="10">
                  <c:v>4.4583776230255889E-3</c:v>
                </c:pt>
                <c:pt idx="11">
                  <c:v>6.1185436067705545E-3</c:v>
                </c:pt>
                <c:pt idx="12">
                  <c:v>6.0402883564276699E-3</c:v>
                </c:pt>
                <c:pt idx="13">
                  <c:v>1.0326531336855904E-2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3F-4F06-AF8B-028F70B0A9D7}"/>
            </c:ext>
          </c:extLst>
        </c:ser>
        <c:ser>
          <c:idx val="1"/>
          <c:order val="1"/>
          <c:tx>
            <c:v>Resíduos Ensaio 2 - Volt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i0!$AT$5:$AT$17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i0!$AX$5:$AX$17</c:f>
              <c:numCache>
                <c:formatCode>0.0000</c:formatCode>
                <c:ptCount val="13"/>
                <c:pt idx="0">
                  <c:v>4.700287326204089E-3</c:v>
                </c:pt>
                <c:pt idx="1">
                  <c:v>2.024846656158541E-3</c:v>
                </c:pt>
                <c:pt idx="2">
                  <c:v>4.6102106075944782E-3</c:v>
                </c:pt>
                <c:pt idx="3">
                  <c:v>1.3126556311953141E-3</c:v>
                </c:pt>
                <c:pt idx="4">
                  <c:v>-3.0598413136981861E-3</c:v>
                </c:pt>
                <c:pt idx="5">
                  <c:v>-3.3199029819743764E-3</c:v>
                </c:pt>
                <c:pt idx="6">
                  <c:v>-4.9601812226908182E-3</c:v>
                </c:pt>
                <c:pt idx="7">
                  <c:v>-7.1491463933895938E-3</c:v>
                </c:pt>
                <c:pt idx="8">
                  <c:v>-7.0923683592580833E-3</c:v>
                </c:pt>
                <c:pt idx="9">
                  <c:v>-3.0587938555152183E-3</c:v>
                </c:pt>
                <c:pt idx="10">
                  <c:v>-1.0051183390948903E-3</c:v>
                </c:pt>
                <c:pt idx="11">
                  <c:v>6.5469915756141139E-3</c:v>
                </c:pt>
                <c:pt idx="12">
                  <c:v>1.0450360668854852E-2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3F-4F06-AF8B-028F70B0A9D7}"/>
            </c:ext>
          </c:extLst>
        </c:ser>
        <c:ser>
          <c:idx val="2"/>
          <c:order val="2"/>
          <c:tx>
            <c:v>Resíduos Ensaio 3 - Volt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i0!$G$62:$G$65</c:f>
              <c:numCache>
                <c:formatCode>0.0000</c:formatCode>
                <c:ptCount val="4"/>
                <c:pt idx="0">
                  <c:v>0.67599408281433948</c:v>
                </c:pt>
                <c:pt idx="1">
                  <c:v>0.62932503525602734</c:v>
                </c:pt>
                <c:pt idx="2">
                  <c:v>0.50346002820482183</c:v>
                </c:pt>
                <c:pt idx="3">
                  <c:v>0.43840620433565947</c:v>
                </c:pt>
              </c:numCache>
            </c:numRef>
          </c:xVal>
          <c:yVal>
            <c:numRef>
              <c:f>i0!$K$62:$K$65</c:f>
              <c:numCache>
                <c:formatCode>0.0000</c:formatCode>
                <c:ptCount val="4"/>
                <c:pt idx="0">
                  <c:v>3.0433807941605551E-3</c:v>
                </c:pt>
                <c:pt idx="1">
                  <c:v>-7.7877596036191044E-4</c:v>
                </c:pt>
                <c:pt idx="2">
                  <c:v>-8.8294177993518685E-3</c:v>
                </c:pt>
                <c:pt idx="3">
                  <c:v>6.5648129655527798E-3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A3F-4F06-AF8B-028F70B0A9D7}"/>
            </c:ext>
          </c:extLst>
        </c:ser>
        <c:ser>
          <c:idx val="3"/>
          <c:order val="3"/>
          <c:tx>
            <c:v>Resíduos Ensaio 4 - Volt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i0!$AT$62:$AT$81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i0!$AX$62:$AX$81</c:f>
              <c:numCache>
                <c:formatCode>0.0000</c:formatCode>
                <c:ptCount val="20"/>
                <c:pt idx="0">
                  <c:v>1.4903656038312452E-2</c:v>
                </c:pt>
                <c:pt idx="1">
                  <c:v>9.2342458409888639E-3</c:v>
                </c:pt>
                <c:pt idx="2">
                  <c:v>7.3557043904077801E-3</c:v>
                </c:pt>
                <c:pt idx="3">
                  <c:v>6.7267842492564345E-3</c:v>
                </c:pt>
                <c:pt idx="4">
                  <c:v>3.201865292198347E-3</c:v>
                </c:pt>
                <c:pt idx="5">
                  <c:v>3.8405311632705441E-4</c:v>
                </c:pt>
                <c:pt idx="6">
                  <c:v>-5.1946144931298566E-3</c:v>
                </c:pt>
                <c:pt idx="7">
                  <c:v>-4.8673709862001591E-3</c:v>
                </c:pt>
                <c:pt idx="8">
                  <c:v>-7.8266045183090771E-3</c:v>
                </c:pt>
                <c:pt idx="9">
                  <c:v>-1.048610241515302E-2</c:v>
                </c:pt>
                <c:pt idx="10">
                  <c:v>-1.1233273015835765E-2</c:v>
                </c:pt>
                <c:pt idx="11">
                  <c:v>-1.329329964214998E-2</c:v>
                </c:pt>
                <c:pt idx="12">
                  <c:v>-1.1019942993478526E-2</c:v>
                </c:pt>
                <c:pt idx="13">
                  <c:v>-8.9217935466245901E-3</c:v>
                </c:pt>
                <c:pt idx="14">
                  <c:v>-7.4293933442159954E-3</c:v>
                </c:pt>
                <c:pt idx="15">
                  <c:v>-6.270514622652601E-3</c:v>
                </c:pt>
                <c:pt idx="16">
                  <c:v>-3.8219507721632962E-3</c:v>
                </c:pt>
                <c:pt idx="17">
                  <c:v>5.1826742336129605E-3</c:v>
                </c:pt>
                <c:pt idx="18">
                  <c:v>1.6274833737368377E-2</c:v>
                </c:pt>
                <c:pt idx="19">
                  <c:v>2.7101043451439266E-2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A3F-4F06-AF8B-028F70B0A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898383"/>
        <c:axId val="627033103"/>
      </c:scatterChart>
      <c:valAx>
        <c:axId val="1158898383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i</a:t>
                </a:r>
                <a:r>
                  <a:rPr lang="en-US" sz="1800" b="0" i="0" baseline="-25000">
                    <a:effectLst/>
                  </a:rPr>
                  <a:t>0</a:t>
                </a:r>
                <a:r>
                  <a:rPr lang="en-US" sz="1800" b="0" i="0" baseline="0">
                    <a:effectLst/>
                  </a:rPr>
                  <a:t> (A)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7033103"/>
        <c:crossesAt val="-10"/>
        <c:crossBetween val="midCat"/>
      </c:valAx>
      <c:valAx>
        <c:axId val="62703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Resíduos de V</a:t>
                </a:r>
                <a:r>
                  <a:rPr lang="en-US" sz="1800" b="0" i="0" baseline="-25000">
                    <a:effectLst/>
                  </a:rPr>
                  <a:t>E0</a:t>
                </a:r>
                <a:r>
                  <a:rPr lang="en-US" sz="1800" b="0" i="0" baseline="0">
                    <a:effectLst/>
                  </a:rPr>
                  <a:t> (V)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5889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78525810702742"/>
          <c:y val="0.6087737916676732"/>
          <c:w val="0.18188607433261886"/>
          <c:h val="0.24257282439378444"/>
        </c:manualLayout>
      </c:layout>
      <c:overlay val="1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Resíduos Ve(</a:t>
            </a:r>
            <a:r>
              <a:rPr lang="pt-PT" sz="1800" b="0" i="0" baseline="0">
                <a:effectLst/>
              </a:rPr>
              <a:t>i0) para os 4 ensaios</a:t>
            </a:r>
            <a:r>
              <a:rPr lang="en-US" sz="1800" b="0" i="0" baseline="0">
                <a:effectLst/>
              </a:rPr>
              <a:t> - Osciloscópio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176226799990283"/>
          <c:y val="0.13004629629629633"/>
          <c:w val="0.8367882077962745"/>
          <c:h val="0.71622666958296866"/>
        </c:manualLayout>
      </c:layout>
      <c:scatterChart>
        <c:scatterStyle val="lineMarker"/>
        <c:varyColors val="0"/>
        <c:ser>
          <c:idx val="0"/>
          <c:order val="0"/>
          <c:tx>
            <c:v>Resíduos Ensaio 1 - Osc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i0!$G$5:$G$18</c:f>
              <c:numCache>
                <c:formatCode>0.0000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i0!$O$5:$O$18</c:f>
              <c:numCache>
                <c:formatCode>0.0000</c:formatCode>
                <c:ptCount val="14"/>
                <c:pt idx="0">
                  <c:v>1.3288135024119518E-2</c:v>
                </c:pt>
                <c:pt idx="1">
                  <c:v>8.3491331550022974E-3</c:v>
                </c:pt>
                <c:pt idx="2">
                  <c:v>-1.5288705832314786E-3</c:v>
                </c:pt>
                <c:pt idx="3">
                  <c:v>-9.3794559414417389E-3</c:v>
                </c:pt>
                <c:pt idx="4">
                  <c:v>-3.0532082778380598E-3</c:v>
                </c:pt>
                <c:pt idx="5">
                  <c:v>-9.1964615487929446E-3</c:v>
                </c:pt>
                <c:pt idx="6">
                  <c:v>-9.516547841561529E-3</c:v>
                </c:pt>
                <c:pt idx="7">
                  <c:v>-6.1018836670510002E-3</c:v>
                </c:pt>
                <c:pt idx="8">
                  <c:v>1.8706979529250489E-3</c:v>
                </c:pt>
                <c:pt idx="9">
                  <c:v>-4.3335534489126193E-3</c:v>
                </c:pt>
                <c:pt idx="10">
                  <c:v>3.4636025831891182E-4</c:v>
                </c:pt>
                <c:pt idx="11">
                  <c:v>8.3189418782947389E-3</c:v>
                </c:pt>
                <c:pt idx="12">
                  <c:v>5.0262739655499988E-3</c:v>
                </c:pt>
                <c:pt idx="13">
                  <c:v>5.9104390746191893E-3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65-40BF-94D3-65527B2D77B4}"/>
            </c:ext>
          </c:extLst>
        </c:ser>
        <c:ser>
          <c:idx val="1"/>
          <c:order val="1"/>
          <c:tx>
            <c:v>Resíduos Ensaio 2 - Osc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i0!$AT$5:$AT$17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i0!$BB$5:$BB$17</c:f>
              <c:numCache>
                <c:formatCode>0.0000</c:formatCode>
                <c:ptCount val="13"/>
                <c:pt idx="0">
                  <c:v>5.8339775039835118E-3</c:v>
                </c:pt>
                <c:pt idx="1">
                  <c:v>-5.9292937260406742E-3</c:v>
                </c:pt>
                <c:pt idx="2">
                  <c:v>3.9083437189419978E-3</c:v>
                </c:pt>
                <c:pt idx="3">
                  <c:v>3.9432551389040338E-3</c:v>
                </c:pt>
                <c:pt idx="4">
                  <c:v>2.1799839088803008E-3</c:v>
                </c:pt>
                <c:pt idx="5">
                  <c:v>1.6579848238653661E-3</c:v>
                </c:pt>
                <c:pt idx="6">
                  <c:v>-3.1447412011549325E-3</c:v>
                </c:pt>
                <c:pt idx="7">
                  <c:v>-1.2587830696177527E-2</c:v>
                </c:pt>
                <c:pt idx="8">
                  <c:v>-2.3905567211974788E-3</c:v>
                </c:pt>
                <c:pt idx="9">
                  <c:v>-6.8336462162202904E-3</c:v>
                </c:pt>
                <c:pt idx="10">
                  <c:v>-1.2767357112433153E-3</c:v>
                </c:pt>
                <c:pt idx="11">
                  <c:v>-1.0794617362632764E-3</c:v>
                </c:pt>
                <c:pt idx="12">
                  <c:v>1.5718720913723283E-2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65-40BF-94D3-65527B2D77B4}"/>
            </c:ext>
          </c:extLst>
        </c:ser>
        <c:ser>
          <c:idx val="2"/>
          <c:order val="2"/>
          <c:tx>
            <c:v>Resíduos Ensaio 3 - Osc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i0!$G$62:$G$65</c:f>
              <c:numCache>
                <c:formatCode>0.0000</c:formatCode>
                <c:ptCount val="4"/>
                <c:pt idx="0">
                  <c:v>0.67599408281433948</c:v>
                </c:pt>
                <c:pt idx="1">
                  <c:v>0.62932503525602734</c:v>
                </c:pt>
                <c:pt idx="2">
                  <c:v>0.50346002820482183</c:v>
                </c:pt>
                <c:pt idx="3">
                  <c:v>0.43840620433565947</c:v>
                </c:pt>
              </c:numCache>
            </c:numRef>
          </c:xVal>
          <c:yVal>
            <c:numRef>
              <c:f>i0!$O$62:$O$65</c:f>
              <c:numCache>
                <c:formatCode>0.0000</c:formatCode>
                <c:ptCount val="4"/>
                <c:pt idx="0">
                  <c:v>4.6600146289625943E-3</c:v>
                </c:pt>
                <c:pt idx="1">
                  <c:v>-3.8697746311706638E-3</c:v>
                </c:pt>
                <c:pt idx="2">
                  <c:v>-5.6622365751666237E-3</c:v>
                </c:pt>
                <c:pt idx="3">
                  <c:v>4.8719965773748042E-3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65-40BF-94D3-65527B2D77B4}"/>
            </c:ext>
          </c:extLst>
        </c:ser>
        <c:ser>
          <c:idx val="3"/>
          <c:order val="3"/>
          <c:tx>
            <c:v>Resíduos Ensaio 4 - Osc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i0!$AT$62:$AT$81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i0!$BB$62:$BB$81</c:f>
              <c:numCache>
                <c:formatCode>0.0000</c:formatCode>
                <c:ptCount val="20"/>
                <c:pt idx="0">
                  <c:v>8.5713456598606186E-3</c:v>
                </c:pt>
                <c:pt idx="1">
                  <c:v>4.8355909675519282E-3</c:v>
                </c:pt>
                <c:pt idx="2">
                  <c:v>2.1846829579361682E-3</c:v>
                </c:pt>
                <c:pt idx="3">
                  <c:v>1.9774382270435487E-2</c:v>
                </c:pt>
                <c:pt idx="4">
                  <c:v>5.7980202560119487E-3</c:v>
                </c:pt>
                <c:pt idx="5">
                  <c:v>1.8216582415886418E-3</c:v>
                </c:pt>
                <c:pt idx="6">
                  <c:v>-1.0588642445912066E-2</c:v>
                </c:pt>
                <c:pt idx="7">
                  <c:v>1.2180262031258327E-3</c:v>
                </c:pt>
                <c:pt idx="8">
                  <c:v>-1.2758335811297705E-2</c:v>
                </c:pt>
                <c:pt idx="9">
                  <c:v>-3.8431824939906267E-3</c:v>
                </c:pt>
                <c:pt idx="10">
                  <c:v>-6.4940905036063867E-3</c:v>
                </c:pt>
                <c:pt idx="11">
                  <c:v>-2.1795906522837472E-2</c:v>
                </c:pt>
                <c:pt idx="12">
                  <c:v>-5.7722685372609828E-3</c:v>
                </c:pt>
                <c:pt idx="13">
                  <c:v>-5.5316612151459221E-3</c:v>
                </c:pt>
                <c:pt idx="14">
                  <c:v>-7.9419619026466215E-3</c:v>
                </c:pt>
                <c:pt idx="15">
                  <c:v>-9.0268085853395519E-3</c:v>
                </c:pt>
                <c:pt idx="16">
                  <c:v>-7.2201399363017726E-3</c:v>
                </c:pt>
                <c:pt idx="17">
                  <c:v>3.2610747079283575E-3</c:v>
                </c:pt>
                <c:pt idx="18">
                  <c:v>1.7959258688696966E-2</c:v>
                </c:pt>
                <c:pt idx="19">
                  <c:v>2.5548958001196276E-2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65-40BF-94D3-65527B2D7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898383"/>
        <c:axId val="627033103"/>
      </c:scatterChart>
      <c:valAx>
        <c:axId val="1158898383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baseline="0">
                    <a:effectLst/>
                  </a:rPr>
                  <a:t>i</a:t>
                </a:r>
                <a:r>
                  <a:rPr lang="en-US" sz="1600" b="0" i="0" baseline="-25000">
                    <a:effectLst/>
                  </a:rPr>
                  <a:t>0</a:t>
                </a:r>
                <a:r>
                  <a:rPr lang="en-US" sz="1600" b="0" i="0" baseline="0">
                    <a:effectLst/>
                  </a:rPr>
                  <a:t> (A)</a:t>
                </a:r>
                <a:endParaRPr lang="en-US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7033103"/>
        <c:crossesAt val="-10"/>
        <c:crossBetween val="midCat"/>
      </c:valAx>
      <c:valAx>
        <c:axId val="62703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baseline="0">
                    <a:effectLst/>
                  </a:rPr>
                  <a:t>Resíduos de V</a:t>
                </a:r>
                <a:r>
                  <a:rPr lang="en-US" sz="1600" b="0" i="0" baseline="-25000">
                    <a:effectLst/>
                  </a:rPr>
                  <a:t>E0</a:t>
                </a:r>
                <a:r>
                  <a:rPr lang="en-US" sz="1600" b="0" i="0" baseline="0">
                    <a:effectLst/>
                  </a:rPr>
                  <a:t> (V)</a:t>
                </a:r>
                <a:endParaRPr lang="en-US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5889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70186432651798"/>
          <c:y val="0.60209340168564118"/>
          <c:w val="0.18935900422936866"/>
          <c:h val="0.24257282439378444"/>
        </c:manualLayout>
      </c:layout>
      <c:overlay val="1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 Final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56762291531348"/>
          <c:y val="0.1380597279859789"/>
          <c:w val="0.81280354482757977"/>
          <c:h val="0.71015697597777105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i0!$G$94:$G$113</c:f>
              <c:numCache>
                <c:formatCode>0.0000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i0!$K$94:$K$113</c:f>
              <c:numCache>
                <c:formatCode>0.0000</c:formatCode>
                <c:ptCount val="20"/>
                <c:pt idx="0">
                  <c:v>2.5508259686934931E-3</c:v>
                </c:pt>
                <c:pt idx="1">
                  <c:v>2.6706950725114975E-3</c:v>
                </c:pt>
                <c:pt idx="2">
                  <c:v>2.4143624704953126E-3</c:v>
                </c:pt>
                <c:pt idx="3">
                  <c:v>2.5209765190838951E-3</c:v>
                </c:pt>
                <c:pt idx="4">
                  <c:v>2.3767894304496107E-3</c:v>
                </c:pt>
                <c:pt idx="5">
                  <c:v>4.6179788778273334E-3</c:v>
                </c:pt>
                <c:pt idx="6">
                  <c:v>3.8760647889919397E-3</c:v>
                </c:pt>
                <c:pt idx="7">
                  <c:v>2.050842213136006E-3</c:v>
                </c:pt>
                <c:pt idx="8">
                  <c:v>4.1533760366729844E-3</c:v>
                </c:pt>
                <c:pt idx="9">
                  <c:v>-3.0751339190555615E-3</c:v>
                </c:pt>
                <c:pt idx="10">
                  <c:v>-4.2330148794127442E-3</c:v>
                </c:pt>
                <c:pt idx="11">
                  <c:v>-4.4197328661312874E-3</c:v>
                </c:pt>
                <c:pt idx="12">
                  <c:v>-1.3830355022472762E-3</c:v>
                </c:pt>
                <c:pt idx="13">
                  <c:v>-2.3702192635117747E-3</c:v>
                </c:pt>
                <c:pt idx="14">
                  <c:v>-2.6502962435892563E-3</c:v>
                </c:pt>
                <c:pt idx="15">
                  <c:v>-4.5633463480110326E-3</c:v>
                </c:pt>
                <c:pt idx="16">
                  <c:v>-1.1344264906667512E-3</c:v>
                </c:pt>
                <c:pt idx="17">
                  <c:v>-1.5559248269820802E-3</c:v>
                </c:pt>
                <c:pt idx="18">
                  <c:v>-1.3957169507217149E-3</c:v>
                </c:pt>
                <c:pt idx="19">
                  <c:v>-4.5106408754214122E-4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90-407C-A69C-F127CCA38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5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At val="-20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90398416233605"/>
          <c:y val="0.76062527334180507"/>
          <c:w val="0.1536023622047244"/>
          <c:h val="9.150684268717435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 Final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758981136216547"/>
          <c:y val="0.1380597279859789"/>
          <c:w val="0.82275289974294219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i0!$G$94:$G$113</c:f>
              <c:numCache>
                <c:formatCode>0.0000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i0!$O$94:$O$113</c:f>
              <c:numCache>
                <c:formatCode>0.0000</c:formatCode>
                <c:ptCount val="20"/>
                <c:pt idx="0">
                  <c:v>2.1448562600094867E-3</c:v>
                </c:pt>
                <c:pt idx="1">
                  <c:v>-1.4171545051786527E-3</c:v>
                </c:pt>
                <c:pt idx="2">
                  <c:v>-7.3253199165290717E-4</c:v>
                </c:pt>
                <c:pt idx="3">
                  <c:v>5.3631459863963116E-3</c:v>
                </c:pt>
                <c:pt idx="4">
                  <c:v>-2.3767538497454499E-3</c:v>
                </c:pt>
                <c:pt idx="5">
                  <c:v>-9.3876461493347385E-4</c:v>
                </c:pt>
                <c:pt idx="6">
                  <c:v>5.1569133631153008E-3</c:v>
                </c:pt>
                <c:pt idx="7">
                  <c:v>4.9922461987828015E-4</c:v>
                </c:pt>
                <c:pt idx="8">
                  <c:v>-3.2288630916799121E-4</c:v>
                </c:pt>
                <c:pt idx="9">
                  <c:v>-3.40509740207251E-3</c:v>
                </c:pt>
                <c:pt idx="10">
                  <c:v>-4.0897199155984776E-3</c:v>
                </c:pt>
                <c:pt idx="11">
                  <c:v>-5.5964533581707165E-3</c:v>
                </c:pt>
                <c:pt idx="12">
                  <c:v>1.4472290849589564E-2</c:v>
                </c:pt>
                <c:pt idx="13">
                  <c:v>2.2121906857313078E-3</c:v>
                </c:pt>
                <c:pt idx="14">
                  <c:v>-4.7909478126717531E-5</c:v>
                </c:pt>
                <c:pt idx="15">
                  <c:v>-9.9791652703664635E-3</c:v>
                </c:pt>
                <c:pt idx="16">
                  <c:v>3.9251567515843355E-3</c:v>
                </c:pt>
                <c:pt idx="17">
                  <c:v>-8.3349434122739208E-3</c:v>
                </c:pt>
                <c:pt idx="18">
                  <c:v>2.4871675167723595E-3</c:v>
                </c:pt>
                <c:pt idx="19">
                  <c:v>9.8043407420012052E-4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34-47CB-917F-D1232CB43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5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283510429287153"/>
          <c:y val="0.75443941654146429"/>
          <c:w val="0.15479270387643618"/>
          <c:h val="9.262545511979954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Ajuste VE0 ao variar i0 - Final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56762291531348"/>
          <c:y val="0.1380597279859789"/>
          <c:w val="0.81280354482757977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VE0(i0)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i0!$G$94:$G$113</c:f>
              <c:numCache>
                <c:formatCode>0.0000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i0!$I$94:$I$113</c:f>
              <c:numCache>
                <c:formatCode>0.0000</c:formatCode>
                <c:ptCount val="20"/>
                <c:pt idx="0">
                  <c:v>1.1102990678191171</c:v>
                </c:pt>
                <c:pt idx="1">
                  <c:v>1.1698374587950244</c:v>
                </c:pt>
                <c:pt idx="2">
                  <c:v>1.2196177761905573</c:v>
                </c:pt>
                <c:pt idx="3">
                  <c:v>1.2541245871124609</c:v>
                </c:pt>
                <c:pt idx="4">
                  <c:v>1.2821260156474481</c:v>
                </c:pt>
                <c:pt idx="5">
                  <c:v>1.3437857269669151</c:v>
                </c:pt>
                <c:pt idx="6">
                  <c:v>1.3774440097513947</c:v>
                </c:pt>
                <c:pt idx="7">
                  <c:v>1.4006371121743133</c:v>
                </c:pt>
                <c:pt idx="8">
                  <c:v>1.4340125522463185</c:v>
                </c:pt>
                <c:pt idx="9">
                  <c:v>1.4299113329154367</c:v>
                </c:pt>
                <c:pt idx="10">
                  <c:v>1.3787168019575304</c:v>
                </c:pt>
                <c:pt idx="11">
                  <c:v>1.359766340221731</c:v>
                </c:pt>
                <c:pt idx="12">
                  <c:v>1.3221482594626066</c:v>
                </c:pt>
                <c:pt idx="13">
                  <c:v>1.2930154600777208</c:v>
                </c:pt>
                <c:pt idx="14">
                  <c:v>1.2645897674740216</c:v>
                </c:pt>
                <c:pt idx="15">
                  <c:v>1.2220219392465914</c:v>
                </c:pt>
                <c:pt idx="16">
                  <c:v>1.1910506622306207</c:v>
                </c:pt>
                <c:pt idx="17">
                  <c:v>1.1624835482706841</c:v>
                </c:pt>
                <c:pt idx="18">
                  <c:v>1.1313708498984762</c:v>
                </c:pt>
                <c:pt idx="19">
                  <c:v>1.1135517590125752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F0-4D64-B28C-A718FEEC3EE8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i0!$G$94:$G$113</c:f>
              <c:numCache>
                <c:formatCode>0.0000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i0!$J$94:$J$113</c:f>
              <c:numCache>
                <c:formatCode>0.0000</c:formatCode>
                <c:ptCount val="20"/>
                <c:pt idx="0">
                  <c:v>1.1077482418504236</c:v>
                </c:pt>
                <c:pt idx="1">
                  <c:v>1.1671667637225129</c:v>
                </c:pt>
                <c:pt idx="2">
                  <c:v>1.217203413720062</c:v>
                </c:pt>
                <c:pt idx="3">
                  <c:v>1.251603610593377</c:v>
                </c:pt>
                <c:pt idx="4">
                  <c:v>1.2797492262169985</c:v>
                </c:pt>
                <c:pt idx="5">
                  <c:v>1.3391677480890878</c:v>
                </c:pt>
                <c:pt idx="6">
                  <c:v>1.3735679449624028</c:v>
                </c:pt>
                <c:pt idx="7">
                  <c:v>1.3985862699611773</c:v>
                </c:pt>
                <c:pt idx="8">
                  <c:v>1.4298591762096455</c:v>
                </c:pt>
                <c:pt idx="9">
                  <c:v>1.4329864668344923</c:v>
                </c:pt>
                <c:pt idx="10">
                  <c:v>1.3829498168369432</c:v>
                </c:pt>
                <c:pt idx="11">
                  <c:v>1.3641860730878623</c:v>
                </c:pt>
                <c:pt idx="12">
                  <c:v>1.3235312949648539</c:v>
                </c:pt>
                <c:pt idx="13">
                  <c:v>1.2953856793412326</c:v>
                </c:pt>
                <c:pt idx="14">
                  <c:v>1.2672400637176109</c:v>
                </c:pt>
                <c:pt idx="15">
                  <c:v>1.2265852855946024</c:v>
                </c:pt>
                <c:pt idx="16">
                  <c:v>1.1921850887212875</c:v>
                </c:pt>
                <c:pt idx="17">
                  <c:v>1.1640394730976662</c:v>
                </c:pt>
                <c:pt idx="18">
                  <c:v>1.132766566849198</c:v>
                </c:pt>
                <c:pt idx="19">
                  <c:v>1.1140028231001173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F0-4D64-B28C-A718FEEC3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5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00"/>
        <c:crossBetween val="midCat"/>
      </c:valAx>
      <c:valAx>
        <c:axId val="204469649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At val="-20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973829567685951"/>
          <c:y val="0.72448070901930595"/>
          <c:w val="0.14147678571428571"/>
          <c:h val="0.131849553675658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Ajuste VE0 ao variar i0 - Final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537572768175264"/>
          <c:y val="0.1380597279859789"/>
          <c:w val="0.81496698342335505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VE0(i0)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i0!$G$94:$G$113</c:f>
              <c:numCache>
                <c:formatCode>0.0000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i0!$M$94:$M$113</c:f>
              <c:numCache>
                <c:formatCode>0.00</c:formatCode>
                <c:ptCount val="20"/>
                <c:pt idx="0">
                  <c:v>1.145</c:v>
                </c:pt>
                <c:pt idx="1">
                  <c:v>1.2</c:v>
                </c:pt>
                <c:pt idx="2">
                  <c:v>1.25</c:v>
                </c:pt>
                <c:pt idx="3">
                  <c:v>1.29</c:v>
                </c:pt>
                <c:pt idx="4">
                  <c:v>1.31</c:v>
                </c:pt>
                <c:pt idx="5">
                  <c:v>1.37</c:v>
                </c:pt>
                <c:pt idx="6">
                  <c:v>1.41</c:v>
                </c:pt>
                <c:pt idx="7">
                  <c:v>1.43</c:v>
                </c:pt>
                <c:pt idx="8">
                  <c:v>1.46</c:v>
                </c:pt>
                <c:pt idx="9">
                  <c:v>1.46</c:v>
                </c:pt>
                <c:pt idx="10">
                  <c:v>1.41</c:v>
                </c:pt>
                <c:pt idx="11">
                  <c:v>1.39</c:v>
                </c:pt>
                <c:pt idx="12">
                  <c:v>1.37</c:v>
                </c:pt>
                <c:pt idx="13">
                  <c:v>1.33</c:v>
                </c:pt>
                <c:pt idx="14">
                  <c:v>1.3</c:v>
                </c:pt>
                <c:pt idx="15">
                  <c:v>1.25</c:v>
                </c:pt>
                <c:pt idx="16">
                  <c:v>1.23</c:v>
                </c:pt>
                <c:pt idx="17">
                  <c:v>1.19</c:v>
                </c:pt>
                <c:pt idx="18">
                  <c:v>1.17</c:v>
                </c:pt>
                <c:pt idx="19">
                  <c:v>1.1499999999999999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B7-4D62-BD9F-63F114274A67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i0!$G$94:$G$113</c:f>
              <c:numCache>
                <c:formatCode>0.0000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i0!$N$94:$N$113</c:f>
              <c:numCache>
                <c:formatCode>0.0000</c:formatCode>
                <c:ptCount val="20"/>
                <c:pt idx="0">
                  <c:v>1.1428551437399905</c:v>
                </c:pt>
                <c:pt idx="1">
                  <c:v>1.2014171545051786</c:v>
                </c:pt>
                <c:pt idx="2">
                  <c:v>1.2507325319916529</c:v>
                </c:pt>
                <c:pt idx="3">
                  <c:v>1.2846368540136037</c:v>
                </c:pt>
                <c:pt idx="4">
                  <c:v>1.3123767538497455</c:v>
                </c:pt>
                <c:pt idx="5">
                  <c:v>1.3709387646149336</c:v>
                </c:pt>
                <c:pt idx="6">
                  <c:v>1.4048430866368846</c:v>
                </c:pt>
                <c:pt idx="7">
                  <c:v>1.4295007753801217</c:v>
                </c:pt>
                <c:pt idx="8">
                  <c:v>1.460322886309168</c:v>
                </c:pt>
                <c:pt idx="9">
                  <c:v>1.4634050974020725</c:v>
                </c:pt>
                <c:pt idx="10">
                  <c:v>1.4140897199155984</c:v>
                </c:pt>
                <c:pt idx="11">
                  <c:v>1.3955964533581706</c:v>
                </c:pt>
                <c:pt idx="12">
                  <c:v>1.3555277091504105</c:v>
                </c:pt>
                <c:pt idx="13">
                  <c:v>1.3277878093142688</c:v>
                </c:pt>
                <c:pt idx="14">
                  <c:v>1.3000479094781268</c:v>
                </c:pt>
                <c:pt idx="15">
                  <c:v>1.2599791652703665</c:v>
                </c:pt>
                <c:pt idx="16">
                  <c:v>1.2260748432484156</c:v>
                </c:pt>
                <c:pt idx="17">
                  <c:v>1.1983349434122739</c:v>
                </c:pt>
                <c:pt idx="18">
                  <c:v>1.1675128324832276</c:v>
                </c:pt>
                <c:pt idx="19">
                  <c:v>1.1490195659257998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B7-4D62-BD9F-63F114274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5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583057729460695"/>
          <c:y val="0.7284099134368156"/>
          <c:w val="0.14147675764350046"/>
          <c:h val="0.131849553675658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Ajuste VE0 ao variar</a:t>
            </a:r>
            <a:r>
              <a:rPr lang="en-US" sz="1500" baseline="0"/>
              <a:t> </a:t>
            </a:r>
            <a:r>
              <a:rPr lang="pt-PT" sz="1500" baseline="0"/>
              <a:t>i0 - Ensaio 2</a:t>
            </a:r>
            <a:r>
              <a:rPr lang="en-US" sz="15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VEO(i0)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i0!$AR$112:$AR$130</c:f>
              <c:numCache>
                <c:formatCode>0.0000</c:formatCode>
                <c:ptCount val="19"/>
                <c:pt idx="0">
                  <c:v>4.4293168773525342E-2</c:v>
                </c:pt>
                <c:pt idx="1">
                  <c:v>5.6233373880641382E-2</c:v>
                </c:pt>
                <c:pt idx="2">
                  <c:v>6.3441620408057051E-2</c:v>
                </c:pt>
                <c:pt idx="3">
                  <c:v>9.1570328163657913E-2</c:v>
                </c:pt>
                <c:pt idx="4">
                  <c:v>0.10947427186330129</c:v>
                </c:pt>
                <c:pt idx="5">
                  <c:v>0.12411138223386284</c:v>
                </c:pt>
                <c:pt idx="6">
                  <c:v>0.14053040169301448</c:v>
                </c:pt>
                <c:pt idx="7">
                  <c:v>0.15214109504009757</c:v>
                </c:pt>
                <c:pt idx="8">
                  <c:v>0.17834647235087103</c:v>
                </c:pt>
                <c:pt idx="9">
                  <c:v>0.19900813249714197</c:v>
                </c:pt>
                <c:pt idx="10">
                  <c:v>0.22338917431245414</c:v>
                </c:pt>
                <c:pt idx="11">
                  <c:v>0.2458186014116914</c:v>
                </c:pt>
                <c:pt idx="12">
                  <c:v>0.26311443327951439</c:v>
                </c:pt>
                <c:pt idx="13">
                  <c:v>0.28002842748549656</c:v>
                </c:pt>
                <c:pt idx="14">
                  <c:v>0.29527364968787856</c:v>
                </c:pt>
                <c:pt idx="15">
                  <c:v>0.31423825355930174</c:v>
                </c:pt>
                <c:pt idx="16">
                  <c:v>0.33137852193526368</c:v>
                </c:pt>
                <c:pt idx="17">
                  <c:v>0.31923042743447877</c:v>
                </c:pt>
                <c:pt idx="18">
                  <c:v>3.6927944540686257E-2</c:v>
                </c:pt>
              </c:numCache>
            </c:numRef>
          </c:xVal>
          <c:yVal>
            <c:numRef>
              <c:f>i0!$AT$112:$AT$130</c:f>
              <c:numCache>
                <c:formatCode>0.0000</c:formatCode>
                <c:ptCount val="19"/>
                <c:pt idx="0">
                  <c:v>9.4342186745909162E-2</c:v>
                </c:pt>
                <c:pt idx="1">
                  <c:v>0.11978388873300115</c:v>
                </c:pt>
                <c:pt idx="2">
                  <c:v>0.13514224802037297</c:v>
                </c:pt>
                <c:pt idx="3">
                  <c:v>0.19444022269067684</c:v>
                </c:pt>
                <c:pt idx="4">
                  <c:v>0.23242599897601818</c:v>
                </c:pt>
                <c:pt idx="5">
                  <c:v>0.26365183443321616</c:v>
                </c:pt>
                <c:pt idx="6">
                  <c:v>0.29856876728820786</c:v>
                </c:pt>
                <c:pt idx="7">
                  <c:v>0.32327507822286583</c:v>
                </c:pt>
                <c:pt idx="8">
                  <c:v>0.37900923471598952</c:v>
                </c:pt>
                <c:pt idx="9">
                  <c:v>0.42284985514955542</c:v>
                </c:pt>
                <c:pt idx="10">
                  <c:v>0.47473735075302431</c:v>
                </c:pt>
                <c:pt idx="11">
                  <c:v>0.5223680635337502</c:v>
                </c:pt>
                <c:pt idx="12">
                  <c:v>0.55926489537606416</c:v>
                </c:pt>
                <c:pt idx="13">
                  <c:v>0.59514349345346962</c:v>
                </c:pt>
                <c:pt idx="14">
                  <c:v>0.62758555257430848</c:v>
                </c:pt>
                <c:pt idx="15">
                  <c:v>0.6678764969663179</c:v>
                </c:pt>
                <c:pt idx="16">
                  <c:v>0.70427835406180139</c:v>
                </c:pt>
                <c:pt idx="17">
                  <c:v>0.67957204312714337</c:v>
                </c:pt>
                <c:pt idx="18">
                  <c:v>7.8601989796696622E-2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9B-44D0-B811-06CE02410209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i0!$AR$112:$AR$130</c:f>
              <c:numCache>
                <c:formatCode>0.0000</c:formatCode>
                <c:ptCount val="19"/>
                <c:pt idx="0">
                  <c:v>4.4293168773525342E-2</c:v>
                </c:pt>
                <c:pt idx="1">
                  <c:v>5.6233373880641382E-2</c:v>
                </c:pt>
                <c:pt idx="2">
                  <c:v>6.3441620408057051E-2</c:v>
                </c:pt>
                <c:pt idx="3">
                  <c:v>9.1570328163657913E-2</c:v>
                </c:pt>
                <c:pt idx="4">
                  <c:v>0.10947427186330129</c:v>
                </c:pt>
                <c:pt idx="5">
                  <c:v>0.12411138223386284</c:v>
                </c:pt>
                <c:pt idx="6">
                  <c:v>0.14053040169301448</c:v>
                </c:pt>
                <c:pt idx="7">
                  <c:v>0.15214109504009757</c:v>
                </c:pt>
                <c:pt idx="8">
                  <c:v>0.17834647235087103</c:v>
                </c:pt>
                <c:pt idx="9">
                  <c:v>0.19900813249714197</c:v>
                </c:pt>
                <c:pt idx="10">
                  <c:v>0.22338917431245414</c:v>
                </c:pt>
                <c:pt idx="11">
                  <c:v>0.2458186014116914</c:v>
                </c:pt>
                <c:pt idx="12">
                  <c:v>0.26311443327951439</c:v>
                </c:pt>
                <c:pt idx="13">
                  <c:v>0.28002842748549656</c:v>
                </c:pt>
                <c:pt idx="14">
                  <c:v>0.29527364968787856</c:v>
                </c:pt>
                <c:pt idx="15">
                  <c:v>0.31423825355930174</c:v>
                </c:pt>
                <c:pt idx="16">
                  <c:v>0.33137852193526368</c:v>
                </c:pt>
                <c:pt idx="17">
                  <c:v>0.31923042743447877</c:v>
                </c:pt>
                <c:pt idx="18">
                  <c:v>3.6927944540686257E-2</c:v>
                </c:pt>
              </c:numCache>
            </c:numRef>
          </c:xVal>
          <c:yVal>
            <c:numRef>
              <c:f>i0!$AU$112:$AU$130</c:f>
              <c:numCache>
                <c:formatCode>0.0000</c:formatCode>
                <c:ptCount val="19"/>
                <c:pt idx="0">
                  <c:v>9.4133535736873428E-2</c:v>
                </c:pt>
                <c:pt idx="1">
                  <c:v>0.11951578472080178</c:v>
                </c:pt>
                <c:pt idx="2">
                  <c:v>0.13483893088580035</c:v>
                </c:pt>
                <c:pt idx="3">
                  <c:v>0.19463437471978534</c:v>
                </c:pt>
                <c:pt idx="4">
                  <c:v>0.23269421981471997</c:v>
                </c:pt>
                <c:pt idx="5">
                  <c:v>0.26380949601792486</c:v>
                </c:pt>
                <c:pt idx="6">
                  <c:v>0.29871271888934597</c:v>
                </c:pt>
                <c:pt idx="7">
                  <c:v>0.32339449837034223</c:v>
                </c:pt>
                <c:pt idx="8">
                  <c:v>0.37910136484815732</c:v>
                </c:pt>
                <c:pt idx="9">
                  <c:v>0.42302350835818853</c:v>
                </c:pt>
                <c:pt idx="10">
                  <c:v>0.47485223896140127</c:v>
                </c:pt>
                <c:pt idx="11">
                  <c:v>0.52253226607085335</c:v>
                </c:pt>
                <c:pt idx="12">
                  <c:v>0.5592993992075872</c:v>
                </c:pt>
                <c:pt idx="13">
                  <c:v>0.59525482948684605</c:v>
                </c:pt>
                <c:pt idx="14">
                  <c:v>0.62766281764825183</c:v>
                </c:pt>
                <c:pt idx="15">
                  <c:v>0.66797739290283886</c:v>
                </c:pt>
                <c:pt idx="16">
                  <c:v>0.70441383228282373</c:v>
                </c:pt>
                <c:pt idx="17">
                  <c:v>0.67858965618760347</c:v>
                </c:pt>
                <c:pt idx="18">
                  <c:v>7.8476689508246281E-2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9B-44D0-B811-06CE02410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i</a:t>
                </a:r>
                <a:r>
                  <a:rPr lang="en-US" sz="1400" baseline="-25000"/>
                  <a:t>0</a:t>
                </a:r>
                <a:r>
                  <a:rPr lang="en-US" sz="1400" baseline="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394568250276349"/>
          <c:y val="0.6788037189980628"/>
          <c:w val="0.19186840191167343"/>
          <c:h val="0.1493316962456158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</a:t>
            </a:r>
            <a:r>
              <a:rPr lang="en-US" sz="1600" baseline="-25000"/>
              <a:t>E0</a:t>
            </a:r>
            <a:r>
              <a:rPr lang="en-US" sz="1600"/>
              <a:t> ao variar</a:t>
            </a:r>
            <a:r>
              <a:rPr lang="en-US" sz="1600" baseline="0"/>
              <a:t> </a:t>
            </a:r>
            <a:r>
              <a:rPr lang="pt-PT" sz="1600" baseline="0"/>
              <a:t>n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2239360380274042"/>
        </c:manualLayout>
      </c:layout>
      <c:scatterChart>
        <c:scatterStyle val="lineMarker"/>
        <c:varyColors val="0"/>
        <c:ser>
          <c:idx val="0"/>
          <c:order val="0"/>
          <c:tx>
            <c:v>V(n) - 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n!$K$23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n!$K$23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n!$J$4:$J$8</c:f>
              <c:numCache>
                <c:formatCode>0.0000</c:formatCode>
                <c:ptCount val="5"/>
                <c:pt idx="0">
                  <c:v>1.4385380356459125</c:v>
                </c:pt>
                <c:pt idx="1">
                  <c:v>0.96619070581329869</c:v>
                </c:pt>
                <c:pt idx="2">
                  <c:v>0.4781456054383435</c:v>
                </c:pt>
                <c:pt idx="3">
                  <c:v>1.8910863756053027</c:v>
                </c:pt>
                <c:pt idx="4">
                  <c:v>2.3601810142444584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DA-4197-9D78-0C3CA9919EF1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n!$K$4:$K$8</c:f>
              <c:numCache>
                <c:formatCode>0.0000</c:formatCode>
                <c:ptCount val="5"/>
                <c:pt idx="0">
                  <c:v>1.426828347349463</c:v>
                </c:pt>
                <c:pt idx="1">
                  <c:v>0.95793169860903959</c:v>
                </c:pt>
                <c:pt idx="2">
                  <c:v>0.48903504986861634</c:v>
                </c:pt>
                <c:pt idx="3">
                  <c:v>1.8957249960898861</c:v>
                </c:pt>
                <c:pt idx="4">
                  <c:v>2.3646216448303092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DA-4197-9D78-0C3CA9919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n (s.u.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017831463476818"/>
          <c:y val="0.67770218122939874"/>
          <c:w val="0.27264419242734239"/>
          <c:h val="0.160176982882810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</a:t>
            </a:r>
            <a:r>
              <a:rPr lang="pt-PT" sz="1600" baseline="0"/>
              <a:t> Ve(n) </a:t>
            </a:r>
            <a:r>
              <a:rPr lang="en-US" sz="1600"/>
              <a:t>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308767134434338"/>
          <c:y val="0.18190567463312771"/>
          <c:w val="0.80008252092258991"/>
          <c:h val="0.67097625329815302"/>
        </c:manualLayout>
      </c:layout>
      <c:scatterChart>
        <c:scatterStyle val="lineMarker"/>
        <c:varyColors val="0"/>
        <c:ser>
          <c:idx val="1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n!$K$23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n!$K$23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n!$L$4:$L$8</c:f>
              <c:numCache>
                <c:formatCode>0.0000</c:formatCode>
                <c:ptCount val="5"/>
                <c:pt idx="0">
                  <c:v>-1.1709688296449583E-2</c:v>
                </c:pt>
                <c:pt idx="1">
                  <c:v>8.2590072042590945E-3</c:v>
                </c:pt>
                <c:pt idx="2">
                  <c:v>-1.0889444430272843E-2</c:v>
                </c:pt>
                <c:pt idx="3">
                  <c:v>-4.6386204845834111E-3</c:v>
                </c:pt>
                <c:pt idx="4">
                  <c:v>-4.4406305858508688E-3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59-4C65-B8A0-C3EDC7C74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  <a:r>
                  <a:rPr lang="en-US" sz="1400" baseline="0"/>
                  <a:t> de </a:t>
                </a: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623127224567494"/>
          <c:y val="0.1846752587781611"/>
          <c:w val="0.13169627784628488"/>
          <c:h val="9.417418196983602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Ajuste V</a:t>
            </a:r>
            <a:r>
              <a:rPr lang="en-US" sz="1600" b="0" i="0" baseline="-25000">
                <a:effectLst/>
              </a:rPr>
              <a:t>E0</a:t>
            </a:r>
            <a:r>
              <a:rPr lang="en-US" sz="1600" b="0" i="0" baseline="0">
                <a:effectLst/>
              </a:rPr>
              <a:t> ao variar </a:t>
            </a:r>
            <a:r>
              <a:rPr lang="pt-PT" sz="1600" b="0" i="0" baseline="0">
                <a:effectLst/>
              </a:rPr>
              <a:t>n</a:t>
            </a:r>
            <a:r>
              <a:rPr lang="en-US" sz="1600" b="0" i="0" baseline="0">
                <a:effectLst/>
              </a:rPr>
              <a:t> - Osciloscópio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4280567944648007"/>
          <c:w val="0.82172450701363975"/>
          <c:h val="0.71799709995755956"/>
        </c:manualLayout>
      </c:layout>
      <c:scatterChart>
        <c:scatterStyle val="lineMarker"/>
        <c:varyColors val="0"/>
        <c:ser>
          <c:idx val="0"/>
          <c:order val="0"/>
          <c:tx>
            <c:v>V(n)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n!$K$25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n!$K$25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n!$N$4:$N$8</c:f>
              <c:numCache>
                <c:formatCode>0.00</c:formatCode>
                <c:ptCount val="5"/>
                <c:pt idx="0">
                  <c:v>1.47</c:v>
                </c:pt>
                <c:pt idx="1">
                  <c:v>1.0049999999999999</c:v>
                </c:pt>
                <c:pt idx="2">
                  <c:v>0.55000000000000004</c:v>
                </c:pt>
                <c:pt idx="3">
                  <c:v>1.93</c:v>
                </c:pt>
                <c:pt idx="4">
                  <c:v>2.39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A8-495B-98F8-3AC62B90AC22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n!$O$4:$O$8</c:f>
              <c:numCache>
                <c:formatCode>0.0000</c:formatCode>
                <c:ptCount val="5"/>
                <c:pt idx="0">
                  <c:v>1.4689999999999999</c:v>
                </c:pt>
                <c:pt idx="1">
                  <c:v>1.0085</c:v>
                </c:pt>
                <c:pt idx="2">
                  <c:v>0.54800000000000004</c:v>
                </c:pt>
                <c:pt idx="3">
                  <c:v>1.9294999999999998</c:v>
                </c:pt>
                <c:pt idx="4">
                  <c:v>2.3899999999999997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A8-495B-98F8-3AC62B90A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n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038461538461534"/>
          <c:y val="0.67763912606276522"/>
          <c:w val="0.29109606522078135"/>
          <c:h val="0.157227345206658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pt-PT" sz="1600"/>
              <a:t>i0)</a:t>
            </a:r>
            <a:r>
              <a:rPr lang="en-US" sz="1600"/>
              <a:t>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835519269755028"/>
          <c:y val="0.1380597279859789"/>
          <c:w val="0.79198770437104549"/>
          <c:h val="0.69953784929536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n!$K$25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n!$K$25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n!$P$4:$P$8</c:f>
              <c:numCache>
                <c:formatCode>0.0000</c:formatCode>
                <c:ptCount val="5"/>
                <c:pt idx="0">
                  <c:v>1.0000000000001119E-3</c:v>
                </c:pt>
                <c:pt idx="1">
                  <c:v>-3.5000000000000586E-3</c:v>
                </c:pt>
                <c:pt idx="2">
                  <c:v>2.0000000000000018E-3</c:v>
                </c:pt>
                <c:pt idx="3">
                  <c:v>5.0000000000016698E-4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5A-48F5-9B31-3627ADD21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529978632478638"/>
          <c:y val="0.74653666731688462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</a:t>
            </a:r>
            <a:r>
              <a:rPr lang="en-US" sz="1600" baseline="-25000"/>
              <a:t>E0</a:t>
            </a:r>
            <a:r>
              <a:rPr lang="en-US" sz="1600"/>
              <a:t> ao variar</a:t>
            </a:r>
            <a:r>
              <a:rPr lang="en-US" sz="1600" baseline="0"/>
              <a:t> </a:t>
            </a:r>
            <a:r>
              <a:rPr lang="pt-PT" sz="1600" baseline="0"/>
              <a:t>S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577928692411854"/>
          <c:y val="0.1380597279859789"/>
          <c:w val="0.79213968084011466"/>
          <c:h val="0.70340979796073566"/>
        </c:manualLayout>
      </c:layout>
      <c:scatterChart>
        <c:scatterStyle val="lineMarker"/>
        <c:varyColors val="0"/>
        <c:ser>
          <c:idx val="0"/>
          <c:order val="0"/>
          <c:tx>
            <c:v>V(S) - 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S!$M$8:$M$10</c:f>
                <c:numCache>
                  <c:formatCode>General</c:formatCode>
                  <c:ptCount val="3"/>
                  <c:pt idx="0">
                    <c:v>6.4402649398590767E-5</c:v>
                  </c:pt>
                  <c:pt idx="1">
                    <c:v>5.183627878423159E-5</c:v>
                  </c:pt>
                  <c:pt idx="2">
                    <c:v>4.0840704496667311E-5</c:v>
                  </c:pt>
                </c:numCache>
              </c:numRef>
            </c:plus>
            <c:minus>
              <c:numRef>
                <c:f>S!$M$8:$M$10</c:f>
                <c:numCache>
                  <c:formatCode>General</c:formatCode>
                  <c:ptCount val="3"/>
                  <c:pt idx="0">
                    <c:v>6.4402649398590767E-5</c:v>
                  </c:pt>
                  <c:pt idx="1">
                    <c:v>5.183627878423159E-5</c:v>
                  </c:pt>
                  <c:pt idx="2">
                    <c:v>4.0840704496667311E-5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S!$M$19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S!$M$19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S!$E$4:$E$6</c:f>
              <c:numCache>
                <c:formatCode>0.000000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S!$L$4:$L$6</c:f>
              <c:numCache>
                <c:formatCode>0.0000</c:formatCode>
                <c:ptCount val="3"/>
                <c:pt idx="0">
                  <c:v>1.4289213834217753</c:v>
                </c:pt>
                <c:pt idx="1">
                  <c:v>0.93847211999078595</c:v>
                </c:pt>
                <c:pt idx="2">
                  <c:v>0.33629998513232207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69-40D2-8A30-C557FE3615A6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S!$E$4:$E$6</c:f>
              <c:numCache>
                <c:formatCode>0.000000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S!$M$4:$M$6</c:f>
              <c:numCache>
                <c:formatCode>0.0000</c:formatCode>
                <c:ptCount val="3"/>
                <c:pt idx="0">
                  <c:v>1.4704438063934679</c:v>
                </c:pt>
                <c:pt idx="1">
                  <c:v>0.837430872807852</c:v>
                </c:pt>
                <c:pt idx="2">
                  <c:v>0.39581880934356239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69-40D2-8A30-C557FE361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S (m</a:t>
                </a:r>
                <a:r>
                  <a:rPr lang="pt-PT" sz="1400" baseline="30000"/>
                  <a:t>2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990263917545067"/>
          <c:y val="0.64861209812618204"/>
          <c:w val="0.27264419242734239"/>
          <c:h val="0.160176982882810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</a:t>
            </a:r>
            <a:r>
              <a:rPr lang="pt-PT" sz="1600" baseline="0"/>
              <a:t> V</a:t>
            </a:r>
            <a:r>
              <a:rPr lang="pt-PT" sz="1600" baseline="-25000"/>
              <a:t>E0</a:t>
            </a:r>
            <a:r>
              <a:rPr lang="pt-PT" sz="1600" baseline="0"/>
              <a:t>(S) </a:t>
            </a:r>
            <a:r>
              <a:rPr lang="en-US" sz="1600"/>
              <a:t>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93356913273541"/>
          <c:y val="0.1380597279859789"/>
          <c:w val="0.81281176751301809"/>
          <c:h val="0.69391789503973333"/>
        </c:manualLayout>
      </c:layout>
      <c:scatterChart>
        <c:scatterStyle val="lineMarker"/>
        <c:varyColors val="0"/>
        <c:ser>
          <c:idx val="1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S!$M$8:$M$10</c:f>
                <c:numCache>
                  <c:formatCode>General</c:formatCode>
                  <c:ptCount val="3"/>
                  <c:pt idx="0">
                    <c:v>6.4402649398590767E-5</c:v>
                  </c:pt>
                  <c:pt idx="1">
                    <c:v>5.183627878423159E-5</c:v>
                  </c:pt>
                  <c:pt idx="2">
                    <c:v>4.0840704496667311E-5</c:v>
                  </c:pt>
                </c:numCache>
              </c:numRef>
            </c:plus>
            <c:minus>
              <c:numRef>
                <c:f>S!$M$8:$M$10</c:f>
                <c:numCache>
                  <c:formatCode>General</c:formatCode>
                  <c:ptCount val="3"/>
                  <c:pt idx="0">
                    <c:v>6.4402649398590767E-5</c:v>
                  </c:pt>
                  <c:pt idx="1">
                    <c:v>5.183627878423159E-5</c:v>
                  </c:pt>
                  <c:pt idx="2">
                    <c:v>4.0840704496667311E-5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S!$M$19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S!$M$19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S!$E$4:$E$6</c:f>
              <c:numCache>
                <c:formatCode>0.000000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S!$N$4:$N$6</c:f>
              <c:numCache>
                <c:formatCode>0.0000</c:formatCode>
                <c:ptCount val="3"/>
                <c:pt idx="0">
                  <c:v>4.1522422971692619E-2</c:v>
                </c:pt>
                <c:pt idx="1">
                  <c:v>0.10104124718293395</c:v>
                </c:pt>
                <c:pt idx="2">
                  <c:v>-5.9518824211240329E-2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61-4945-AE8B-B9ADF4C3E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S (m</a:t>
                </a:r>
                <a:r>
                  <a:rPr lang="pt-PT" sz="1400" baseline="30000"/>
                  <a:t>2</a:t>
                </a:r>
                <a:r>
                  <a:rPr lang="pt-PT" sz="1400"/>
                  <a:t>)</a:t>
                </a:r>
              </a:p>
            </c:rich>
          </c:tx>
          <c:layout>
            <c:manualLayout>
              <c:xMode val="edge"/>
              <c:yMode val="edge"/>
              <c:x val="0.45666409090880228"/>
              <c:y val="0.903372477440873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Resíduos</a:t>
                </a:r>
                <a:r>
                  <a:rPr lang="pt-PT" sz="1400" baseline="0"/>
                  <a:t> de V</a:t>
                </a:r>
                <a:r>
                  <a:rPr lang="pt-PT" sz="1400" baseline="-25000"/>
                  <a:t>E0 </a:t>
                </a:r>
                <a:r>
                  <a:rPr lang="pt-PT" sz="1400" baseline="0"/>
                  <a:t>(V)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81557212185293"/>
          <c:y val="0.69643437040469502"/>
          <c:w val="0.16822758152714745"/>
          <c:h val="0.1079715168172976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Ajuste V</a:t>
            </a:r>
            <a:r>
              <a:rPr lang="en-US" sz="1600" b="0" i="0" baseline="-25000">
                <a:effectLst/>
              </a:rPr>
              <a:t>E0</a:t>
            </a:r>
            <a:r>
              <a:rPr lang="en-US" sz="1600" b="0" i="0" baseline="0">
                <a:effectLst/>
              </a:rPr>
              <a:t> ao variar </a:t>
            </a:r>
            <a:r>
              <a:rPr lang="pt-PT" sz="1600" b="0" i="0" baseline="0">
                <a:effectLst/>
              </a:rPr>
              <a:t>S</a:t>
            </a:r>
            <a:r>
              <a:rPr lang="en-US" sz="1600" b="0" i="0" baseline="0">
                <a:effectLst/>
              </a:rPr>
              <a:t> - Osciloscópio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597919110300187"/>
          <c:y val="0.14280567944648007"/>
          <c:w val="0.78034558408271415"/>
          <c:h val="0.6949376725163392"/>
        </c:manualLayout>
      </c:layout>
      <c:scatterChart>
        <c:scatterStyle val="lineMarker"/>
        <c:varyColors val="0"/>
        <c:ser>
          <c:idx val="0"/>
          <c:order val="0"/>
          <c:tx>
            <c:v>V(S)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S!$M$8:$M$10</c:f>
                <c:numCache>
                  <c:formatCode>General</c:formatCode>
                  <c:ptCount val="3"/>
                  <c:pt idx="0">
                    <c:v>6.4402649398590767E-5</c:v>
                  </c:pt>
                  <c:pt idx="1">
                    <c:v>5.183627878423159E-5</c:v>
                  </c:pt>
                  <c:pt idx="2">
                    <c:v>4.0840704496667311E-5</c:v>
                  </c:pt>
                </c:numCache>
              </c:numRef>
            </c:plus>
            <c:minus>
              <c:numRef>
                <c:f>S!$M$8:$M$10</c:f>
                <c:numCache>
                  <c:formatCode>General</c:formatCode>
                  <c:ptCount val="3"/>
                  <c:pt idx="0">
                    <c:v>6.4402649398590767E-5</c:v>
                  </c:pt>
                  <c:pt idx="1">
                    <c:v>5.183627878423159E-5</c:v>
                  </c:pt>
                  <c:pt idx="2">
                    <c:v>4.0840704496667311E-5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S!$M$21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S!$M$21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S!$E$4:$E$6</c:f>
              <c:numCache>
                <c:formatCode>0.000000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S!$P$4:$P$6</c:f>
              <c:numCache>
                <c:formatCode>0.000</c:formatCode>
                <c:ptCount val="3"/>
                <c:pt idx="0">
                  <c:v>1.45</c:v>
                </c:pt>
                <c:pt idx="1">
                  <c:v>0.96499999999999997</c:v>
                </c:pt>
                <c:pt idx="2">
                  <c:v>0.38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AE-455A-97C2-96F538AEA79D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S!$E$4:$E$6</c:f>
              <c:numCache>
                <c:formatCode>0.000000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S!$Q$4:$Q$6</c:f>
              <c:numCache>
                <c:formatCode>0.000</c:formatCode>
                <c:ptCount val="3"/>
                <c:pt idx="0">
                  <c:v>1.4893872701099498</c:v>
                </c:pt>
                <c:pt idx="1">
                  <c:v>0.86915446377602934</c:v>
                </c:pt>
                <c:pt idx="2">
                  <c:v>0.43645826611402028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AE-455A-97C2-96F538AEA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aseline="0"/>
                  <a:t>S (m</a:t>
                </a:r>
                <a:r>
                  <a:rPr lang="pt-PT" sz="1400" baseline="30000"/>
                  <a:t>2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702436755854087"/>
          <c:y val="0.65907431785320669"/>
          <c:w val="0.29109606522078135"/>
          <c:h val="0.157227345206658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</a:t>
            </a:r>
            <a:r>
              <a:rPr lang="en-US" sz="1600" baseline="-25000"/>
              <a:t>E0</a:t>
            </a:r>
            <a:r>
              <a:rPr lang="en-US" sz="1600"/>
              <a:t>(S</a:t>
            </a:r>
            <a:r>
              <a:rPr lang="pt-PT" sz="1600"/>
              <a:t>)</a:t>
            </a:r>
            <a:r>
              <a:rPr lang="en-US" sz="1600"/>
              <a:t>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873778183239931"/>
          <c:y val="0.1380597279859789"/>
          <c:w val="0.77758699335331671"/>
          <c:h val="0.7135135154962993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S!$M$8:$M$10</c:f>
                <c:numCache>
                  <c:formatCode>General</c:formatCode>
                  <c:ptCount val="3"/>
                  <c:pt idx="0">
                    <c:v>6.4402649398590767E-5</c:v>
                  </c:pt>
                  <c:pt idx="1">
                    <c:v>5.183627878423159E-5</c:v>
                  </c:pt>
                  <c:pt idx="2">
                    <c:v>4.0840704496667311E-5</c:v>
                  </c:pt>
                </c:numCache>
              </c:numRef>
            </c:plus>
            <c:minus>
              <c:numRef>
                <c:f>S!$M$8:$M$10</c:f>
                <c:numCache>
                  <c:formatCode>General</c:formatCode>
                  <c:ptCount val="3"/>
                  <c:pt idx="0">
                    <c:v>6.4402649398590767E-5</c:v>
                  </c:pt>
                  <c:pt idx="1">
                    <c:v>5.183627878423159E-5</c:v>
                  </c:pt>
                  <c:pt idx="2">
                    <c:v>4.0840704496667311E-5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S!$M$21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S!$M$21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S!$E$4:$E$6</c:f>
              <c:numCache>
                <c:formatCode>0.000000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S!$R$4:$R$6</c:f>
              <c:numCache>
                <c:formatCode>0.000</c:formatCode>
                <c:ptCount val="3"/>
                <c:pt idx="0">
                  <c:v>-3.9387270109949801E-2</c:v>
                </c:pt>
                <c:pt idx="1">
                  <c:v>9.5845536223970629E-2</c:v>
                </c:pt>
                <c:pt idx="2">
                  <c:v>-5.6458266114020272E-2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C9-45DD-AABD-7582DCE2A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S (m</a:t>
                </a:r>
                <a:r>
                  <a:rPr lang="pt-PT" sz="1400" baseline="30000"/>
                  <a:t>2</a:t>
                </a:r>
                <a:r>
                  <a:rPr lang="pt-PT" sz="140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07511824273602"/>
          <c:y val="0.18095000746525852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</a:t>
            </a:r>
            <a:r>
              <a:rPr lang="en-US" sz="1600" baseline="-25000"/>
              <a:t>E0</a:t>
            </a:r>
            <a:r>
              <a:rPr lang="en-US" sz="1600"/>
              <a:t> ao variar</a:t>
            </a:r>
            <a:r>
              <a:rPr lang="en-US" sz="1600" baseline="0"/>
              <a:t> </a:t>
            </a:r>
            <a:r>
              <a:rPr lang="el-GR" sz="1400" b="0" i="0" u="none" strike="noStrike" baseline="0">
                <a:effectLst/>
              </a:rPr>
              <a:t>θ</a:t>
            </a:r>
            <a:r>
              <a:rPr lang="en-US" sz="1600"/>
              <a:t> - Voltímetro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737973119279097"/>
          <c:y val="0.1380597279859789"/>
          <c:w val="0.79116938791133085"/>
          <c:h val="0.72239360380274042"/>
        </c:manualLayout>
      </c:layout>
      <c:scatterChart>
        <c:scatterStyle val="lineMarker"/>
        <c:varyColors val="0"/>
        <c:ser>
          <c:idx val="0"/>
          <c:order val="0"/>
          <c:tx>
            <c:v>V(n) - 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'cos(θ)'!$P$25:$P$31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-8.5122479223182154E-2</c:v>
                  </c:pt>
                  <c:pt idx="2">
                    <c:v>0.12933303715685526</c:v>
                  </c:pt>
                  <c:pt idx="3">
                    <c:v>-0.11138301089958536</c:v>
                  </c:pt>
                  <c:pt idx="4">
                    <c:v>3.9899616999619407E-2</c:v>
                  </c:pt>
                  <c:pt idx="5">
                    <c:v>5.0760497374970924E-2</c:v>
                  </c:pt>
                  <c:pt idx="6">
                    <c:v>-0.11702388961255408</c:v>
                  </c:pt>
                </c:numCache>
              </c:numRef>
            </c:plus>
            <c:minus>
              <c:numRef>
                <c:f>'cos(θ)'!$P$25:$P$31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-8.5122479223182154E-2</c:v>
                  </c:pt>
                  <c:pt idx="2">
                    <c:v>0.12933303715685526</c:v>
                  </c:pt>
                  <c:pt idx="3">
                    <c:v>-0.11138301089958536</c:v>
                  </c:pt>
                  <c:pt idx="4">
                    <c:v>3.9899616999619407E-2</c:v>
                  </c:pt>
                  <c:pt idx="5">
                    <c:v>5.0760497374970924E-2</c:v>
                  </c:pt>
                  <c:pt idx="6">
                    <c:v>-0.11702388961255408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'cos(θ)'!$P$17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'cos(θ)'!$P$17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'cos(θ)'!$E$4:$E$10</c:f>
              <c:numCache>
                <c:formatCode>0.0000</c:formatCode>
                <c:ptCount val="7"/>
                <c:pt idx="0">
                  <c:v>1</c:v>
                </c:pt>
                <c:pt idx="1">
                  <c:v>0.96592582628906831</c:v>
                </c:pt>
                <c:pt idx="2">
                  <c:v>0.86602540378443871</c:v>
                </c:pt>
                <c:pt idx="3">
                  <c:v>0.70710678118654757</c:v>
                </c:pt>
                <c:pt idx="4">
                  <c:v>0.50000000000000011</c:v>
                </c:pt>
                <c:pt idx="5">
                  <c:v>0.25881904510252074</c:v>
                </c:pt>
                <c:pt idx="6">
                  <c:v>0</c:v>
                </c:pt>
              </c:numCache>
            </c:numRef>
          </c:xVal>
          <c:yVal>
            <c:numRef>
              <c:f>'cos(θ)'!$L$4:$L$10</c:f>
              <c:numCache>
                <c:formatCode>0.0000</c:formatCode>
                <c:ptCount val="7"/>
                <c:pt idx="0">
                  <c:v>0.16730146442873717</c:v>
                </c:pt>
                <c:pt idx="1">
                  <c:v>0.16192745289171939</c:v>
                </c:pt>
                <c:pt idx="2">
                  <c:v>0.14453262607453032</c:v>
                </c:pt>
                <c:pt idx="3">
                  <c:v>0.11822825381439074</c:v>
                </c:pt>
                <c:pt idx="4">
                  <c:v>8.2872914755063379E-2</c:v>
                </c:pt>
                <c:pt idx="5">
                  <c:v>4.4547727214752496E-2</c:v>
                </c:pt>
                <c:pt idx="6">
                  <c:v>7.6084689655672522E-3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E0-4340-AA01-A651D64ED4F3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'cos(θ)'!$E$4:$E$10</c:f>
              <c:numCache>
                <c:formatCode>0.0000</c:formatCode>
                <c:ptCount val="7"/>
                <c:pt idx="0">
                  <c:v>1</c:v>
                </c:pt>
                <c:pt idx="1">
                  <c:v>0.96592582628906831</c:v>
                </c:pt>
                <c:pt idx="2">
                  <c:v>0.86602540378443871</c:v>
                </c:pt>
                <c:pt idx="3">
                  <c:v>0.70710678118654757</c:v>
                </c:pt>
                <c:pt idx="4">
                  <c:v>0.50000000000000011</c:v>
                </c:pt>
                <c:pt idx="5">
                  <c:v>0.25881904510252074</c:v>
                </c:pt>
                <c:pt idx="6">
                  <c:v>0</c:v>
                </c:pt>
              </c:numCache>
            </c:numRef>
          </c:xVal>
          <c:yVal>
            <c:numRef>
              <c:f>'cos(θ)'!$M$4:$M$10</c:f>
              <c:numCache>
                <c:formatCode>0.0000</c:formatCode>
                <c:ptCount val="7"/>
                <c:pt idx="0">
                  <c:v>0.16619688961248241</c:v>
                </c:pt>
                <c:pt idx="1">
                  <c:v>0.16069433345534684</c:v>
                </c:pt>
                <c:pt idx="2">
                  <c:v>0.14456165509264496</c:v>
                </c:pt>
                <c:pt idx="3">
                  <c:v>0.11889826989428329</c:v>
                </c:pt>
                <c:pt idx="4">
                  <c:v>8.5453095150780936E-2</c:v>
                </c:pt>
                <c:pt idx="5">
                  <c:v>4.6505364250143004E-2</c:v>
                </c:pt>
                <c:pt idx="6">
                  <c:v>4.7093006890794459E-3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E0-4340-AA01-A651D64ED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cos(</a:t>
                </a:r>
                <a:r>
                  <a:rPr lang="el-GR" sz="1400"/>
                  <a:t>θ)</a:t>
                </a:r>
                <a:r>
                  <a:rPr lang="pt-PT" sz="1400"/>
                  <a:t> (s.u.)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288684074473581"/>
          <c:y val="0.65370371824941131"/>
          <c:w val="0.27264419242734239"/>
          <c:h val="0.160176982882810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</a:t>
            </a:r>
            <a:r>
              <a:rPr lang="pt-PT" sz="1600" baseline="0"/>
              <a:t> Ve(</a:t>
            </a:r>
            <a:r>
              <a:rPr lang="el-GR" sz="1400" b="0" i="0" u="none" strike="noStrike" baseline="0">
                <a:effectLst/>
              </a:rPr>
              <a:t>θ</a:t>
            </a:r>
            <a:r>
              <a:rPr lang="pt-PT" sz="1600" baseline="0"/>
              <a:t>) </a:t>
            </a:r>
            <a:r>
              <a:rPr lang="en-US" sz="1600"/>
              <a:t>- Voltímetro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849072079264224"/>
          <c:y val="0.1380597279859789"/>
          <c:w val="0.7800583983114795"/>
          <c:h val="0.70340979796073566"/>
        </c:manualLayout>
      </c:layout>
      <c:scatterChart>
        <c:scatterStyle val="lineMarker"/>
        <c:varyColors val="0"/>
        <c:ser>
          <c:idx val="1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'cos(θ)'!$P$25:$P$31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-8.5122479223182154E-2</c:v>
                  </c:pt>
                  <c:pt idx="2">
                    <c:v>0.12933303715685526</c:v>
                  </c:pt>
                  <c:pt idx="3">
                    <c:v>-0.11138301089958536</c:v>
                  </c:pt>
                  <c:pt idx="4">
                    <c:v>3.9899616999619407E-2</c:v>
                  </c:pt>
                  <c:pt idx="5">
                    <c:v>5.0760497374970924E-2</c:v>
                  </c:pt>
                  <c:pt idx="6">
                    <c:v>-0.11702388961255408</c:v>
                  </c:pt>
                </c:numCache>
              </c:numRef>
            </c:plus>
            <c:minus>
              <c:numRef>
                <c:f>'cos(θ)'!$P$25:$P$31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-8.5122479223182154E-2</c:v>
                  </c:pt>
                  <c:pt idx="2">
                    <c:v>0.12933303715685526</c:v>
                  </c:pt>
                  <c:pt idx="3">
                    <c:v>-0.11138301089958536</c:v>
                  </c:pt>
                  <c:pt idx="4">
                    <c:v>3.9899616999619407E-2</c:v>
                  </c:pt>
                  <c:pt idx="5">
                    <c:v>5.0760497374970924E-2</c:v>
                  </c:pt>
                  <c:pt idx="6">
                    <c:v>-0.11702388961255408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'cos(θ)'!$P$17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'cos(θ)'!$P$17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'cos(θ)'!$E$4:$E$10</c:f>
              <c:numCache>
                <c:formatCode>0.0000</c:formatCode>
                <c:ptCount val="7"/>
                <c:pt idx="0">
                  <c:v>1</c:v>
                </c:pt>
                <c:pt idx="1">
                  <c:v>0.96592582628906831</c:v>
                </c:pt>
                <c:pt idx="2">
                  <c:v>0.86602540378443871</c:v>
                </c:pt>
                <c:pt idx="3">
                  <c:v>0.70710678118654757</c:v>
                </c:pt>
                <c:pt idx="4">
                  <c:v>0.50000000000000011</c:v>
                </c:pt>
                <c:pt idx="5">
                  <c:v>0.25881904510252074</c:v>
                </c:pt>
                <c:pt idx="6">
                  <c:v>0</c:v>
                </c:pt>
              </c:numCache>
            </c:numRef>
          </c:xVal>
          <c:yVal>
            <c:numRef>
              <c:f>'cos(θ)'!$N$4:$N$10</c:f>
              <c:numCache>
                <c:formatCode>0.0000</c:formatCode>
                <c:ptCount val="7"/>
                <c:pt idx="0">
                  <c:v>-1.1045748162547553E-3</c:v>
                </c:pt>
                <c:pt idx="1">
                  <c:v>-1.2331194363725539E-3</c:v>
                </c:pt>
                <c:pt idx="2">
                  <c:v>2.9029018114634653E-5</c:v>
                </c:pt>
                <c:pt idx="3">
                  <c:v>6.7001607989254641E-4</c:v>
                </c:pt>
                <c:pt idx="4">
                  <c:v>2.5801803957175573E-3</c:v>
                </c:pt>
                <c:pt idx="5">
                  <c:v>1.9576370353905082E-3</c:v>
                </c:pt>
                <c:pt idx="6">
                  <c:v>-2.8991682764878063E-3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CD-4BEB-A7E6-EE165B570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cos(</a:t>
                </a:r>
                <a:r>
                  <a:rPr lang="el-GR" sz="1400"/>
                  <a:t>θ) (</a:t>
                </a:r>
                <a:r>
                  <a:rPr lang="en-US" sz="1400"/>
                  <a:t>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2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</a:t>
                </a:r>
                <a:r>
                  <a:rPr lang="en-US" sz="1400" baseline="0"/>
                  <a:t>s de </a:t>
                </a: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1994510121280387E-2"/>
              <c:y val="0.25580574307955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964909929173086"/>
          <c:y val="0.14275319271606005"/>
          <c:w val="0.18309603899610052"/>
          <c:h val="0.1269553226593023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Ajuste V</a:t>
            </a:r>
            <a:r>
              <a:rPr lang="en-US" sz="1600" b="0" i="0" baseline="-25000">
                <a:effectLst/>
              </a:rPr>
              <a:t>E0</a:t>
            </a:r>
            <a:r>
              <a:rPr lang="en-US" sz="1600" b="0" i="0" baseline="0">
                <a:effectLst/>
              </a:rPr>
              <a:t> ao variar </a:t>
            </a:r>
            <a:r>
              <a:rPr lang="el-GR" sz="1400" b="0" i="0" u="none" strike="noStrike" baseline="0">
                <a:effectLst/>
              </a:rPr>
              <a:t>θ</a:t>
            </a:r>
            <a:r>
              <a:rPr lang="en-US" sz="1600" b="0" i="0" baseline="0">
                <a:effectLst/>
              </a:rPr>
              <a:t> -Osciloscópio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404328198954883"/>
          <c:y val="0.14280567944648007"/>
          <c:w val="0.77447008289786878"/>
          <c:h val="0.70296065532525764"/>
        </c:manualLayout>
      </c:layout>
      <c:scatterChart>
        <c:scatterStyle val="lineMarker"/>
        <c:varyColors val="0"/>
        <c:ser>
          <c:idx val="0"/>
          <c:order val="0"/>
          <c:tx>
            <c:v>V(n)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'cos(θ)'!$P$25:$P$31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-8.5122479223182154E-2</c:v>
                  </c:pt>
                  <c:pt idx="2">
                    <c:v>0.12933303715685526</c:v>
                  </c:pt>
                  <c:pt idx="3">
                    <c:v>-0.11138301089958536</c:v>
                  </c:pt>
                  <c:pt idx="4">
                    <c:v>3.9899616999619407E-2</c:v>
                  </c:pt>
                  <c:pt idx="5">
                    <c:v>5.0760497374970924E-2</c:v>
                  </c:pt>
                  <c:pt idx="6">
                    <c:v>-0.11702388961255408</c:v>
                  </c:pt>
                </c:numCache>
              </c:numRef>
            </c:plus>
            <c:minus>
              <c:numRef>
                <c:f>'cos(θ)'!$P$25:$P$31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-8.5122479223182154E-2</c:v>
                  </c:pt>
                  <c:pt idx="2">
                    <c:v>0.12933303715685526</c:v>
                  </c:pt>
                  <c:pt idx="3">
                    <c:v>-0.11138301089958536</c:v>
                  </c:pt>
                  <c:pt idx="4">
                    <c:v>3.9899616999619407E-2</c:v>
                  </c:pt>
                  <c:pt idx="5">
                    <c:v>5.0760497374970924E-2</c:v>
                  </c:pt>
                  <c:pt idx="6">
                    <c:v>-0.11702388961255408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'cos(θ)'!$P$19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'cos(θ)'!$P$19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'cos(θ)'!$E$4:$E$10</c:f>
              <c:numCache>
                <c:formatCode>0.0000</c:formatCode>
                <c:ptCount val="7"/>
                <c:pt idx="0">
                  <c:v>1</c:v>
                </c:pt>
                <c:pt idx="1">
                  <c:v>0.96592582628906831</c:v>
                </c:pt>
                <c:pt idx="2">
                  <c:v>0.86602540378443871</c:v>
                </c:pt>
                <c:pt idx="3">
                  <c:v>0.70710678118654757</c:v>
                </c:pt>
                <c:pt idx="4">
                  <c:v>0.50000000000000011</c:v>
                </c:pt>
                <c:pt idx="5">
                  <c:v>0.25881904510252074</c:v>
                </c:pt>
                <c:pt idx="6">
                  <c:v>0</c:v>
                </c:pt>
              </c:numCache>
            </c:numRef>
          </c:xVal>
          <c:yVal>
            <c:numRef>
              <c:f>'cos(θ)'!$P$4:$P$10</c:f>
              <c:numCache>
                <c:formatCode>0.0000</c:formatCode>
                <c:ptCount val="7"/>
                <c:pt idx="0">
                  <c:v>0.186</c:v>
                </c:pt>
                <c:pt idx="1">
                  <c:v>0.17</c:v>
                </c:pt>
                <c:pt idx="2">
                  <c:v>0.152</c:v>
                </c:pt>
                <c:pt idx="3">
                  <c:v>0.13400000000000001</c:v>
                </c:pt>
                <c:pt idx="4">
                  <c:v>9.8000000000000004E-2</c:v>
                </c:pt>
                <c:pt idx="5">
                  <c:v>6.2E-2</c:v>
                </c:pt>
                <c:pt idx="6">
                  <c:v>2.8000000000000001E-2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A4-4A9C-BC7F-276D90091687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'cos(θ)'!$E$4:$E$10</c:f>
              <c:numCache>
                <c:formatCode>0.0000</c:formatCode>
                <c:ptCount val="7"/>
                <c:pt idx="0">
                  <c:v>1</c:v>
                </c:pt>
                <c:pt idx="1">
                  <c:v>0.96592582628906831</c:v>
                </c:pt>
                <c:pt idx="2">
                  <c:v>0.86602540378443871</c:v>
                </c:pt>
                <c:pt idx="3">
                  <c:v>0.70710678118654757</c:v>
                </c:pt>
                <c:pt idx="4">
                  <c:v>0.50000000000000011</c:v>
                </c:pt>
                <c:pt idx="5">
                  <c:v>0.25881904510252074</c:v>
                </c:pt>
                <c:pt idx="6">
                  <c:v>0</c:v>
                </c:pt>
              </c:numCache>
            </c:numRef>
          </c:xVal>
          <c:yVal>
            <c:numRef>
              <c:f>'cos(θ)'!$Q$4:$Q$10</c:f>
              <c:numCache>
                <c:formatCode>0.0000</c:formatCode>
                <c:ptCount val="7"/>
                <c:pt idx="0">
                  <c:v>0.17775607118145115</c:v>
                </c:pt>
                <c:pt idx="1">
                  <c:v>0.17253178092980542</c:v>
                </c:pt>
                <c:pt idx="2">
                  <c:v>0.15721493692197008</c:v>
                </c:pt>
                <c:pt idx="3">
                  <c:v>0.13284935676479753</c:v>
                </c:pt>
                <c:pt idx="4">
                  <c:v>0.10109551447997407</c:v>
                </c:pt>
                <c:pt idx="5">
                  <c:v>6.4117381943504859E-2</c:v>
                </c:pt>
                <c:pt idx="6">
                  <c:v>2.4434957778496968E-2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A4-4A9C-BC7F-276D90091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cos(</a:t>
                </a:r>
                <a:r>
                  <a:rPr lang="el-GR" sz="1400" baseline="0"/>
                  <a:t>θ</a:t>
                </a:r>
                <a:r>
                  <a:rPr lang="pt-PT" sz="1400" baseline="0"/>
                  <a:t>) (s.u.)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0910836912806763E-2"/>
              <c:y val="0.421293631002153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At val="-1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310163764485096"/>
          <c:y val="0.68141862538922626"/>
          <c:w val="0.29109606522078135"/>
          <c:h val="0.157227345206658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el-GR" sz="1400" b="0" i="0" u="none" strike="noStrike" baseline="0">
                <a:effectLst/>
              </a:rPr>
              <a:t>θ</a:t>
            </a:r>
            <a:r>
              <a:rPr lang="pt-PT" sz="1600"/>
              <a:t>)</a:t>
            </a:r>
            <a:r>
              <a:rPr lang="en-US" sz="1600"/>
              <a:t>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404328198954883"/>
          <c:y val="0.1380597279859789"/>
          <c:w val="0.77447008289786878"/>
          <c:h val="0.69953784929536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'cos(θ)'!$P$25:$P$31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-8.5122479223182154E-2</c:v>
                  </c:pt>
                  <c:pt idx="2">
                    <c:v>0.12933303715685526</c:v>
                  </c:pt>
                  <c:pt idx="3">
                    <c:v>-0.11138301089958536</c:v>
                  </c:pt>
                  <c:pt idx="4">
                    <c:v>3.9899616999619407E-2</c:v>
                  </c:pt>
                  <c:pt idx="5">
                    <c:v>5.0760497374970924E-2</c:v>
                  </c:pt>
                  <c:pt idx="6">
                    <c:v>-0.11702388961255408</c:v>
                  </c:pt>
                </c:numCache>
              </c:numRef>
            </c:plus>
            <c:minus>
              <c:numRef>
                <c:f>'cos(θ)'!$P$25:$P$31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-8.5122479223182154E-2</c:v>
                  </c:pt>
                  <c:pt idx="2">
                    <c:v>0.12933303715685526</c:v>
                  </c:pt>
                  <c:pt idx="3">
                    <c:v>-0.11138301089958536</c:v>
                  </c:pt>
                  <c:pt idx="4">
                    <c:v>3.9899616999619407E-2</c:v>
                  </c:pt>
                  <c:pt idx="5">
                    <c:v>5.0760497374970924E-2</c:v>
                  </c:pt>
                  <c:pt idx="6">
                    <c:v>-0.11702388961255408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'cos(θ)'!$P$19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'cos(θ)'!$P$19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'cos(θ)'!$E$4:$E$10</c:f>
              <c:numCache>
                <c:formatCode>0.0000</c:formatCode>
                <c:ptCount val="7"/>
                <c:pt idx="0">
                  <c:v>1</c:v>
                </c:pt>
                <c:pt idx="1">
                  <c:v>0.96592582628906831</c:v>
                </c:pt>
                <c:pt idx="2">
                  <c:v>0.86602540378443871</c:v>
                </c:pt>
                <c:pt idx="3">
                  <c:v>0.70710678118654757</c:v>
                </c:pt>
                <c:pt idx="4">
                  <c:v>0.50000000000000011</c:v>
                </c:pt>
                <c:pt idx="5">
                  <c:v>0.25881904510252074</c:v>
                </c:pt>
                <c:pt idx="6">
                  <c:v>0</c:v>
                </c:pt>
              </c:numCache>
            </c:numRef>
          </c:xVal>
          <c:yVal>
            <c:numRef>
              <c:f>'cos(θ)'!$R$4:$R$8</c:f>
              <c:numCache>
                <c:formatCode>0.0000</c:formatCode>
                <c:ptCount val="5"/>
                <c:pt idx="0">
                  <c:v>8.2439288185488513E-3</c:v>
                </c:pt>
                <c:pt idx="1">
                  <c:v>-2.5317809298054106E-3</c:v>
                </c:pt>
                <c:pt idx="2">
                  <c:v>-5.214936921970087E-3</c:v>
                </c:pt>
                <c:pt idx="3">
                  <c:v>1.1506432352024754E-3</c:v>
                </c:pt>
                <c:pt idx="4">
                  <c:v>-3.095514479974068E-3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92-4E86-9F5B-566E3CA82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u="none" strike="noStrike" baseline="0">
                    <a:effectLst/>
                  </a:rPr>
                  <a:t>cos(</a:t>
                </a:r>
                <a:r>
                  <a:rPr lang="el-GR" sz="1400" b="0" i="0" u="none" strike="noStrike" baseline="0">
                    <a:effectLst/>
                  </a:rPr>
                  <a:t>θ) (</a:t>
                </a:r>
                <a:r>
                  <a:rPr lang="pt-PT" sz="1400" b="0" i="0" u="none" strike="noStrike" baseline="0">
                    <a:effectLst/>
                  </a:rPr>
                  <a:t>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2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7445268255314494E-2"/>
              <c:y val="0.253869957039956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319591803233838"/>
          <c:y val="0.14691462902548533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13" Type="http://schemas.openxmlformats.org/officeDocument/2006/relationships/chart" Target="../charts/chart19.xml"/><Relationship Id="rId18" Type="http://schemas.openxmlformats.org/officeDocument/2006/relationships/chart" Target="../charts/chart2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12" Type="http://schemas.openxmlformats.org/officeDocument/2006/relationships/chart" Target="../charts/chart18.xml"/><Relationship Id="rId17" Type="http://schemas.openxmlformats.org/officeDocument/2006/relationships/chart" Target="../charts/chart23.xml"/><Relationship Id="rId2" Type="http://schemas.openxmlformats.org/officeDocument/2006/relationships/chart" Target="../charts/chart8.xml"/><Relationship Id="rId16" Type="http://schemas.openxmlformats.org/officeDocument/2006/relationships/chart" Target="../charts/chart22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11" Type="http://schemas.openxmlformats.org/officeDocument/2006/relationships/chart" Target="../charts/chart17.xml"/><Relationship Id="rId5" Type="http://schemas.openxmlformats.org/officeDocument/2006/relationships/chart" Target="../charts/chart11.xml"/><Relationship Id="rId15" Type="http://schemas.openxmlformats.org/officeDocument/2006/relationships/chart" Target="../charts/chart21.xml"/><Relationship Id="rId10" Type="http://schemas.openxmlformats.org/officeDocument/2006/relationships/chart" Target="../charts/chart16.xml"/><Relationship Id="rId19" Type="http://schemas.openxmlformats.org/officeDocument/2006/relationships/chart" Target="../charts/chart25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Relationship Id="rId14" Type="http://schemas.openxmlformats.org/officeDocument/2006/relationships/chart" Target="../charts/chart2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4" Type="http://schemas.openxmlformats.org/officeDocument/2006/relationships/chart" Target="../charts/chart2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4" Type="http://schemas.openxmlformats.org/officeDocument/2006/relationships/chart" Target="../charts/chart3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4" Type="http://schemas.openxmlformats.org/officeDocument/2006/relationships/chart" Target="../charts/chart3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606014</xdr:colOff>
      <xdr:row>10</xdr:row>
      <xdr:rowOff>4482</xdr:rowOff>
    </xdr:from>
    <xdr:to>
      <xdr:col>21</xdr:col>
      <xdr:colOff>161564</xdr:colOff>
      <xdr:row>25</xdr:row>
      <xdr:rowOff>26982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6D945E-7288-36B0-C2BE-5E75409D7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853664</xdr:colOff>
      <xdr:row>10</xdr:row>
      <xdr:rowOff>4481</xdr:rowOff>
    </xdr:from>
    <xdr:to>
      <xdr:col>31</xdr:col>
      <xdr:colOff>409214</xdr:colOff>
      <xdr:row>25</xdr:row>
      <xdr:rowOff>26981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7049B5-B191-4D2B-868D-F53B49E79B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26</xdr:row>
      <xdr:rowOff>2466</xdr:rowOff>
    </xdr:from>
    <xdr:to>
      <xdr:col>21</xdr:col>
      <xdr:colOff>165150</xdr:colOff>
      <xdr:row>41</xdr:row>
      <xdr:rowOff>13761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4C4CAA-4474-4BC0-A6A0-3E8E44DBDF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850527</xdr:colOff>
      <xdr:row>26</xdr:row>
      <xdr:rowOff>4482</xdr:rowOff>
    </xdr:from>
    <xdr:to>
      <xdr:col>31</xdr:col>
      <xdr:colOff>406077</xdr:colOff>
      <xdr:row>41</xdr:row>
      <xdr:rowOff>26983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99B06B3-1A23-4A97-AAB9-39F5D40DFD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605117</xdr:colOff>
      <xdr:row>30</xdr:row>
      <xdr:rowOff>0</xdr:rowOff>
    </xdr:from>
    <xdr:to>
      <xdr:col>8</xdr:col>
      <xdr:colOff>201488</xdr:colOff>
      <xdr:row>45</xdr:row>
      <xdr:rowOff>104142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64BC0D-6CBA-C3F7-28FD-FD0BD1CB2D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47</xdr:row>
      <xdr:rowOff>0</xdr:rowOff>
    </xdr:from>
    <xdr:to>
      <xdr:col>8</xdr:col>
      <xdr:colOff>205971</xdr:colOff>
      <xdr:row>62</xdr:row>
      <xdr:rowOff>104143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EAFE5E0-DA2F-42DA-BB89-27221A57A7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609598</xdr:colOff>
      <xdr:row>5</xdr:row>
      <xdr:rowOff>178652</xdr:rowOff>
    </xdr:from>
    <xdr:to>
      <xdr:col>23</xdr:col>
      <xdr:colOff>412798</xdr:colOff>
      <xdr:row>21</xdr:row>
      <xdr:rowOff>97738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F3975F-8FA5-49AA-A75A-7DC4227EA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670236</xdr:colOff>
      <xdr:row>6</xdr:row>
      <xdr:rowOff>4480</xdr:rowOff>
    </xdr:from>
    <xdr:to>
      <xdr:col>33</xdr:col>
      <xdr:colOff>598713</xdr:colOff>
      <xdr:row>21</xdr:row>
      <xdr:rowOff>108623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DB5CC7-9165-42EC-8EE5-6F17FBF601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609599</xdr:colOff>
      <xdr:row>25</xdr:row>
      <xdr:rowOff>0</xdr:rowOff>
    </xdr:from>
    <xdr:to>
      <xdr:col>23</xdr:col>
      <xdr:colOff>412799</xdr:colOff>
      <xdr:row>40</xdr:row>
      <xdr:rowOff>104143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B53889-C33E-4EC0-82F9-5324F6C096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5120</xdr:colOff>
      <xdr:row>24</xdr:row>
      <xdr:rowOff>183135</xdr:rowOff>
    </xdr:from>
    <xdr:to>
      <xdr:col>33</xdr:col>
      <xdr:colOff>407035</xdr:colOff>
      <xdr:row>40</xdr:row>
      <xdr:rowOff>102221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01E0F9-44FA-4859-B850-5466E527ED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55</xdr:col>
      <xdr:colOff>895</xdr:colOff>
      <xdr:row>6</xdr:row>
      <xdr:rowOff>1120</xdr:rowOff>
    </xdr:from>
    <xdr:to>
      <xdr:col>62</xdr:col>
      <xdr:colOff>413695</xdr:colOff>
      <xdr:row>21</xdr:row>
      <xdr:rowOff>105263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B8325B-1155-4950-9806-E05D563F09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63</xdr:col>
      <xdr:colOff>606011</xdr:colOff>
      <xdr:row>5</xdr:row>
      <xdr:rowOff>161365</xdr:rowOff>
    </xdr:from>
    <xdr:to>
      <xdr:col>71</xdr:col>
      <xdr:colOff>409211</xdr:colOff>
      <xdr:row>21</xdr:row>
      <xdr:rowOff>80451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8D000E0-6402-4AA2-A5A5-0B3ECDC3E5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55</xdr:col>
      <xdr:colOff>0</xdr:colOff>
      <xdr:row>24</xdr:row>
      <xdr:rowOff>179293</xdr:rowOff>
    </xdr:from>
    <xdr:to>
      <xdr:col>62</xdr:col>
      <xdr:colOff>412800</xdr:colOff>
      <xdr:row>40</xdr:row>
      <xdr:rowOff>98379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9AD321A-278F-448E-BA3B-56F0C574A5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63</xdr:col>
      <xdr:colOff>609598</xdr:colOff>
      <xdr:row>24</xdr:row>
      <xdr:rowOff>179293</xdr:rowOff>
    </xdr:from>
    <xdr:to>
      <xdr:col>71</xdr:col>
      <xdr:colOff>412798</xdr:colOff>
      <xdr:row>40</xdr:row>
      <xdr:rowOff>98379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588712F-7DAF-4EBB-A6FA-E4596B63BD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55</xdr:col>
      <xdr:colOff>1854</xdr:colOff>
      <xdr:row>63</xdr:row>
      <xdr:rowOff>4483</xdr:rowOff>
    </xdr:from>
    <xdr:to>
      <xdr:col>62</xdr:col>
      <xdr:colOff>409212</xdr:colOff>
      <xdr:row>78</xdr:row>
      <xdr:rowOff>108626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A7BA6C9A-9C2A-4B8C-8632-8D3058C73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63</xdr:col>
      <xdr:colOff>297070</xdr:colOff>
      <xdr:row>62</xdr:row>
      <xdr:rowOff>149966</xdr:rowOff>
    </xdr:from>
    <xdr:to>
      <xdr:col>71</xdr:col>
      <xdr:colOff>119320</xdr:colOff>
      <xdr:row>78</xdr:row>
      <xdr:rowOff>69052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FEBC4880-29A8-43AE-AB88-EDF9A28C2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54</xdr:col>
      <xdr:colOff>609599</xdr:colOff>
      <xdr:row>82</xdr:row>
      <xdr:rowOff>0</xdr:rowOff>
    </xdr:from>
    <xdr:to>
      <xdr:col>62</xdr:col>
      <xdr:colOff>412799</xdr:colOff>
      <xdr:row>97</xdr:row>
      <xdr:rowOff>71486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8576159E-A865-4211-9D77-AE08141C88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63</xdr:col>
      <xdr:colOff>609599</xdr:colOff>
      <xdr:row>81</xdr:row>
      <xdr:rowOff>179293</xdr:rowOff>
    </xdr:from>
    <xdr:to>
      <xdr:col>71</xdr:col>
      <xdr:colOff>412799</xdr:colOff>
      <xdr:row>97</xdr:row>
      <xdr:rowOff>65722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E79DD553-E915-4A37-9B9F-6D6F5BFBC6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42583</xdr:colOff>
      <xdr:row>66</xdr:row>
      <xdr:rowOff>185056</xdr:rowOff>
    </xdr:from>
    <xdr:to>
      <xdr:col>15</xdr:col>
      <xdr:colOff>138633</xdr:colOff>
      <xdr:row>86</xdr:row>
      <xdr:rowOff>17928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8C45F0D3-CDFA-C6E2-27D2-B244F01AB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17</xdr:col>
      <xdr:colOff>1</xdr:colOff>
      <xdr:row>67</xdr:row>
      <xdr:rowOff>1</xdr:rowOff>
    </xdr:from>
    <xdr:to>
      <xdr:col>28</xdr:col>
      <xdr:colOff>8964</xdr:colOff>
      <xdr:row>86</xdr:row>
      <xdr:rowOff>17930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266EDA8C-C1A6-45B2-9E1D-6C4691ECD8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17</xdr:col>
      <xdr:colOff>0</xdr:colOff>
      <xdr:row>114</xdr:row>
      <xdr:rowOff>190498</xdr:rowOff>
    </xdr:from>
    <xdr:to>
      <xdr:col>25</xdr:col>
      <xdr:colOff>163200</xdr:colOff>
      <xdr:row>132</xdr:row>
      <xdr:rowOff>123824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75F54F3C-3423-45FF-8627-3BB1E082B8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26</xdr:col>
      <xdr:colOff>620484</xdr:colOff>
      <xdr:row>114</xdr:row>
      <xdr:rowOff>185053</xdr:rowOff>
    </xdr:from>
    <xdr:to>
      <xdr:col>35</xdr:col>
      <xdr:colOff>163199</xdr:colOff>
      <xdr:row>132</xdr:row>
      <xdr:rowOff>94024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A33DF795-CB59-47E4-8160-73FAB6F231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17</xdr:col>
      <xdr:colOff>0</xdr:colOff>
      <xdr:row>95</xdr:row>
      <xdr:rowOff>185056</xdr:rowOff>
    </xdr:from>
    <xdr:to>
      <xdr:col>25</xdr:col>
      <xdr:colOff>163200</xdr:colOff>
      <xdr:row>113</xdr:row>
      <xdr:rowOff>94028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8AA5C2B8-3215-444F-9455-5154E38233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26</xdr:col>
      <xdr:colOff>620484</xdr:colOff>
      <xdr:row>95</xdr:row>
      <xdr:rowOff>185054</xdr:rowOff>
    </xdr:from>
    <xdr:to>
      <xdr:col>35</xdr:col>
      <xdr:colOff>163199</xdr:colOff>
      <xdr:row>113</xdr:row>
      <xdr:rowOff>94026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EA8FB18F-985B-4802-BF15-525CC411EE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53</xdr:col>
      <xdr:colOff>0</xdr:colOff>
      <xdr:row>116</xdr:row>
      <xdr:rowOff>0</xdr:rowOff>
    </xdr:from>
    <xdr:to>
      <xdr:col>60</xdr:col>
      <xdr:colOff>303942</xdr:colOff>
      <xdr:row>131</xdr:row>
      <xdr:rowOff>104143</xdr:rowOff>
    </xdr:to>
    <xdr:graphicFrame macro="">
      <xdr:nvGraphicFramePr>
        <xdr:cNvPr id="10" name="Chart 5">
          <a:extLst>
            <a:ext uri="{FF2B5EF4-FFF2-40B4-BE49-F238E27FC236}">
              <a16:creationId xmlns:a16="http://schemas.microsoft.com/office/drawing/2014/main" id="{F2C4B453-688B-49A8-8311-6A484088A4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7</xdr:row>
      <xdr:rowOff>-1</xdr:rowOff>
    </xdr:from>
    <xdr:to>
      <xdr:col>24</xdr:col>
      <xdr:colOff>203250</xdr:colOff>
      <xdr:row>22</xdr:row>
      <xdr:rowOff>22499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ED9E40-E6B4-4EBA-9A23-2C45C2D8CE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22</xdr:row>
      <xdr:rowOff>190499</xdr:rowOff>
    </xdr:from>
    <xdr:to>
      <xdr:col>24</xdr:col>
      <xdr:colOff>203250</xdr:colOff>
      <xdr:row>38</xdr:row>
      <xdr:rowOff>22499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6785C2-BC5F-4B79-ABAA-2A385962BC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606014</xdr:colOff>
      <xdr:row>7</xdr:row>
      <xdr:rowOff>4481</xdr:rowOff>
    </xdr:from>
    <xdr:to>
      <xdr:col>32</xdr:col>
      <xdr:colOff>409214</xdr:colOff>
      <xdr:row>22</xdr:row>
      <xdr:rowOff>26981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7A092C-4227-4758-AB55-1F2BD2EF4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1120</xdr:colOff>
      <xdr:row>23</xdr:row>
      <xdr:rowOff>-1</xdr:rowOff>
    </xdr:from>
    <xdr:to>
      <xdr:col>32</xdr:col>
      <xdr:colOff>413920</xdr:colOff>
      <xdr:row>38</xdr:row>
      <xdr:rowOff>22499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CE0FF84-9F37-4A0E-8299-E06A41326D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550433</xdr:colOff>
      <xdr:row>11</xdr:row>
      <xdr:rowOff>179295</xdr:rowOff>
    </xdr:from>
    <xdr:to>
      <xdr:col>9</xdr:col>
      <xdr:colOff>100380</xdr:colOff>
      <xdr:row>28</xdr:row>
      <xdr:rowOff>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31956B-43F8-4550-A338-5E5AE67576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29</xdr:row>
      <xdr:rowOff>16583</xdr:rowOff>
    </xdr:from>
    <xdr:to>
      <xdr:col>9</xdr:col>
      <xdr:colOff>152822</xdr:colOff>
      <xdr:row>45</xdr:row>
      <xdr:rowOff>27877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9B7F77-6BEB-45A0-A6DF-71BD1A3F1E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11654</xdr:colOff>
      <xdr:row>11</xdr:row>
      <xdr:rowOff>174811</xdr:rowOff>
    </xdr:from>
    <xdr:to>
      <xdr:col>22</xdr:col>
      <xdr:colOff>424454</xdr:colOff>
      <xdr:row>28</xdr:row>
      <xdr:rowOff>6811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A1419B-4908-4C74-AC00-229448E816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8965</xdr:colOff>
      <xdr:row>29</xdr:row>
      <xdr:rowOff>13893</xdr:rowOff>
    </xdr:from>
    <xdr:to>
      <xdr:col>22</xdr:col>
      <xdr:colOff>421765</xdr:colOff>
      <xdr:row>45</xdr:row>
      <xdr:rowOff>25187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786814-63FC-4DF9-8C48-EEB110C3A0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7</xdr:row>
      <xdr:rowOff>0</xdr:rowOff>
    </xdr:from>
    <xdr:to>
      <xdr:col>26</xdr:col>
      <xdr:colOff>438200</xdr:colOff>
      <xdr:row>23</xdr:row>
      <xdr:rowOff>35200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62242F-126A-4628-B566-0793A68C48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24</xdr:row>
      <xdr:rowOff>177799</xdr:rowOff>
    </xdr:from>
    <xdr:to>
      <xdr:col>26</xdr:col>
      <xdr:colOff>438200</xdr:colOff>
      <xdr:row>41</xdr:row>
      <xdr:rowOff>35199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48ABC1-F293-4E20-B165-6F5D0A7F85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1494</xdr:colOff>
      <xdr:row>7</xdr:row>
      <xdr:rowOff>4482</xdr:rowOff>
    </xdr:from>
    <xdr:to>
      <xdr:col>35</xdr:col>
      <xdr:colOff>503194</xdr:colOff>
      <xdr:row>23</xdr:row>
      <xdr:rowOff>39682</xdr:rowOff>
    </xdr:to>
    <xdr:graphicFrame macro="">
      <xdr:nvGraphicFramePr>
        <xdr:cNvPr id="4" name="Chart 5">
          <a:extLst>
            <a:ext uri="{FF2B5EF4-FFF2-40B4-BE49-F238E27FC236}">
              <a16:creationId xmlns:a16="http://schemas.microsoft.com/office/drawing/2014/main" id="{CAF0E2F4-FC1B-4052-BA52-B763884DBA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0</xdr:colOff>
      <xdr:row>24</xdr:row>
      <xdr:rowOff>177799</xdr:rowOff>
    </xdr:from>
    <xdr:to>
      <xdr:col>35</xdr:col>
      <xdr:colOff>501700</xdr:colOff>
      <xdr:row>41</xdr:row>
      <xdr:rowOff>35199</xdr:rowOff>
    </xdr:to>
    <xdr:graphicFrame macro="">
      <xdr:nvGraphicFramePr>
        <xdr:cNvPr id="5" name="Chart 6">
          <a:extLst>
            <a:ext uri="{FF2B5EF4-FFF2-40B4-BE49-F238E27FC236}">
              <a16:creationId xmlns:a16="http://schemas.microsoft.com/office/drawing/2014/main" id="{4C586923-1600-4973-9A61-DA8A9362DA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9C25F-00BB-4ECF-9C7F-B0F2A570EA5E}">
  <sheetPr>
    <tabColor rgb="FFFF7C80"/>
  </sheetPr>
  <dimension ref="B2:AB70"/>
  <sheetViews>
    <sheetView zoomScale="40" zoomScaleNormal="40" workbookViewId="0">
      <selection activeCell="AB65" sqref="AB65"/>
    </sheetView>
  </sheetViews>
  <sheetFormatPr defaultColWidth="8.85546875" defaultRowHeight="15" x14ac:dyDescent="0.25"/>
  <cols>
    <col min="1" max="1" width="8.85546875" style="2"/>
    <col min="2" max="2" width="9.42578125" style="2" customWidth="1"/>
    <col min="3" max="3" width="10.42578125" style="2" bestFit="1" customWidth="1"/>
    <col min="4" max="4" width="13.42578125" style="2" bestFit="1" customWidth="1"/>
    <col min="5" max="5" width="12.85546875" style="2" bestFit="1" customWidth="1"/>
    <col min="6" max="6" width="15.140625" style="2" bestFit="1" customWidth="1"/>
    <col min="7" max="7" width="14.140625" style="2" bestFit="1" customWidth="1"/>
    <col min="8" max="9" width="8.85546875" style="2"/>
    <col min="10" max="10" width="14.7109375" style="2" bestFit="1" customWidth="1"/>
    <col min="11" max="11" width="13.85546875" style="2" bestFit="1" customWidth="1"/>
    <col min="12" max="12" width="9.28515625" style="2" bestFit="1" customWidth="1"/>
    <col min="13" max="13" width="9.85546875" style="2" bestFit="1" customWidth="1"/>
    <col min="14" max="15" width="8.85546875" style="2"/>
    <col min="16" max="16" width="11.28515625" style="2" customWidth="1"/>
    <col min="17" max="17" width="12" style="2" bestFit="1" customWidth="1"/>
    <col min="18" max="19" width="8.85546875" style="2"/>
    <col min="20" max="20" width="12" style="2" bestFit="1" customWidth="1"/>
    <col min="21" max="23" width="8.85546875" style="2"/>
    <col min="24" max="24" width="8.140625" style="2" customWidth="1"/>
    <col min="25" max="25" width="9" style="2" bestFit="1" customWidth="1"/>
    <col min="26" max="26" width="13.140625" style="2" bestFit="1" customWidth="1"/>
    <col min="27" max="27" width="10.42578125" style="2" bestFit="1" customWidth="1"/>
    <col min="28" max="16384" width="8.85546875" style="2"/>
  </cols>
  <sheetData>
    <row r="2" spans="2:28" ht="18" x14ac:dyDescent="0.25">
      <c r="B2" s="3" t="s">
        <v>16</v>
      </c>
      <c r="C2" s="1">
        <v>1E-3</v>
      </c>
      <c r="E2" s="3" t="s">
        <v>15</v>
      </c>
      <c r="F2" s="1">
        <v>0</v>
      </c>
      <c r="H2" s="3" t="s">
        <v>18</v>
      </c>
      <c r="I2" s="1">
        <v>1</v>
      </c>
      <c r="K2" s="48" t="s">
        <v>62</v>
      </c>
      <c r="L2" s="48"/>
      <c r="M2" s="1">
        <v>1E-4</v>
      </c>
      <c r="O2" s="48" t="s">
        <v>68</v>
      </c>
      <c r="P2" s="48"/>
      <c r="Q2" s="38">
        <f>M2*SQRT(2)</f>
        <v>1.4142135623730951E-4</v>
      </c>
      <c r="S2" s="3" t="s">
        <v>65</v>
      </c>
      <c r="T2" s="1">
        <v>1E-3</v>
      </c>
    </row>
    <row r="3" spans="2:28" x14ac:dyDescent="0.25">
      <c r="B3" s="3" t="s">
        <v>61</v>
      </c>
      <c r="C3" s="12">
        <f xml:space="preserve"> 2 * PI() * I2</f>
        <v>6.2831853071795862</v>
      </c>
      <c r="D3" s="2">
        <v>6</v>
      </c>
      <c r="O3" s="48" t="s">
        <v>64</v>
      </c>
      <c r="P3" s="48"/>
      <c r="Q3" s="1">
        <v>1E-4</v>
      </c>
      <c r="S3" s="3" t="s">
        <v>66</v>
      </c>
      <c r="T3" s="1">
        <f>T2*SQRT(2)</f>
        <v>1.4142135623730952E-3</v>
      </c>
    </row>
    <row r="4" spans="2:28" ht="18" x14ac:dyDescent="0.25">
      <c r="F4" s="49" t="s">
        <v>13</v>
      </c>
      <c r="G4" s="49"/>
      <c r="H4" s="49"/>
      <c r="I4" s="49"/>
      <c r="J4" s="50" t="s">
        <v>14</v>
      </c>
      <c r="K4" s="51"/>
      <c r="L4" s="51"/>
      <c r="M4" s="52"/>
      <c r="O4" s="48" t="s">
        <v>63</v>
      </c>
      <c r="P4" s="48"/>
      <c r="Q4" s="29">
        <f>Q3*SQRT(2)</f>
        <v>1.4142135623730951E-4</v>
      </c>
    </row>
    <row r="5" spans="2:28" ht="18" x14ac:dyDescent="0.25">
      <c r="B5" s="3" t="str">
        <f>"(f ± "&amp;I2&amp;" ) Hz"</f>
        <v>(f ± 1 ) Hz</v>
      </c>
      <c r="C5" s="3" t="s">
        <v>77</v>
      </c>
      <c r="D5" s="3" t="s">
        <v>78</v>
      </c>
      <c r="E5" s="3" t="s">
        <v>79</v>
      </c>
      <c r="F5" s="3" t="s">
        <v>86</v>
      </c>
      <c r="G5" s="3" t="s">
        <v>80</v>
      </c>
      <c r="H5" s="3" t="s">
        <v>0</v>
      </c>
      <c r="I5" s="3" t="s">
        <v>1</v>
      </c>
      <c r="J5" s="3" t="s">
        <v>81</v>
      </c>
      <c r="K5" s="3" t="s">
        <v>82</v>
      </c>
      <c r="L5" s="3" t="s">
        <v>0</v>
      </c>
      <c r="M5" s="3" t="s">
        <v>1</v>
      </c>
    </row>
    <row r="6" spans="2:28" ht="18" x14ac:dyDescent="0.25">
      <c r="B6" s="1">
        <v>499</v>
      </c>
      <c r="C6" s="12">
        <f t="shared" ref="C6:C29" si="0">2*PI()*B6</f>
        <v>3135.3094682826136</v>
      </c>
      <c r="D6" s="1">
        <v>0.40300000000000002</v>
      </c>
      <c r="E6" s="10">
        <f>D6*SQRT(2)</f>
        <v>0.56992806563635734</v>
      </c>
      <c r="F6" s="10">
        <v>0.27650000000000002</v>
      </c>
      <c r="G6" s="10">
        <f>F6*SQRT(2)</f>
        <v>0.39103004999616087</v>
      </c>
      <c r="H6" s="10">
        <f t="shared" ref="H6:H29" si="1">C6*P$7+Q$7</f>
        <v>0.39424346077034866</v>
      </c>
      <c r="I6" s="10">
        <f>G6-H6</f>
        <v>-3.2134107741877971E-3</v>
      </c>
      <c r="J6" s="10">
        <v>0.28000000000000003</v>
      </c>
      <c r="K6" s="10">
        <f>J6*SQRT(2)</f>
        <v>0.39597979746446665</v>
      </c>
      <c r="L6" s="10">
        <f t="shared" ref="L6:L29" si="2">C6*Z$7+AA$7</f>
        <v>0.39947854751339418</v>
      </c>
      <c r="M6" s="10">
        <f>K6-L6</f>
        <v>-3.4987500489275236E-3</v>
      </c>
      <c r="O6" s="48" t="s">
        <v>48</v>
      </c>
      <c r="P6" s="48"/>
      <c r="Q6" s="48"/>
      <c r="R6" s="48"/>
      <c r="Y6" s="48" t="s">
        <v>49</v>
      </c>
      <c r="Z6" s="48"/>
      <c r="AA6" s="48"/>
      <c r="AB6" s="48"/>
    </row>
    <row r="7" spans="2:28" x14ac:dyDescent="0.25">
      <c r="B7" s="1">
        <v>552</v>
      </c>
      <c r="C7" s="12">
        <f t="shared" si="0"/>
        <v>3468.3182895631317</v>
      </c>
      <c r="D7" s="1">
        <v>0.40400000000000003</v>
      </c>
      <c r="E7" s="10">
        <f t="shared" ref="E7:E29" si="3">D7*SQRT(2)</f>
        <v>0.57134227919873048</v>
      </c>
      <c r="F7" s="10">
        <v>0.30619999999999997</v>
      </c>
      <c r="G7" s="10">
        <f t="shared" ref="G7:G29" si="4">F7*SQRT(2)</f>
        <v>0.43303219279864169</v>
      </c>
      <c r="H7" s="10">
        <f t="shared" si="1"/>
        <v>0.43415834946854892</v>
      </c>
      <c r="I7" s="10">
        <f t="shared" ref="I7:I29" si="5">G7-H7</f>
        <v>-1.1261566699072301E-3</v>
      </c>
      <c r="J7" s="10">
        <v>0.31</v>
      </c>
      <c r="K7" s="10">
        <f t="shared" ref="K7:K29" si="6">J7*SQRT(2)</f>
        <v>0.43840620433565947</v>
      </c>
      <c r="L7" s="10">
        <f t="shared" si="2"/>
        <v>0.43970621256448528</v>
      </c>
      <c r="M7" s="10">
        <f t="shared" ref="M7:M29" si="7">K7-L7</f>
        <v>-1.3000082288258108E-3</v>
      </c>
      <c r="O7" s="4" t="s">
        <v>3</v>
      </c>
      <c r="P7" s="30">
        <f t="array" ref="P7:Q9">LINEST(G6:G29,C6:C29,1,1)</f>
        <v>1.1986135545813963E-4</v>
      </c>
      <c r="Q7" s="30">
        <v>1.8441018121255537E-2</v>
      </c>
      <c r="R7" s="4" t="s">
        <v>5</v>
      </c>
      <c r="Y7" s="4" t="s">
        <v>3</v>
      </c>
      <c r="Z7" s="30">
        <f t="array" ref="Z7:AA9">LINEST(K6:K29,C6:C29,1,1)</f>
        <v>1.208005989042684E-4</v>
      </c>
      <c r="AA7" s="30">
        <v>2.0731285994631143E-2</v>
      </c>
      <c r="AB7" s="4" t="s">
        <v>5</v>
      </c>
    </row>
    <row r="8" spans="2:28" x14ac:dyDescent="0.25">
      <c r="B8" s="1">
        <v>600</v>
      </c>
      <c r="C8" s="12">
        <f t="shared" si="0"/>
        <v>3769.9111843077517</v>
      </c>
      <c r="D8" s="1">
        <v>0.40799999999999997</v>
      </c>
      <c r="E8" s="10">
        <f t="shared" si="3"/>
        <v>0.57699913344822273</v>
      </c>
      <c r="F8" s="10">
        <v>0.33529999999999999</v>
      </c>
      <c r="G8" s="10">
        <f t="shared" si="4"/>
        <v>0.47418580746369876</v>
      </c>
      <c r="H8" s="10">
        <f t="shared" si="1"/>
        <v>0.4703076826291831</v>
      </c>
      <c r="I8" s="10">
        <f t="shared" si="5"/>
        <v>3.8781248345156616E-3</v>
      </c>
      <c r="J8" s="10">
        <v>0.34</v>
      </c>
      <c r="K8" s="10">
        <f t="shared" si="6"/>
        <v>0.48083261120685239</v>
      </c>
      <c r="L8" s="10">
        <f t="shared" si="2"/>
        <v>0.47613881487490733</v>
      </c>
      <c r="M8" s="10">
        <f t="shared" si="7"/>
        <v>4.6937963319450549E-3</v>
      </c>
      <c r="O8" s="4" t="s">
        <v>2</v>
      </c>
      <c r="P8" s="30">
        <v>4.6971483995484586E-7</v>
      </c>
      <c r="Q8" s="30">
        <v>3.3328483633934037E-3</v>
      </c>
      <c r="R8" s="4" t="s">
        <v>6</v>
      </c>
      <c r="Y8" s="4" t="s">
        <v>2</v>
      </c>
      <c r="Z8" s="30">
        <v>4.6062798044099605E-7</v>
      </c>
      <c r="AA8" s="30">
        <v>3.2683728086886992E-3</v>
      </c>
      <c r="AB8" s="4" t="s">
        <v>6</v>
      </c>
    </row>
    <row r="9" spans="2:28" x14ac:dyDescent="0.25">
      <c r="B9" s="1">
        <v>646</v>
      </c>
      <c r="C9" s="12">
        <f t="shared" si="0"/>
        <v>4058.9377084380126</v>
      </c>
      <c r="D9" s="1">
        <v>0.40100000000000002</v>
      </c>
      <c r="E9" s="10">
        <f t="shared" si="3"/>
        <v>0.56709963851161116</v>
      </c>
      <c r="F9" s="10">
        <v>0.35449999999999998</v>
      </c>
      <c r="G9" s="10">
        <f t="shared" si="4"/>
        <v>0.50133870786126222</v>
      </c>
      <c r="H9" s="10">
        <f t="shared" si="1"/>
        <v>0.50495079357479089</v>
      </c>
      <c r="I9" s="10">
        <f t="shared" si="5"/>
        <v>-3.6120857135286677E-3</v>
      </c>
      <c r="J9" s="10">
        <v>0.35899999999999999</v>
      </c>
      <c r="K9" s="10">
        <f t="shared" si="6"/>
        <v>0.50770266889194116</v>
      </c>
      <c r="L9" s="10">
        <f t="shared" si="2"/>
        <v>0.51105339208906186</v>
      </c>
      <c r="M9" s="10">
        <f t="shared" si="7"/>
        <v>-3.3507231971207085E-3</v>
      </c>
      <c r="O9" s="4" t="s">
        <v>4</v>
      </c>
      <c r="P9" s="30">
        <v>0.99966225714554147</v>
      </c>
      <c r="Q9" s="30">
        <v>5.0142452239357828E-3</v>
      </c>
      <c r="R9" s="4" t="s">
        <v>7</v>
      </c>
      <c r="Y9" s="4" t="s">
        <v>4</v>
      </c>
      <c r="Z9" s="30">
        <v>0.99968022372647714</v>
      </c>
      <c r="AA9" s="30">
        <v>4.9172422382045321E-3</v>
      </c>
      <c r="AB9" s="4" t="s">
        <v>7</v>
      </c>
    </row>
    <row r="10" spans="2:28" x14ac:dyDescent="0.25">
      <c r="B10" s="1">
        <v>697</v>
      </c>
      <c r="C10" s="12">
        <f t="shared" si="0"/>
        <v>4379.380159104172</v>
      </c>
      <c r="D10" s="1">
        <v>0.40100000000000002</v>
      </c>
      <c r="E10" s="10">
        <f t="shared" si="3"/>
        <v>0.56709963851161116</v>
      </c>
      <c r="F10" s="10">
        <v>0.38130000000000003</v>
      </c>
      <c r="G10" s="10">
        <f t="shared" si="4"/>
        <v>0.53923963133286124</v>
      </c>
      <c r="H10" s="10">
        <f t="shared" si="1"/>
        <v>0.54335946005796476</v>
      </c>
      <c r="I10" s="10">
        <f t="shared" si="5"/>
        <v>-4.1198287251035248E-3</v>
      </c>
      <c r="J10" s="10">
        <v>0.38700000000000001</v>
      </c>
      <c r="K10" s="10">
        <f t="shared" si="6"/>
        <v>0.54730064863838779</v>
      </c>
      <c r="L10" s="10">
        <f t="shared" si="2"/>
        <v>0.54976303204388532</v>
      </c>
      <c r="M10" s="10">
        <f t="shared" si="7"/>
        <v>-2.4623834054975369E-3</v>
      </c>
    </row>
    <row r="11" spans="2:28" x14ac:dyDescent="0.25">
      <c r="B11" s="1">
        <v>750</v>
      </c>
      <c r="C11" s="12">
        <f t="shared" si="0"/>
        <v>4712.3889803846896</v>
      </c>
      <c r="D11" s="1">
        <v>0.40600000000000003</v>
      </c>
      <c r="E11" s="10">
        <f t="shared" si="3"/>
        <v>0.57417070632347667</v>
      </c>
      <c r="F11" s="10">
        <v>0.4158</v>
      </c>
      <c r="G11" s="10">
        <f t="shared" si="4"/>
        <v>0.58802999923473298</v>
      </c>
      <c r="H11" s="10">
        <f t="shared" si="1"/>
        <v>0.58327434875616502</v>
      </c>
      <c r="I11" s="10">
        <f t="shared" si="5"/>
        <v>4.7556504785679632E-3</v>
      </c>
      <c r="J11" s="10">
        <v>0.42</v>
      </c>
      <c r="K11" s="10">
        <f t="shared" si="6"/>
        <v>0.59396969619669993</v>
      </c>
      <c r="L11" s="10">
        <f t="shared" si="2"/>
        <v>0.58999069709497642</v>
      </c>
      <c r="M11" s="10">
        <f t="shared" si="7"/>
        <v>3.9789991017235016E-3</v>
      </c>
    </row>
    <row r="12" spans="2:28" x14ac:dyDescent="0.25">
      <c r="B12" s="1">
        <v>796</v>
      </c>
      <c r="C12" s="12">
        <f t="shared" si="0"/>
        <v>5001.415504514951</v>
      </c>
      <c r="D12" s="1">
        <v>0.40799999999999997</v>
      </c>
      <c r="E12" s="10">
        <f t="shared" si="3"/>
        <v>0.57699913344822273</v>
      </c>
      <c r="F12" s="10">
        <v>0.44310000000000005</v>
      </c>
      <c r="G12" s="10">
        <f t="shared" si="4"/>
        <v>0.62663802948751857</v>
      </c>
      <c r="H12" s="10">
        <f t="shared" si="1"/>
        <v>0.61791745970177281</v>
      </c>
      <c r="I12" s="10">
        <f t="shared" si="5"/>
        <v>8.7205697857457576E-3</v>
      </c>
      <c r="J12" s="10">
        <v>0.44900000000000001</v>
      </c>
      <c r="K12" s="10">
        <f t="shared" si="6"/>
        <v>0.6349818895055197</v>
      </c>
      <c r="L12" s="10">
        <f t="shared" si="2"/>
        <v>0.6249052743091309</v>
      </c>
      <c r="M12" s="10">
        <f t="shared" si="7"/>
        <v>1.0076615196388805E-2</v>
      </c>
    </row>
    <row r="13" spans="2:28" x14ac:dyDescent="0.25">
      <c r="B13" s="1">
        <v>847</v>
      </c>
      <c r="C13" s="12">
        <f t="shared" si="0"/>
        <v>5321.8579551811099</v>
      </c>
      <c r="D13" s="1">
        <v>0.40600000000000003</v>
      </c>
      <c r="E13" s="10">
        <f t="shared" si="3"/>
        <v>0.57417070632347667</v>
      </c>
      <c r="F13" s="10">
        <v>0.47010000000000002</v>
      </c>
      <c r="G13" s="10">
        <f t="shared" si="4"/>
        <v>0.66482179567159205</v>
      </c>
      <c r="H13" s="10">
        <f t="shared" si="1"/>
        <v>0.65632612618494668</v>
      </c>
      <c r="I13" s="10">
        <f t="shared" si="5"/>
        <v>8.4956694866453741E-3</v>
      </c>
      <c r="J13" s="10">
        <v>0.47399999999999998</v>
      </c>
      <c r="K13" s="10">
        <f t="shared" si="6"/>
        <v>0.67033722856484712</v>
      </c>
      <c r="L13" s="10">
        <f t="shared" si="2"/>
        <v>0.66361491426395447</v>
      </c>
      <c r="M13" s="10">
        <f t="shared" si="7"/>
        <v>6.7223143008926511E-3</v>
      </c>
    </row>
    <row r="14" spans="2:28" x14ac:dyDescent="0.25">
      <c r="B14" s="1">
        <v>898</v>
      </c>
      <c r="C14" s="12">
        <f t="shared" si="0"/>
        <v>5642.3004058472688</v>
      </c>
      <c r="D14" s="1">
        <v>0.40100000000000002</v>
      </c>
      <c r="E14" s="10">
        <f t="shared" si="3"/>
        <v>0.56709963851161116</v>
      </c>
      <c r="F14" s="10">
        <v>0.4879</v>
      </c>
      <c r="G14" s="10">
        <f t="shared" si="4"/>
        <v>0.68999479708183309</v>
      </c>
      <c r="H14" s="10">
        <f t="shared" si="1"/>
        <v>0.69473479266812055</v>
      </c>
      <c r="I14" s="10">
        <f t="shared" si="5"/>
        <v>-4.7399955862874599E-3</v>
      </c>
      <c r="J14" s="10">
        <v>0.49299999999999999</v>
      </c>
      <c r="K14" s="10">
        <f t="shared" si="6"/>
        <v>0.69720728624993589</v>
      </c>
      <c r="L14" s="10">
        <f t="shared" si="2"/>
        <v>0.70232455421877793</v>
      </c>
      <c r="M14" s="10">
        <f t="shared" si="7"/>
        <v>-5.117267968842043E-3</v>
      </c>
    </row>
    <row r="15" spans="2:28" x14ac:dyDescent="0.25">
      <c r="B15" s="1">
        <v>952</v>
      </c>
      <c r="C15" s="12">
        <f t="shared" si="0"/>
        <v>5981.5924124349658</v>
      </c>
      <c r="D15" s="1">
        <v>0.40300000000000002</v>
      </c>
      <c r="E15" s="10">
        <f t="shared" si="3"/>
        <v>0.56992806563635734</v>
      </c>
      <c r="F15" s="10">
        <v>0.52010000000000001</v>
      </c>
      <c r="G15" s="10">
        <f t="shared" si="4"/>
        <v>0.73553247379024678</v>
      </c>
      <c r="H15" s="10">
        <f t="shared" si="1"/>
        <v>0.73540279247383389</v>
      </c>
      <c r="I15" s="10">
        <f t="shared" si="5"/>
        <v>1.2968131641288849E-4</v>
      </c>
      <c r="J15" s="10">
        <v>0.52500000000000002</v>
      </c>
      <c r="K15" s="10">
        <f t="shared" si="6"/>
        <v>0.74246212024587499</v>
      </c>
      <c r="L15" s="10">
        <f t="shared" si="2"/>
        <v>0.74331123181800263</v>
      </c>
      <c r="M15" s="10">
        <f t="shared" si="7"/>
        <v>-8.4911157212763655E-4</v>
      </c>
    </row>
    <row r="16" spans="2:28" x14ac:dyDescent="0.25">
      <c r="B16" s="1">
        <v>1003</v>
      </c>
      <c r="C16" s="12">
        <f t="shared" si="0"/>
        <v>6302.0348631011248</v>
      </c>
      <c r="D16" s="1">
        <v>0.40200000000000002</v>
      </c>
      <c r="E16" s="10">
        <f t="shared" si="3"/>
        <v>0.5685138520739843</v>
      </c>
      <c r="F16" s="10">
        <v>0.54430000000000001</v>
      </c>
      <c r="G16" s="10">
        <f t="shared" si="4"/>
        <v>0.76975644199967574</v>
      </c>
      <c r="H16" s="10">
        <f t="shared" si="1"/>
        <v>0.77381145895700776</v>
      </c>
      <c r="I16" s="10">
        <f t="shared" si="5"/>
        <v>-4.0550169573320138E-3</v>
      </c>
      <c r="J16" s="10">
        <v>0.55000000000000004</v>
      </c>
      <c r="K16" s="10">
        <f t="shared" si="6"/>
        <v>0.77781745930520241</v>
      </c>
      <c r="L16" s="10">
        <f t="shared" si="2"/>
        <v>0.7820208717728262</v>
      </c>
      <c r="M16" s="10">
        <f t="shared" si="7"/>
        <v>-4.2034124676237905E-3</v>
      </c>
    </row>
    <row r="17" spans="2:13" x14ac:dyDescent="0.25">
      <c r="B17" s="1">
        <v>1046</v>
      </c>
      <c r="C17" s="12">
        <f t="shared" si="0"/>
        <v>6572.2118313098472</v>
      </c>
      <c r="D17" s="1">
        <v>0.40200000000000002</v>
      </c>
      <c r="E17" s="10">
        <f t="shared" si="3"/>
        <v>0.5685138520739843</v>
      </c>
      <c r="F17" s="10">
        <v>0.56920000000000004</v>
      </c>
      <c r="G17" s="10">
        <f t="shared" si="4"/>
        <v>0.80497035970276576</v>
      </c>
      <c r="H17" s="10">
        <f t="shared" si="1"/>
        <v>0.80619523658007597</v>
      </c>
      <c r="I17" s="10">
        <f t="shared" si="5"/>
        <v>-1.2248768773102103E-3</v>
      </c>
      <c r="J17" s="10">
        <v>0.57499999999999996</v>
      </c>
      <c r="K17" s="10">
        <f t="shared" si="6"/>
        <v>0.8131727983645296</v>
      </c>
      <c r="L17" s="10">
        <f t="shared" si="2"/>
        <v>0.81465841134257932</v>
      </c>
      <c r="M17" s="10">
        <f t="shared" si="7"/>
        <v>-1.4856129780497218E-3</v>
      </c>
    </row>
    <row r="18" spans="2:13" x14ac:dyDescent="0.25">
      <c r="B18" s="1">
        <v>1099</v>
      </c>
      <c r="C18" s="12">
        <f t="shared" si="0"/>
        <v>6905.2206525903657</v>
      </c>
      <c r="D18" s="1">
        <v>0.40400000000000003</v>
      </c>
      <c r="E18" s="10">
        <f t="shared" si="3"/>
        <v>0.57134227919873048</v>
      </c>
      <c r="F18" s="10">
        <v>0.59929999999999994</v>
      </c>
      <c r="G18" s="10">
        <f t="shared" si="4"/>
        <v>0.84753818793019586</v>
      </c>
      <c r="H18" s="10">
        <f t="shared" si="1"/>
        <v>0.84611012527827623</v>
      </c>
      <c r="I18" s="10">
        <f t="shared" si="5"/>
        <v>1.4280626519196371E-3</v>
      </c>
      <c r="J18" s="10">
        <v>0.60599999999999998</v>
      </c>
      <c r="K18" s="10">
        <f t="shared" si="6"/>
        <v>0.85701341879809567</v>
      </c>
      <c r="L18" s="10">
        <f t="shared" si="2"/>
        <v>0.85488607639367042</v>
      </c>
      <c r="M18" s="10">
        <f t="shared" si="7"/>
        <v>2.1273424044252476E-3</v>
      </c>
    </row>
    <row r="19" spans="2:13" x14ac:dyDescent="0.25">
      <c r="B19" s="1">
        <v>1149</v>
      </c>
      <c r="C19" s="12">
        <f t="shared" si="0"/>
        <v>7219.3799179493444</v>
      </c>
      <c r="D19" s="1">
        <v>0.40300000000000002</v>
      </c>
      <c r="E19" s="10">
        <f t="shared" si="3"/>
        <v>0.56992806563635734</v>
      </c>
      <c r="F19" s="10">
        <v>0.62309999999999999</v>
      </c>
      <c r="G19" s="10">
        <f t="shared" si="4"/>
        <v>0.88119647071467555</v>
      </c>
      <c r="H19" s="10">
        <f t="shared" si="1"/>
        <v>0.88376568065393679</v>
      </c>
      <c r="I19" s="10">
        <f t="shared" si="5"/>
        <v>-2.5692099392612411E-3</v>
      </c>
      <c r="J19" s="10">
        <v>0.63</v>
      </c>
      <c r="K19" s="10">
        <f t="shared" si="6"/>
        <v>0.89095454429504994</v>
      </c>
      <c r="L19" s="10">
        <f t="shared" si="2"/>
        <v>0.89283670380036007</v>
      </c>
      <c r="M19" s="10">
        <f t="shared" si="7"/>
        <v>-1.8821595053101214E-3</v>
      </c>
    </row>
    <row r="20" spans="2:13" x14ac:dyDescent="0.25">
      <c r="B20" s="1">
        <v>1204</v>
      </c>
      <c r="C20" s="12">
        <f t="shared" si="0"/>
        <v>7564.9551098442216</v>
      </c>
      <c r="D20" s="1">
        <v>0.40300000000000002</v>
      </c>
      <c r="E20" s="10">
        <f t="shared" si="3"/>
        <v>0.56992806563635734</v>
      </c>
      <c r="F20" s="10">
        <v>0.65310000000000001</v>
      </c>
      <c r="G20" s="10">
        <f t="shared" si="4"/>
        <v>0.92362287758586847</v>
      </c>
      <c r="H20" s="10">
        <f t="shared" si="1"/>
        <v>0.92518679156716355</v>
      </c>
      <c r="I20" s="10">
        <f t="shared" si="5"/>
        <v>-1.5639139812950731E-3</v>
      </c>
      <c r="J20" s="10">
        <v>0.65900000000000003</v>
      </c>
      <c r="K20" s="10">
        <f t="shared" si="6"/>
        <v>0.93196673760386972</v>
      </c>
      <c r="L20" s="10">
        <f t="shared" si="2"/>
        <v>0.93458239394771869</v>
      </c>
      <c r="M20" s="10">
        <f t="shared" si="7"/>
        <v>-2.6156563438489711E-3</v>
      </c>
    </row>
    <row r="21" spans="2:13" x14ac:dyDescent="0.25">
      <c r="B21" s="1">
        <v>1252</v>
      </c>
      <c r="C21" s="12">
        <f t="shared" si="0"/>
        <v>7866.5480045888416</v>
      </c>
      <c r="D21" s="1">
        <v>0.40699999999999997</v>
      </c>
      <c r="E21" s="10">
        <f t="shared" si="3"/>
        <v>0.5755849198858497</v>
      </c>
      <c r="F21" s="10">
        <v>0.68470000000000009</v>
      </c>
      <c r="G21" s="10">
        <f t="shared" si="4"/>
        <v>0.96831202615685841</v>
      </c>
      <c r="H21" s="10">
        <f t="shared" si="1"/>
        <v>0.96133612472779773</v>
      </c>
      <c r="I21" s="10">
        <f t="shared" si="5"/>
        <v>6.9759014290606824E-3</v>
      </c>
      <c r="J21" s="10">
        <v>0.69099999999999995</v>
      </c>
      <c r="K21" s="10">
        <f t="shared" si="6"/>
        <v>0.97722157159980871</v>
      </c>
      <c r="L21" s="10">
        <f t="shared" si="2"/>
        <v>0.97101499625814081</v>
      </c>
      <c r="M21" s="10">
        <f t="shared" si="7"/>
        <v>6.2065753416679081E-3</v>
      </c>
    </row>
    <row r="22" spans="2:13" x14ac:dyDescent="0.25">
      <c r="B22" s="1">
        <v>1303</v>
      </c>
      <c r="C22" s="12">
        <f t="shared" si="0"/>
        <v>8186.9904552550006</v>
      </c>
      <c r="D22" s="1">
        <v>0.40100000000000002</v>
      </c>
      <c r="E22" s="10">
        <f t="shared" si="3"/>
        <v>0.56709963851161116</v>
      </c>
      <c r="F22" s="10">
        <v>0.70029999999999992</v>
      </c>
      <c r="G22" s="10">
        <f t="shared" si="4"/>
        <v>0.99037375772987846</v>
      </c>
      <c r="H22" s="10">
        <f t="shared" si="1"/>
        <v>0.9997447912109716</v>
      </c>
      <c r="I22" s="10">
        <f t="shared" si="5"/>
        <v>-9.3710334810931384E-3</v>
      </c>
      <c r="J22" s="10">
        <v>0.70699999999999996</v>
      </c>
      <c r="K22" s="10">
        <f t="shared" si="6"/>
        <v>0.99984898859777827</v>
      </c>
      <c r="L22" s="10">
        <f t="shared" si="2"/>
        <v>1.0097246362129644</v>
      </c>
      <c r="M22" s="10">
        <f t="shared" si="7"/>
        <v>-9.8756476151861117E-3</v>
      </c>
    </row>
    <row r="23" spans="2:13" x14ac:dyDescent="0.25">
      <c r="B23" s="1">
        <v>1350</v>
      </c>
      <c r="C23" s="12">
        <f t="shared" si="0"/>
        <v>8482.3001646924422</v>
      </c>
      <c r="D23" s="1">
        <v>0.40400000000000003</v>
      </c>
      <c r="E23" s="10">
        <f t="shared" si="3"/>
        <v>0.57134227919873048</v>
      </c>
      <c r="F23" s="10">
        <v>0.73089999999999999</v>
      </c>
      <c r="G23" s="10">
        <f t="shared" si="4"/>
        <v>1.0336486927384951</v>
      </c>
      <c r="H23" s="10">
        <f t="shared" si="1"/>
        <v>1.0351410132640926</v>
      </c>
      <c r="I23" s="10">
        <f t="shared" si="5"/>
        <v>-1.4923205255974459E-3</v>
      </c>
      <c r="J23" s="10">
        <v>0.73799999999999999</v>
      </c>
      <c r="K23" s="10">
        <f t="shared" si="6"/>
        <v>1.0436896090313441</v>
      </c>
      <c r="L23" s="10">
        <f t="shared" si="2"/>
        <v>1.0453982259752528</v>
      </c>
      <c r="M23" s="10">
        <f t="shared" si="7"/>
        <v>-1.7086169439086696E-3</v>
      </c>
    </row>
    <row r="24" spans="2:13" x14ac:dyDescent="0.25">
      <c r="B24" s="1">
        <v>1400</v>
      </c>
      <c r="C24" s="12">
        <f t="shared" si="0"/>
        <v>8796.45943005142</v>
      </c>
      <c r="D24" s="1">
        <v>0.40400000000000003</v>
      </c>
      <c r="E24" s="10">
        <f t="shared" si="3"/>
        <v>0.57134227919873048</v>
      </c>
      <c r="F24" s="10">
        <v>0.75860000000000005</v>
      </c>
      <c r="G24" s="10">
        <f t="shared" si="4"/>
        <v>1.0728224084162301</v>
      </c>
      <c r="H24" s="10">
        <f t="shared" si="1"/>
        <v>1.0727965686397531</v>
      </c>
      <c r="I24" s="10">
        <f t="shared" si="5"/>
        <v>2.5839776476965781E-5</v>
      </c>
      <c r="J24" s="10">
        <v>0.76600000000000001</v>
      </c>
      <c r="K24" s="10">
        <f t="shared" si="6"/>
        <v>1.0832875887777909</v>
      </c>
      <c r="L24" s="10">
        <f t="shared" si="2"/>
        <v>1.0833488533819422</v>
      </c>
      <c r="M24" s="10">
        <f t="shared" si="7"/>
        <v>-6.1264604151345381E-5</v>
      </c>
    </row>
    <row r="25" spans="2:13" x14ac:dyDescent="0.25">
      <c r="B25" s="1">
        <v>1448</v>
      </c>
      <c r="C25" s="12">
        <f t="shared" si="0"/>
        <v>9098.0523247960409</v>
      </c>
      <c r="D25" s="1">
        <v>0.40100000000000002</v>
      </c>
      <c r="E25" s="10">
        <f t="shared" si="3"/>
        <v>0.56709963851161116</v>
      </c>
      <c r="F25" s="10">
        <v>0.77749999999999997</v>
      </c>
      <c r="G25" s="10">
        <f t="shared" si="4"/>
        <v>1.0995510447450814</v>
      </c>
      <c r="H25" s="10">
        <f t="shared" si="1"/>
        <v>1.1089459018003873</v>
      </c>
      <c r="I25" s="10">
        <f t="shared" si="5"/>
        <v>-9.3948570553059607E-3</v>
      </c>
      <c r="J25" s="10">
        <v>0.78600000000000003</v>
      </c>
      <c r="K25" s="10">
        <f t="shared" si="6"/>
        <v>1.1115718600252529</v>
      </c>
      <c r="L25" s="10">
        <f t="shared" si="2"/>
        <v>1.1197814556923644</v>
      </c>
      <c r="M25" s="10">
        <f t="shared" si="7"/>
        <v>-8.2095956671115466E-3</v>
      </c>
    </row>
    <row r="26" spans="2:13" x14ac:dyDescent="0.25">
      <c r="B26" s="1">
        <v>1500</v>
      </c>
      <c r="C26" s="12">
        <f t="shared" si="0"/>
        <v>9424.7779607693792</v>
      </c>
      <c r="D26" s="1">
        <v>0.40500000000000003</v>
      </c>
      <c r="E26" s="10">
        <f t="shared" si="3"/>
        <v>0.57275649276110352</v>
      </c>
      <c r="F26" s="10">
        <v>0.81420000000000003</v>
      </c>
      <c r="G26" s="10">
        <f t="shared" si="4"/>
        <v>1.1514526824841742</v>
      </c>
      <c r="H26" s="10">
        <f t="shared" si="1"/>
        <v>1.1481076793910745</v>
      </c>
      <c r="I26" s="10">
        <f t="shared" si="5"/>
        <v>3.3450030930997077E-3</v>
      </c>
      <c r="J26" s="10">
        <v>0.82199999999999995</v>
      </c>
      <c r="K26" s="10">
        <f t="shared" si="6"/>
        <v>1.1624835482706841</v>
      </c>
      <c r="L26" s="10">
        <f t="shared" si="2"/>
        <v>1.1592501081953217</v>
      </c>
      <c r="M26" s="10">
        <f t="shared" si="7"/>
        <v>3.2334400753624148E-3</v>
      </c>
    </row>
    <row r="27" spans="2:13" x14ac:dyDescent="0.25">
      <c r="B27" s="1">
        <v>1552</v>
      </c>
      <c r="C27" s="12">
        <f t="shared" si="0"/>
        <v>9751.5035967427175</v>
      </c>
      <c r="D27" s="1">
        <v>0.40500000000000003</v>
      </c>
      <c r="E27" s="10">
        <f t="shared" si="3"/>
        <v>0.57275649276110352</v>
      </c>
      <c r="F27" s="10">
        <v>0.84029999999999994</v>
      </c>
      <c r="G27" s="10">
        <f t="shared" si="4"/>
        <v>1.1883636564621118</v>
      </c>
      <c r="H27" s="10">
        <f t="shared" si="1"/>
        <v>1.1872694569817615</v>
      </c>
      <c r="I27" s="10">
        <f t="shared" si="5"/>
        <v>1.0941994803503885E-3</v>
      </c>
      <c r="J27" s="10">
        <v>0.84899999999999998</v>
      </c>
      <c r="K27" s="10">
        <f t="shared" si="6"/>
        <v>1.2006673144547577</v>
      </c>
      <c r="L27" s="10">
        <f t="shared" si="2"/>
        <v>1.1987187606982788</v>
      </c>
      <c r="M27" s="10">
        <f t="shared" si="7"/>
        <v>1.9485537564789546E-3</v>
      </c>
    </row>
    <row r="28" spans="2:13" x14ac:dyDescent="0.25">
      <c r="B28" s="1">
        <v>1600</v>
      </c>
      <c r="C28" s="12">
        <f t="shared" si="0"/>
        <v>10053.096491487338</v>
      </c>
      <c r="D28" s="1">
        <v>0.40500000000000003</v>
      </c>
      <c r="E28" s="10">
        <f t="shared" si="3"/>
        <v>0.57275649276110352</v>
      </c>
      <c r="F28" s="10">
        <v>0.86660000000000004</v>
      </c>
      <c r="G28" s="10">
        <f>F28*SQRT(2)</f>
        <v>1.2255574731525243</v>
      </c>
      <c r="H28" s="10">
        <f t="shared" si="1"/>
        <v>1.2234187901423959</v>
      </c>
      <c r="I28" s="10">
        <f t="shared" si="5"/>
        <v>2.1386830101284282E-3</v>
      </c>
      <c r="J28" s="10">
        <v>0.875</v>
      </c>
      <c r="K28" s="10">
        <f t="shared" si="6"/>
        <v>1.2374368670764582</v>
      </c>
      <c r="L28" s="10">
        <f t="shared" si="2"/>
        <v>1.235151363008701</v>
      </c>
      <c r="M28" s="10">
        <f t="shared" si="7"/>
        <v>2.2855040677571825E-3</v>
      </c>
    </row>
    <row r="29" spans="2:13" x14ac:dyDescent="0.25">
      <c r="B29" s="1">
        <v>1650</v>
      </c>
      <c r="C29" s="12">
        <f t="shared" si="0"/>
        <v>10367.255756846318</v>
      </c>
      <c r="D29" s="1">
        <v>0.40500000000000003</v>
      </c>
      <c r="E29" s="1">
        <f t="shared" si="3"/>
        <v>0.57275649276110352</v>
      </c>
      <c r="F29" s="10">
        <v>0.89560000000000006</v>
      </c>
      <c r="G29" s="10">
        <f t="shared" si="4"/>
        <v>1.2665696664613442</v>
      </c>
      <c r="H29" s="10">
        <f t="shared" si="1"/>
        <v>1.2610743455180564</v>
      </c>
      <c r="I29" s="10">
        <f t="shared" si="5"/>
        <v>5.4953209432877514E-3</v>
      </c>
      <c r="J29" s="10">
        <v>0.90400000000000003</v>
      </c>
      <c r="K29" s="10">
        <f t="shared" si="6"/>
        <v>1.2784490603852781</v>
      </c>
      <c r="L29" s="10">
        <f t="shared" si="2"/>
        <v>1.2731019904153908</v>
      </c>
      <c r="M29" s="10">
        <f t="shared" si="7"/>
        <v>5.3470699698872082E-3</v>
      </c>
    </row>
    <row r="32" spans="2:13" ht="18" x14ac:dyDescent="0.25">
      <c r="J32" s="4" t="s">
        <v>40</v>
      </c>
      <c r="K32" s="1">
        <f>AVERAGE(E6:E29)</f>
        <v>0.57110657693833489</v>
      </c>
    </row>
    <row r="33" spans="10:20" ht="18" x14ac:dyDescent="0.25">
      <c r="J33" s="4" t="s">
        <v>41</v>
      </c>
      <c r="K33" s="1">
        <f>_xlfn.STDEV.P(E6:E29)/SQRT(24)</f>
        <v>6.1614091702274164E-4</v>
      </c>
    </row>
    <row r="46" spans="10:20" x14ac:dyDescent="0.25">
      <c r="J46" s="3" t="s">
        <v>28</v>
      </c>
      <c r="K46" s="3" t="s">
        <v>67</v>
      </c>
    </row>
    <row r="47" spans="10:20" ht="18" x14ac:dyDescent="0.25">
      <c r="J47" s="1">
        <f t="shared" ref="J47:J70" si="8">K6-G6</f>
        <v>4.9497474683057874E-3</v>
      </c>
      <c r="K47" s="1">
        <f>SQRT((Q4^2)+(Q2^2))</f>
        <v>2.0000000000000001E-4</v>
      </c>
      <c r="P47" s="54" t="s">
        <v>30</v>
      </c>
      <c r="Q47" s="54"/>
      <c r="R47" s="54"/>
      <c r="S47" s="54"/>
      <c r="T47" s="54"/>
    </row>
    <row r="48" spans="10:20" x14ac:dyDescent="0.25">
      <c r="J48" s="1">
        <f t="shared" si="8"/>
        <v>5.3740115370177755E-3</v>
      </c>
      <c r="K48" s="1">
        <f>$K$47</f>
        <v>2.0000000000000001E-4</v>
      </c>
      <c r="P48" s="49" t="s">
        <v>31</v>
      </c>
      <c r="Q48" s="49"/>
      <c r="S48" s="55" t="s">
        <v>14</v>
      </c>
      <c r="T48" s="55"/>
    </row>
    <row r="49" spans="10:20" ht="18" x14ac:dyDescent="0.25">
      <c r="J49" s="1">
        <f t="shared" si="8"/>
        <v>6.6468037431536287E-3</v>
      </c>
      <c r="K49" s="1">
        <f t="shared" ref="K49:K69" si="9">$K$47</f>
        <v>2.0000000000000001E-4</v>
      </c>
      <c r="P49" s="27" t="s">
        <v>32</v>
      </c>
      <c r="Q49" s="30">
        <f>4*PI()*10^-7</f>
        <v>1.2566370614359173E-6</v>
      </c>
      <c r="S49" s="26" t="s">
        <v>32</v>
      </c>
      <c r="T49" s="30">
        <f>Q49</f>
        <v>1.2566370614359173E-6</v>
      </c>
    </row>
    <row r="50" spans="10:20" ht="18" x14ac:dyDescent="0.25">
      <c r="J50" s="1">
        <f t="shared" si="8"/>
        <v>6.3639610306789329E-3</v>
      </c>
      <c r="K50" s="1">
        <f t="shared" si="9"/>
        <v>2.0000000000000001E-4</v>
      </c>
      <c r="P50" s="27" t="s">
        <v>33</v>
      </c>
      <c r="Q50" s="1">
        <f>(P7*Q54)/(Q55*T56*T55*K32)</f>
        <v>1.0917999077141359E-6</v>
      </c>
      <c r="S50" s="26" t="s">
        <v>33</v>
      </c>
      <c r="T50" s="1">
        <f>(Z7*Q54)/(Q55*T56*T55*K32)</f>
        <v>1.1003553416476577E-6</v>
      </c>
    </row>
    <row r="51" spans="10:20" ht="18" x14ac:dyDescent="0.25">
      <c r="J51" s="1">
        <f t="shared" si="8"/>
        <v>8.0610173055265522E-3</v>
      </c>
      <c r="K51" s="1">
        <f t="shared" si="9"/>
        <v>2.0000000000000001E-4</v>
      </c>
      <c r="P51" s="27" t="s">
        <v>35</v>
      </c>
      <c r="Q51" s="1">
        <f>4.4*10^-9</f>
        <v>4.4000000000000005E-9</v>
      </c>
      <c r="S51" s="26" t="s">
        <v>34</v>
      </c>
      <c r="T51" s="1">
        <f>4.4*10^-9</f>
        <v>4.4000000000000005E-9</v>
      </c>
    </row>
    <row r="52" spans="10:20" x14ac:dyDescent="0.25">
      <c r="J52" s="1">
        <f t="shared" si="8"/>
        <v>5.9396969619669449E-3</v>
      </c>
      <c r="K52" s="1">
        <f t="shared" si="9"/>
        <v>2.0000000000000001E-4</v>
      </c>
      <c r="P52" s="27" t="s">
        <v>36</v>
      </c>
      <c r="Q52" s="32">
        <f>ABS(Q49-Q50)/Q49</f>
        <v>0.13117323910010062</v>
      </c>
      <c r="S52" s="26" t="s">
        <v>36</v>
      </c>
      <c r="T52" s="32">
        <f>ABS(T49-T50)/T49</f>
        <v>0.12436504109601997</v>
      </c>
    </row>
    <row r="53" spans="10:20" x14ac:dyDescent="0.25">
      <c r="J53" s="1">
        <f t="shared" si="8"/>
        <v>8.3438600180011369E-3</v>
      </c>
      <c r="K53" s="1">
        <f t="shared" si="9"/>
        <v>2.0000000000000001E-4</v>
      </c>
    </row>
    <row r="54" spans="10:20" x14ac:dyDescent="0.25">
      <c r="J54" s="1">
        <f t="shared" si="8"/>
        <v>5.5154328932550678E-3</v>
      </c>
      <c r="K54" s="1">
        <f t="shared" si="9"/>
        <v>2.0000000000000001E-4</v>
      </c>
      <c r="P54" s="28" t="s">
        <v>19</v>
      </c>
      <c r="Q54" s="1">
        <v>0.75</v>
      </c>
      <c r="R54" s="53" t="s">
        <v>38</v>
      </c>
      <c r="S54" s="53"/>
      <c r="T54" s="1">
        <v>4.1000000000000002E-2</v>
      </c>
    </row>
    <row r="55" spans="10:20" ht="17.25" x14ac:dyDescent="0.25">
      <c r="J55" s="1">
        <f t="shared" si="8"/>
        <v>7.2124891681027981E-3</v>
      </c>
      <c r="K55" s="1">
        <f t="shared" si="9"/>
        <v>2.0000000000000001E-4</v>
      </c>
      <c r="P55" s="28" t="s">
        <v>17</v>
      </c>
      <c r="Q55" s="1">
        <v>364</v>
      </c>
      <c r="R55" s="53" t="s">
        <v>39</v>
      </c>
      <c r="S55" s="53"/>
      <c r="T55" s="22">
        <f>T54^2*PI()/4</f>
        <v>1.3202543126711107E-3</v>
      </c>
    </row>
    <row r="56" spans="10:20" x14ac:dyDescent="0.25">
      <c r="J56" s="1">
        <f t="shared" si="8"/>
        <v>6.9296464556282134E-3</v>
      </c>
      <c r="K56" s="1">
        <f t="shared" si="9"/>
        <v>2.0000000000000001E-4</v>
      </c>
      <c r="R56" s="53" t="s">
        <v>37</v>
      </c>
      <c r="S56" s="53"/>
      <c r="T56" s="1">
        <v>300</v>
      </c>
    </row>
    <row r="57" spans="10:20" x14ac:dyDescent="0.25">
      <c r="J57" s="1">
        <f t="shared" si="8"/>
        <v>8.0610173055266632E-3</v>
      </c>
      <c r="K57" s="1">
        <f t="shared" si="9"/>
        <v>2.0000000000000001E-4</v>
      </c>
    </row>
    <row r="58" spans="10:20" x14ac:dyDescent="0.25">
      <c r="J58" s="1">
        <f t="shared" si="8"/>
        <v>8.2024386617638445E-3</v>
      </c>
      <c r="K58" s="1">
        <f t="shared" si="9"/>
        <v>2.0000000000000001E-4</v>
      </c>
    </row>
    <row r="59" spans="10:20" x14ac:dyDescent="0.25">
      <c r="J59" s="1">
        <f t="shared" si="8"/>
        <v>9.4752308678998087E-3</v>
      </c>
      <c r="K59" s="1">
        <f t="shared" si="9"/>
        <v>2.0000000000000001E-4</v>
      </c>
    </row>
    <row r="60" spans="10:20" x14ac:dyDescent="0.25">
      <c r="J60" s="1">
        <f t="shared" si="8"/>
        <v>9.7580735803743934E-3</v>
      </c>
      <c r="K60" s="1">
        <f t="shared" si="9"/>
        <v>2.0000000000000001E-4</v>
      </c>
    </row>
    <row r="61" spans="10:20" x14ac:dyDescent="0.25">
      <c r="J61" s="1">
        <f t="shared" si="8"/>
        <v>8.3438600180012479E-3</v>
      </c>
      <c r="K61" s="1">
        <f t="shared" si="9"/>
        <v>2.0000000000000001E-4</v>
      </c>
    </row>
    <row r="62" spans="10:20" x14ac:dyDescent="0.25">
      <c r="J62" s="1">
        <f t="shared" si="8"/>
        <v>8.9095454429503063E-3</v>
      </c>
      <c r="K62" s="1">
        <f t="shared" si="9"/>
        <v>2.0000000000000001E-4</v>
      </c>
    </row>
    <row r="63" spans="10:20" x14ac:dyDescent="0.25">
      <c r="J63" s="1">
        <f t="shared" si="8"/>
        <v>9.4752308678998087E-3</v>
      </c>
      <c r="K63" s="1">
        <f t="shared" si="9"/>
        <v>2.0000000000000001E-4</v>
      </c>
    </row>
    <row r="64" spans="10:20" x14ac:dyDescent="0.25">
      <c r="J64" s="1">
        <f t="shared" si="8"/>
        <v>1.0040916292848978E-2</v>
      </c>
      <c r="K64" s="1">
        <f t="shared" si="9"/>
        <v>2.0000000000000001E-4</v>
      </c>
    </row>
    <row r="65" spans="10:11" x14ac:dyDescent="0.25">
      <c r="J65" s="1">
        <f t="shared" si="8"/>
        <v>1.0465180361560744E-2</v>
      </c>
      <c r="K65" s="1">
        <f t="shared" si="9"/>
        <v>2.0000000000000001E-4</v>
      </c>
    </row>
    <row r="66" spans="10:11" x14ac:dyDescent="0.25">
      <c r="J66" s="1">
        <f t="shared" si="8"/>
        <v>1.2020815280171515E-2</v>
      </c>
      <c r="K66" s="1">
        <f t="shared" si="9"/>
        <v>2.0000000000000001E-4</v>
      </c>
    </row>
    <row r="67" spans="10:11" x14ac:dyDescent="0.25">
      <c r="J67" s="1">
        <f t="shared" si="8"/>
        <v>1.1030865786509914E-2</v>
      </c>
      <c r="K67" s="1">
        <f t="shared" si="9"/>
        <v>2.0000000000000001E-4</v>
      </c>
    </row>
    <row r="68" spans="10:11" x14ac:dyDescent="0.25">
      <c r="J68" s="1">
        <f t="shared" si="8"/>
        <v>1.2303657992645878E-2</v>
      </c>
      <c r="K68" s="1">
        <f t="shared" si="9"/>
        <v>2.0000000000000001E-4</v>
      </c>
    </row>
    <row r="69" spans="10:11" x14ac:dyDescent="0.25">
      <c r="J69" s="1">
        <f t="shared" si="8"/>
        <v>1.187939392393389E-2</v>
      </c>
      <c r="K69" s="1">
        <f t="shared" si="9"/>
        <v>2.0000000000000001E-4</v>
      </c>
    </row>
    <row r="70" spans="10:11" x14ac:dyDescent="0.25">
      <c r="J70" s="1">
        <f t="shared" si="8"/>
        <v>1.187939392393389E-2</v>
      </c>
      <c r="K70" s="1">
        <f>$K$47</f>
        <v>2.0000000000000001E-4</v>
      </c>
    </row>
  </sheetData>
  <mergeCells count="14">
    <mergeCell ref="K2:L2"/>
    <mergeCell ref="O3:P3"/>
    <mergeCell ref="O4:P4"/>
    <mergeCell ref="O2:P2"/>
    <mergeCell ref="O6:R6"/>
    <mergeCell ref="Y6:AB6"/>
    <mergeCell ref="F4:I4"/>
    <mergeCell ref="J4:M4"/>
    <mergeCell ref="R56:S56"/>
    <mergeCell ref="P47:T47"/>
    <mergeCell ref="P48:Q48"/>
    <mergeCell ref="S48:T48"/>
    <mergeCell ref="R54:S54"/>
    <mergeCell ref="R55:S55"/>
  </mergeCells>
  <phoneticPr fontId="8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1141-7FCE-4285-9287-AECF52B18553}">
  <sheetPr>
    <tabColor rgb="FFFFCC66"/>
  </sheetPr>
  <dimension ref="A1:BV208"/>
  <sheetViews>
    <sheetView tabSelected="1" topLeftCell="AT109" zoomScale="70" zoomScaleNormal="70" workbookViewId="0">
      <selection activeCell="AZ136" sqref="AZ136"/>
    </sheetView>
  </sheetViews>
  <sheetFormatPr defaultColWidth="8.85546875" defaultRowHeight="15" x14ac:dyDescent="0.25"/>
  <cols>
    <col min="1" max="1" width="6.7109375" style="2" customWidth="1"/>
    <col min="2" max="2" width="13" style="2" customWidth="1"/>
    <col min="3" max="3" width="8.85546875" style="2"/>
    <col min="4" max="4" width="10.42578125" style="2" customWidth="1"/>
    <col min="5" max="5" width="9.28515625" style="2" customWidth="1"/>
    <col min="6" max="6" width="14.5703125" style="2" bestFit="1" customWidth="1"/>
    <col min="7" max="7" width="13.28515625" style="2" bestFit="1" customWidth="1"/>
    <col min="8" max="8" width="15.140625" style="2" bestFit="1" customWidth="1"/>
    <col min="9" max="9" width="14.140625" style="2" bestFit="1" customWidth="1"/>
    <col min="10" max="10" width="13.140625" style="2" bestFit="1" customWidth="1"/>
    <col min="11" max="11" width="11.140625" style="2" bestFit="1" customWidth="1"/>
    <col min="12" max="12" width="16.85546875" style="2" bestFit="1" customWidth="1"/>
    <col min="13" max="13" width="13.85546875" style="2" bestFit="1" customWidth="1"/>
    <col min="14" max="14" width="9.42578125" style="2" bestFit="1" customWidth="1"/>
    <col min="15" max="15" width="10.140625" style="2" bestFit="1" customWidth="1"/>
    <col min="16" max="18" width="8.85546875" style="2"/>
    <col min="19" max="19" width="9.7109375" style="2" bestFit="1" customWidth="1"/>
    <col min="20" max="20" width="10.42578125" style="2" bestFit="1" customWidth="1"/>
    <col min="21" max="21" width="10.85546875" style="2" bestFit="1" customWidth="1"/>
    <col min="22" max="22" width="11.42578125" style="2" bestFit="1" customWidth="1"/>
    <col min="23" max="25" width="8.85546875" style="2"/>
    <col min="26" max="26" width="9.7109375" style="2" customWidth="1"/>
    <col min="27" max="27" width="9" style="2" bestFit="1" customWidth="1"/>
    <col min="28" max="30" width="8.85546875" style="2"/>
    <col min="31" max="31" width="9.5703125" style="2" bestFit="1" customWidth="1"/>
    <col min="32" max="32" width="10.28515625" style="2" bestFit="1" customWidth="1"/>
    <col min="33" max="35" width="8.85546875" style="2"/>
    <col min="36" max="36" width="10.28515625" style="2" customWidth="1"/>
    <col min="37" max="38" width="8.85546875" style="2"/>
    <col min="39" max="40" width="10.85546875" style="2" customWidth="1"/>
    <col min="41" max="43" width="8.85546875" style="2"/>
    <col min="44" max="44" width="14" style="2" customWidth="1"/>
    <col min="45" max="45" width="13.42578125" style="2" bestFit="1" customWidth="1"/>
    <col min="46" max="46" width="12.85546875" style="2" bestFit="1" customWidth="1"/>
    <col min="47" max="47" width="15.140625" style="2" bestFit="1" customWidth="1"/>
    <col min="48" max="48" width="14.140625" style="2" bestFit="1" customWidth="1"/>
    <col min="49" max="49" width="8.85546875" style="2"/>
    <col min="50" max="50" width="9.5703125" style="2" bestFit="1" customWidth="1"/>
    <col min="51" max="51" width="16.85546875" style="2" bestFit="1" customWidth="1"/>
    <col min="52" max="52" width="12" style="2" bestFit="1" customWidth="1"/>
    <col min="53" max="53" width="9.7109375" style="2" bestFit="1" customWidth="1"/>
    <col min="54" max="54" width="10.42578125" style="2" bestFit="1" customWidth="1"/>
    <col min="55" max="58" width="8.85546875" style="2"/>
    <col min="59" max="59" width="9" style="2" bestFit="1" customWidth="1"/>
    <col min="60" max="60" width="9.42578125" style="2" bestFit="1" customWidth="1"/>
    <col min="61" max="67" width="8.85546875" style="2"/>
    <col min="68" max="68" width="9.7109375" style="2" bestFit="1" customWidth="1"/>
    <col min="69" max="69" width="10.42578125" style="2" bestFit="1" customWidth="1"/>
    <col min="70" max="16384" width="8.85546875" style="2"/>
  </cols>
  <sheetData>
    <row r="1" spans="1:74" x14ac:dyDescent="0.25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5"/>
      <c r="AN1" s="13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5"/>
    </row>
    <row r="2" spans="1:74" ht="18" x14ac:dyDescent="0.25">
      <c r="A2" s="16"/>
      <c r="D2" s="60" t="s">
        <v>22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S2" s="48" t="s">
        <v>8</v>
      </c>
      <c r="T2" s="48"/>
      <c r="U2" s="48"/>
      <c r="V2" s="48"/>
      <c r="AC2" s="48" t="s">
        <v>9</v>
      </c>
      <c r="AD2" s="48"/>
      <c r="AE2" s="48"/>
      <c r="AF2" s="48"/>
      <c r="AM2" s="17"/>
      <c r="AN2" s="16"/>
      <c r="AQ2" s="60" t="s">
        <v>21</v>
      </c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F2" s="48" t="s">
        <v>8</v>
      </c>
      <c r="BG2" s="48"/>
      <c r="BH2" s="48"/>
      <c r="BI2" s="48"/>
      <c r="BO2" s="48" t="s">
        <v>9</v>
      </c>
      <c r="BP2" s="48"/>
      <c r="BQ2" s="48"/>
      <c r="BR2" s="48"/>
      <c r="BV2" s="17"/>
    </row>
    <row r="3" spans="1:74" ht="17.25" customHeight="1" x14ac:dyDescent="0.25">
      <c r="A3" s="16"/>
      <c r="D3" s="48" t="s">
        <v>83</v>
      </c>
      <c r="E3" s="48" t="s">
        <v>77</v>
      </c>
      <c r="F3" s="48" t="s">
        <v>78</v>
      </c>
      <c r="G3" s="48" t="s">
        <v>79</v>
      </c>
      <c r="H3" s="49" t="s">
        <v>13</v>
      </c>
      <c r="I3" s="49"/>
      <c r="J3" s="49"/>
      <c r="K3" s="49"/>
      <c r="L3" s="55" t="s">
        <v>12</v>
      </c>
      <c r="M3" s="55"/>
      <c r="N3" s="55"/>
      <c r="O3" s="55"/>
      <c r="S3" s="4" t="s">
        <v>3</v>
      </c>
      <c r="T3" s="10">
        <f t="array" ref="T3:U5">LINEST(I5:I18,G5:G18,1,1)</f>
        <v>2.0569168522726002</v>
      </c>
      <c r="U3" s="10">
        <v>-1.9138154832750498E-2</v>
      </c>
      <c r="V3" s="4" t="s">
        <v>5</v>
      </c>
      <c r="AC3" s="4" t="s">
        <v>3</v>
      </c>
      <c r="AD3" s="10">
        <f t="array" ref="AD3:AE5">LINEST(M5:M18,G5:G18,1,1)</f>
        <v>2.0588004291285094</v>
      </c>
      <c r="AE3" s="10">
        <v>9.9441503352100113E-3</v>
      </c>
      <c r="AF3" s="4" t="s">
        <v>5</v>
      </c>
      <c r="AM3" s="17"/>
      <c r="AN3" s="16"/>
      <c r="AQ3" s="48" t="s">
        <v>83</v>
      </c>
      <c r="AR3" s="48" t="s">
        <v>77</v>
      </c>
      <c r="AS3" s="48" t="s">
        <v>78</v>
      </c>
      <c r="AT3" s="48" t="s">
        <v>79</v>
      </c>
      <c r="AU3" s="56" t="s">
        <v>13</v>
      </c>
      <c r="AV3" s="57"/>
      <c r="AW3" s="57"/>
      <c r="AX3" s="58"/>
      <c r="AY3" s="59" t="s">
        <v>12</v>
      </c>
      <c r="AZ3" s="59"/>
      <c r="BA3" s="59"/>
      <c r="BB3" s="59"/>
      <c r="BF3" s="4" t="s">
        <v>3</v>
      </c>
      <c r="BG3" s="10">
        <f t="array" ref="BG3:BH5">LINEST(AV5:AV17,AT5:AT17,1,1)</f>
        <v>1.8560098755304553</v>
      </c>
      <c r="BH3" s="10">
        <v>-5.9278915393391807E-2</v>
      </c>
      <c r="BI3" s="4" t="s">
        <v>5</v>
      </c>
      <c r="BO3" s="4" t="s">
        <v>3</v>
      </c>
      <c r="BP3" s="10">
        <f t="array" ref="BP3:BQ5">LINEST(AZ5:AZ17,AT5:AT17,1,1)</f>
        <v>1.8949176675281203</v>
      </c>
      <c r="BQ3" s="10">
        <v>-5.0383473473315732E-2</v>
      </c>
      <c r="BR3" s="4" t="s">
        <v>5</v>
      </c>
      <c r="BV3" s="17"/>
    </row>
    <row r="4" spans="1:74" ht="18" x14ac:dyDescent="0.25">
      <c r="A4" s="16"/>
      <c r="D4" s="48"/>
      <c r="E4" s="48"/>
      <c r="F4" s="48"/>
      <c r="G4" s="48"/>
      <c r="H4" s="3" t="s">
        <v>86</v>
      </c>
      <c r="I4" s="3" t="s">
        <v>80</v>
      </c>
      <c r="J4" s="21" t="s">
        <v>0</v>
      </c>
      <c r="K4" s="21" t="s">
        <v>1</v>
      </c>
      <c r="L4" s="21" t="s">
        <v>85</v>
      </c>
      <c r="M4" s="3" t="s">
        <v>84</v>
      </c>
      <c r="N4" s="21" t="s">
        <v>0</v>
      </c>
      <c r="O4" s="21" t="s">
        <v>1</v>
      </c>
      <c r="S4" s="4" t="s">
        <v>2</v>
      </c>
      <c r="T4" s="10">
        <v>3.1949145292599096E-2</v>
      </c>
      <c r="U4" s="10">
        <v>1.8750404054763192E-2</v>
      </c>
      <c r="V4" s="4" t="s">
        <v>6</v>
      </c>
      <c r="AC4" s="4" t="s">
        <v>2</v>
      </c>
      <c r="AD4" s="10">
        <v>2.4072986318655079E-2</v>
      </c>
      <c r="AE4" s="10">
        <v>1.4128021771653752E-2</v>
      </c>
      <c r="AF4" s="4" t="s">
        <v>6</v>
      </c>
      <c r="AM4" s="17"/>
      <c r="AN4" s="16"/>
      <c r="AQ4" s="48"/>
      <c r="AR4" s="48"/>
      <c r="AS4" s="48"/>
      <c r="AT4" s="48"/>
      <c r="AU4" s="3" t="s">
        <v>86</v>
      </c>
      <c r="AV4" s="3" t="s">
        <v>80</v>
      </c>
      <c r="AW4" s="3" t="s">
        <v>0</v>
      </c>
      <c r="AX4" s="3" t="s">
        <v>1</v>
      </c>
      <c r="AY4" s="21" t="s">
        <v>85</v>
      </c>
      <c r="AZ4" s="3" t="s">
        <v>84</v>
      </c>
      <c r="BA4" s="3" t="s">
        <v>0</v>
      </c>
      <c r="BB4" s="3" t="s">
        <v>1</v>
      </c>
      <c r="BF4" s="4" t="s">
        <v>2</v>
      </c>
      <c r="BG4" s="10">
        <v>1.8268398517575203E-2</v>
      </c>
      <c r="BH4" s="10">
        <v>1.0344600014045822E-2</v>
      </c>
      <c r="BI4" s="4" t="s">
        <v>6</v>
      </c>
      <c r="BO4" s="4" t="s">
        <v>2</v>
      </c>
      <c r="BP4" s="10">
        <v>2.3215211311644401E-2</v>
      </c>
      <c r="BQ4" s="10">
        <v>1.3145765077845982E-2</v>
      </c>
      <c r="BR4" s="4" t="s">
        <v>6</v>
      </c>
      <c r="BV4" s="17"/>
    </row>
    <row r="5" spans="1:74" x14ac:dyDescent="0.25">
      <c r="A5" s="16"/>
      <c r="D5" s="1">
        <v>1501</v>
      </c>
      <c r="E5" s="12">
        <f t="shared" ref="E5:E18" si="0">2*PI()*D5</f>
        <v>9431.0611460765595</v>
      </c>
      <c r="F5" s="1">
        <v>0.308</v>
      </c>
      <c r="G5" s="10">
        <f t="shared" ref="G5:G18" si="1">F5*SQRT(2)</f>
        <v>0.43557777721091329</v>
      </c>
      <c r="H5" s="10">
        <v>0.63239999999999996</v>
      </c>
      <c r="I5" s="10">
        <f t="shared" ref="I5:I17" si="2">H5*SQRT(2)</f>
        <v>0.89434865684474529</v>
      </c>
      <c r="J5" s="10">
        <f t="shared" ref="J5:J18" si="3">G5*T$3+U$3</f>
        <v>0.87680911558781716</v>
      </c>
      <c r="K5" s="10">
        <f>I5-J5</f>
        <v>1.7539541256928137E-2</v>
      </c>
      <c r="L5" s="11">
        <v>1.84</v>
      </c>
      <c r="M5" s="11">
        <f>L5/2</f>
        <v>0.92</v>
      </c>
      <c r="N5" s="10">
        <f t="shared" ref="N5:N18" si="4">G5*AD$3+AE$3</f>
        <v>0.90671186497588052</v>
      </c>
      <c r="O5" s="10">
        <f t="shared" ref="O5:O18" si="5">M5-N5</f>
        <v>1.3288135024119518E-2</v>
      </c>
      <c r="S5" s="4" t="s">
        <v>4</v>
      </c>
      <c r="T5" s="10">
        <v>0.99711323956182729</v>
      </c>
      <c r="U5" s="10">
        <v>1.0209282122496003E-2</v>
      </c>
      <c r="V5" s="4" t="s">
        <v>7</v>
      </c>
      <c r="AC5" s="4" t="s">
        <v>4</v>
      </c>
      <c r="AD5" s="10">
        <v>0.99836204959469066</v>
      </c>
      <c r="AE5" s="10">
        <v>7.692472102377881E-3</v>
      </c>
      <c r="AF5" s="4" t="s">
        <v>7</v>
      </c>
      <c r="AM5" s="17"/>
      <c r="AN5" s="16"/>
      <c r="AQ5" s="1">
        <v>1302</v>
      </c>
      <c r="AR5" s="12">
        <f>2*PI()*AQ5</f>
        <v>8180.7072699478213</v>
      </c>
      <c r="AS5" s="22">
        <v>0.498</v>
      </c>
      <c r="AT5" s="10">
        <f t="shared" ref="AT5:AT17" si="6">AS5*SQRT(2)</f>
        <v>0.70427835406180139</v>
      </c>
      <c r="AU5" s="10">
        <v>0.88570000000000004</v>
      </c>
      <c r="AV5" s="10">
        <f t="shared" ref="AV5:AV17" si="7">AU5*SQRT(2)</f>
        <v>1.2525689521938503</v>
      </c>
      <c r="AW5" s="10">
        <f t="shared" ref="AW5:AW17" si="8">AT5*BG$3+BH$3</f>
        <v>1.2478686648676462</v>
      </c>
      <c r="AX5" s="10">
        <f>AV5-AW5</f>
        <v>4.700287326204089E-3</v>
      </c>
      <c r="AY5" s="11">
        <v>2.58</v>
      </c>
      <c r="AZ5" s="11">
        <f>AY5/2</f>
        <v>1.29</v>
      </c>
      <c r="BA5" s="10">
        <f t="shared" ref="BA5:BA17" si="9">AT5*BP$3+BQ$3</f>
        <v>1.2841660224960165</v>
      </c>
      <c r="BB5" s="10">
        <f>AZ5-BA5</f>
        <v>5.8339775039835118E-3</v>
      </c>
      <c r="BF5" s="4" t="s">
        <v>4</v>
      </c>
      <c r="BG5" s="10">
        <v>0.99893543914034943</v>
      </c>
      <c r="BH5" s="10">
        <v>5.7049356353866456E-3</v>
      </c>
      <c r="BI5" s="4" t="s">
        <v>7</v>
      </c>
      <c r="BO5" s="4" t="s">
        <v>4</v>
      </c>
      <c r="BP5" s="10">
        <v>0.99835168264397656</v>
      </c>
      <c r="BQ5" s="10">
        <v>7.2497480371591138E-3</v>
      </c>
      <c r="BR5" s="4" t="s">
        <v>7</v>
      </c>
      <c r="BV5" s="17"/>
    </row>
    <row r="6" spans="1:74" x14ac:dyDescent="0.25">
      <c r="A6" s="16"/>
      <c r="D6" s="1">
        <v>1501</v>
      </c>
      <c r="E6" s="12">
        <f t="shared" si="0"/>
        <v>9431.0611460765595</v>
      </c>
      <c r="F6" s="1">
        <v>0.32</v>
      </c>
      <c r="G6" s="10">
        <f t="shared" si="1"/>
        <v>0.45254833995939048</v>
      </c>
      <c r="H6" s="10">
        <v>0.65459999999999996</v>
      </c>
      <c r="I6" s="10">
        <f t="shared" si="2"/>
        <v>0.92574419792942797</v>
      </c>
      <c r="J6" s="10">
        <f t="shared" si="3"/>
        <v>0.91171615209770951</v>
      </c>
      <c r="K6" s="10">
        <f t="shared" ref="K6:K18" si="10">I6-J6</f>
        <v>1.4028045831718461E-2</v>
      </c>
      <c r="L6" s="11">
        <v>1.9</v>
      </c>
      <c r="M6" s="11">
        <f t="shared" ref="M6:M18" si="11">L6/2</f>
        <v>0.95</v>
      </c>
      <c r="N6" s="10">
        <f t="shared" si="4"/>
        <v>0.94165086684499766</v>
      </c>
      <c r="O6" s="10">
        <f t="shared" si="5"/>
        <v>8.3491331550022974E-3</v>
      </c>
      <c r="AM6" s="17"/>
      <c r="AN6" s="16"/>
      <c r="AQ6" s="1">
        <v>1302</v>
      </c>
      <c r="AR6" s="12">
        <f t="shared" ref="AR6:AR17" si="12">2*PI()*AQ6</f>
        <v>8180.7072699478213</v>
      </c>
      <c r="AS6" s="22">
        <v>0.48</v>
      </c>
      <c r="AT6" s="10">
        <f t="shared" si="6"/>
        <v>0.67882250993908566</v>
      </c>
      <c r="AU6" s="10">
        <v>0.85040000000000004</v>
      </c>
      <c r="AV6" s="10">
        <f t="shared" si="7"/>
        <v>1.2026472134420803</v>
      </c>
      <c r="AW6" s="10">
        <f t="shared" si="8"/>
        <v>1.2006223667859217</v>
      </c>
      <c r="AX6" s="10">
        <f t="shared" ref="AX6:AX17" si="13">AV6-AW6</f>
        <v>2.024846656158541E-3</v>
      </c>
      <c r="AY6" s="11">
        <v>2.46</v>
      </c>
      <c r="AZ6" s="11">
        <f t="shared" ref="AZ6:AZ17" si="14">AY6/2</f>
        <v>1.23</v>
      </c>
      <c r="BA6" s="10">
        <f t="shared" si="9"/>
        <v>1.2359292937260407</v>
      </c>
      <c r="BB6" s="10">
        <f t="shared" ref="BB6:BB17" si="15">AZ6-BA6</f>
        <v>-5.9292937260406742E-3</v>
      </c>
      <c r="BV6" s="17"/>
    </row>
    <row r="7" spans="1:74" x14ac:dyDescent="0.25">
      <c r="A7" s="16"/>
      <c r="D7" s="1">
        <v>1501</v>
      </c>
      <c r="E7" s="12">
        <f t="shared" si="0"/>
        <v>9431.0611460765595</v>
      </c>
      <c r="F7" s="1">
        <v>0.34399999999999997</v>
      </c>
      <c r="G7" s="10">
        <f t="shared" si="1"/>
        <v>0.48648946545634469</v>
      </c>
      <c r="H7" s="10">
        <v>0.69110000000000005</v>
      </c>
      <c r="I7" s="10">
        <f t="shared" si="2"/>
        <v>0.97736299295604612</v>
      </c>
      <c r="J7" s="10">
        <f t="shared" si="3"/>
        <v>0.98153022511749399</v>
      </c>
      <c r="K7" s="10">
        <f t="shared" si="10"/>
        <v>-4.1672321614478758E-3</v>
      </c>
      <c r="L7" s="11">
        <v>2.02</v>
      </c>
      <c r="M7" s="11">
        <f t="shared" si="11"/>
        <v>1.01</v>
      </c>
      <c r="N7" s="10">
        <f t="shared" si="4"/>
        <v>1.0115288705832315</v>
      </c>
      <c r="O7" s="10">
        <f t="shared" si="5"/>
        <v>-1.5288705832314786E-3</v>
      </c>
      <c r="AM7" s="17"/>
      <c r="AN7" s="16"/>
      <c r="AQ7" s="1">
        <v>1302</v>
      </c>
      <c r="AR7" s="12">
        <f t="shared" si="12"/>
        <v>8180.7072699478213</v>
      </c>
      <c r="AS7" s="22">
        <v>0.46700000000000003</v>
      </c>
      <c r="AT7" s="10">
        <f t="shared" si="6"/>
        <v>0.66043773362823543</v>
      </c>
      <c r="AU7" s="10">
        <v>0.82809999999999995</v>
      </c>
      <c r="AV7" s="10">
        <f t="shared" si="7"/>
        <v>1.17111025100116</v>
      </c>
      <c r="AW7" s="10">
        <f t="shared" si="8"/>
        <v>1.1665000403935655</v>
      </c>
      <c r="AX7" s="10">
        <f t="shared" si="13"/>
        <v>4.6102106075944782E-3</v>
      </c>
      <c r="AY7" s="11">
        <v>2.41</v>
      </c>
      <c r="AZ7" s="11">
        <f t="shared" si="14"/>
        <v>1.2050000000000001</v>
      </c>
      <c r="BA7" s="10">
        <f t="shared" si="9"/>
        <v>1.2010916562810581</v>
      </c>
      <c r="BB7" s="10">
        <f t="shared" si="15"/>
        <v>3.9083437189419978E-3</v>
      </c>
      <c r="BV7" s="17"/>
    </row>
    <row r="8" spans="1:74" x14ac:dyDescent="0.25">
      <c r="A8" s="16"/>
      <c r="D8" s="1">
        <v>1501</v>
      </c>
      <c r="E8" s="12">
        <f t="shared" si="0"/>
        <v>9431.0611460765595</v>
      </c>
      <c r="F8" s="1">
        <v>0.35699999999999998</v>
      </c>
      <c r="G8" s="10">
        <f t="shared" si="1"/>
        <v>0.50487424176719498</v>
      </c>
      <c r="H8" s="10">
        <v>0.71550000000000002</v>
      </c>
      <c r="I8" s="10">
        <f t="shared" si="2"/>
        <v>1.0118698038779497</v>
      </c>
      <c r="J8" s="10">
        <f t="shared" si="3"/>
        <v>1.0193461813365439</v>
      </c>
      <c r="K8" s="10">
        <f t="shared" si="10"/>
        <v>-7.4763774585941967E-3</v>
      </c>
      <c r="L8" s="11">
        <v>2.08</v>
      </c>
      <c r="M8" s="11">
        <f t="shared" si="11"/>
        <v>1.04</v>
      </c>
      <c r="N8" s="10">
        <f t="shared" si="4"/>
        <v>1.0493794559414418</v>
      </c>
      <c r="O8" s="10">
        <f t="shared" si="5"/>
        <v>-9.3794559414417389E-3</v>
      </c>
      <c r="AM8" s="17"/>
      <c r="AN8" s="16"/>
      <c r="AQ8" s="1">
        <v>1302</v>
      </c>
      <c r="AR8" s="12">
        <f t="shared" si="12"/>
        <v>8180.7072699478213</v>
      </c>
      <c r="AS8" s="22">
        <v>0.439</v>
      </c>
      <c r="AT8" s="10">
        <f t="shared" si="6"/>
        <v>0.6208397538817888</v>
      </c>
      <c r="AU8" s="10">
        <v>0.77380000000000004</v>
      </c>
      <c r="AV8" s="10">
        <f t="shared" si="7"/>
        <v>1.094318454564301</v>
      </c>
      <c r="AW8" s="10">
        <f t="shared" si="8"/>
        <v>1.0930057989331057</v>
      </c>
      <c r="AX8" s="10">
        <f t="shared" si="13"/>
        <v>1.3126556311953141E-3</v>
      </c>
      <c r="AY8" s="11">
        <v>2.2599999999999998</v>
      </c>
      <c r="AZ8" s="11">
        <f t="shared" si="14"/>
        <v>1.1299999999999999</v>
      </c>
      <c r="BA8" s="10">
        <f t="shared" si="9"/>
        <v>1.1260567448610959</v>
      </c>
      <c r="BB8" s="10">
        <f t="shared" si="15"/>
        <v>3.9432551389040338E-3</v>
      </c>
      <c r="BV8" s="17"/>
    </row>
    <row r="9" spans="1:74" x14ac:dyDescent="0.25">
      <c r="A9" s="16"/>
      <c r="D9" s="1">
        <v>1501</v>
      </c>
      <c r="E9" s="12">
        <f t="shared" si="0"/>
        <v>9431.0611460765595</v>
      </c>
      <c r="F9" s="1">
        <v>0.372</v>
      </c>
      <c r="G9" s="10">
        <f t="shared" si="1"/>
        <v>0.52608744520279138</v>
      </c>
      <c r="H9" s="10">
        <v>0.74339999999999995</v>
      </c>
      <c r="I9" s="10">
        <f t="shared" si="2"/>
        <v>1.0513263622681588</v>
      </c>
      <c r="J9" s="10">
        <f t="shared" si="3"/>
        <v>1.0629799769739092</v>
      </c>
      <c r="K9" s="10">
        <f t="shared" si="10"/>
        <v>-1.1653614705750437E-2</v>
      </c>
      <c r="L9" s="11">
        <v>2.1800000000000002</v>
      </c>
      <c r="M9" s="11">
        <f t="shared" si="11"/>
        <v>1.0900000000000001</v>
      </c>
      <c r="N9" s="10">
        <f t="shared" si="4"/>
        <v>1.0930532082778381</v>
      </c>
      <c r="O9" s="10">
        <f t="shared" si="5"/>
        <v>-3.0532082778380598E-3</v>
      </c>
      <c r="AM9" s="17"/>
      <c r="AN9" s="16"/>
      <c r="AQ9" s="1">
        <v>1302</v>
      </c>
      <c r="AR9" s="12">
        <f t="shared" si="12"/>
        <v>8180.7072699478213</v>
      </c>
      <c r="AS9" s="22">
        <v>0.42099999999999999</v>
      </c>
      <c r="AT9" s="10">
        <f t="shared" si="6"/>
        <v>0.59538390975907307</v>
      </c>
      <c r="AU9" s="10">
        <v>0.73729999999999996</v>
      </c>
      <c r="AV9" s="10">
        <f t="shared" si="7"/>
        <v>1.042699659537683</v>
      </c>
      <c r="AW9" s="10">
        <f t="shared" si="8"/>
        <v>1.0457595008513811</v>
      </c>
      <c r="AX9" s="10">
        <f t="shared" si="13"/>
        <v>-3.0598413136981861E-3</v>
      </c>
      <c r="AY9" s="11">
        <v>2.16</v>
      </c>
      <c r="AZ9" s="11">
        <f t="shared" si="14"/>
        <v>1.08</v>
      </c>
      <c r="BA9" s="10">
        <f t="shared" si="9"/>
        <v>1.0778200160911198</v>
      </c>
      <c r="BB9" s="10">
        <f t="shared" si="15"/>
        <v>2.1799839088803008E-3</v>
      </c>
      <c r="BV9" s="17"/>
    </row>
    <row r="10" spans="1:74" x14ac:dyDescent="0.25">
      <c r="A10" s="16"/>
      <c r="D10" s="1">
        <v>1501</v>
      </c>
      <c r="E10" s="12">
        <f t="shared" si="0"/>
        <v>9431.0611460765595</v>
      </c>
      <c r="F10" s="1">
        <v>0.39300000000000002</v>
      </c>
      <c r="G10" s="10">
        <f t="shared" si="1"/>
        <v>0.55578593001262644</v>
      </c>
      <c r="H10" s="10">
        <v>0.78510000000000002</v>
      </c>
      <c r="I10" s="10">
        <f t="shared" si="2"/>
        <v>1.1102990678191171</v>
      </c>
      <c r="J10" s="10">
        <f t="shared" si="3"/>
        <v>1.1240672908662208</v>
      </c>
      <c r="K10" s="10">
        <f t="shared" si="10"/>
        <v>-1.3768223047103678E-2</v>
      </c>
      <c r="L10" s="11">
        <v>2.29</v>
      </c>
      <c r="M10" s="11">
        <f t="shared" si="11"/>
        <v>1.145</v>
      </c>
      <c r="N10" s="10">
        <f t="shared" si="4"/>
        <v>1.154196461548793</v>
      </c>
      <c r="O10" s="10">
        <f t="shared" si="5"/>
        <v>-9.1964615487929446E-3</v>
      </c>
      <c r="AM10" s="17"/>
      <c r="AN10" s="16"/>
      <c r="AQ10" s="1">
        <v>1302</v>
      </c>
      <c r="AR10" s="12">
        <f t="shared" si="12"/>
        <v>8180.7072699478213</v>
      </c>
      <c r="AS10" s="22">
        <v>0.41</v>
      </c>
      <c r="AT10" s="10">
        <f t="shared" si="6"/>
        <v>0.57982756057296903</v>
      </c>
      <c r="AU10" s="10">
        <v>0.7167</v>
      </c>
      <c r="AV10" s="10">
        <f t="shared" si="7"/>
        <v>1.0135668601527974</v>
      </c>
      <c r="AW10" s="10">
        <f t="shared" si="8"/>
        <v>1.0168867631347718</v>
      </c>
      <c r="AX10" s="10">
        <f t="shared" si="13"/>
        <v>-3.3199029819743764E-3</v>
      </c>
      <c r="AY10" s="11">
        <v>2.1</v>
      </c>
      <c r="AZ10" s="11">
        <f t="shared" si="14"/>
        <v>1.05</v>
      </c>
      <c r="BA10" s="10">
        <f t="shared" si="9"/>
        <v>1.0483420151761347</v>
      </c>
      <c r="BB10" s="10">
        <f t="shared" si="15"/>
        <v>1.6579848238653661E-3</v>
      </c>
      <c r="BV10" s="17"/>
    </row>
    <row r="11" spans="1:74" x14ac:dyDescent="0.25">
      <c r="A11" s="16"/>
      <c r="D11" s="1">
        <v>1501</v>
      </c>
      <c r="E11" s="12">
        <f t="shared" si="0"/>
        <v>9431.0611460765595</v>
      </c>
      <c r="F11" s="1">
        <v>0.41199999999999998</v>
      </c>
      <c r="G11" s="10">
        <f t="shared" si="1"/>
        <v>0.58265598769771521</v>
      </c>
      <c r="H11" s="10">
        <v>0.82720000000000005</v>
      </c>
      <c r="I11" s="10">
        <f t="shared" si="2"/>
        <v>1.1698374587950244</v>
      </c>
      <c r="J11" s="10">
        <f t="shared" si="3"/>
        <v>1.1793367653402167</v>
      </c>
      <c r="K11" s="10">
        <f t="shared" si="10"/>
        <v>-9.4993065451922654E-3</v>
      </c>
      <c r="L11" s="11">
        <v>2.4</v>
      </c>
      <c r="M11" s="11">
        <f t="shared" si="11"/>
        <v>1.2</v>
      </c>
      <c r="N11" s="10">
        <f t="shared" si="4"/>
        <v>1.2095165478415615</v>
      </c>
      <c r="O11" s="10">
        <f t="shared" si="5"/>
        <v>-9.516547841561529E-3</v>
      </c>
      <c r="AM11" s="17"/>
      <c r="AN11" s="16"/>
      <c r="AQ11" s="1">
        <v>1302</v>
      </c>
      <c r="AR11" s="12">
        <f t="shared" si="12"/>
        <v>8180.7072699478213</v>
      </c>
      <c r="AS11" s="22">
        <v>0.39500000000000002</v>
      </c>
      <c r="AT11" s="10">
        <f t="shared" si="6"/>
        <v>0.55861435713737262</v>
      </c>
      <c r="AU11" s="10">
        <v>0.68769999999999998</v>
      </c>
      <c r="AV11" s="10">
        <f t="shared" si="7"/>
        <v>0.97255466684397751</v>
      </c>
      <c r="AW11" s="10">
        <f t="shared" si="8"/>
        <v>0.97751484806666833</v>
      </c>
      <c r="AX11" s="10">
        <f t="shared" si="13"/>
        <v>-4.9601812226908182E-3</v>
      </c>
      <c r="AY11" s="11">
        <v>2.0099999999999998</v>
      </c>
      <c r="AZ11" s="11">
        <f t="shared" si="14"/>
        <v>1.0049999999999999</v>
      </c>
      <c r="BA11" s="10">
        <f t="shared" si="9"/>
        <v>1.0081447412011548</v>
      </c>
      <c r="BB11" s="10">
        <f t="shared" si="15"/>
        <v>-3.1447412011549325E-3</v>
      </c>
      <c r="BV11" s="17"/>
    </row>
    <row r="12" spans="1:74" x14ac:dyDescent="0.25">
      <c r="A12" s="16"/>
      <c r="D12" s="1">
        <v>1501</v>
      </c>
      <c r="E12" s="12">
        <f t="shared" si="0"/>
        <v>9431.0611460765595</v>
      </c>
      <c r="F12" s="1">
        <v>0.42799999999999999</v>
      </c>
      <c r="G12" s="10">
        <f t="shared" si="1"/>
        <v>0.60528340469568476</v>
      </c>
      <c r="H12" s="10">
        <v>0.86240000000000006</v>
      </c>
      <c r="I12" s="10">
        <f t="shared" si="2"/>
        <v>1.2196177761905573</v>
      </c>
      <c r="J12" s="10">
        <f t="shared" si="3"/>
        <v>1.2258794806867399</v>
      </c>
      <c r="K12" s="10">
        <f t="shared" si="10"/>
        <v>-6.2617044961825741E-3</v>
      </c>
      <c r="L12" s="11">
        <v>2.5</v>
      </c>
      <c r="M12" s="11">
        <f t="shared" si="11"/>
        <v>1.25</v>
      </c>
      <c r="N12" s="10">
        <f t="shared" si="4"/>
        <v>1.256101883667051</v>
      </c>
      <c r="O12" s="10">
        <f t="shared" si="5"/>
        <v>-6.1018836670510002E-3</v>
      </c>
      <c r="AM12" s="17"/>
      <c r="AN12" s="16"/>
      <c r="AQ12" s="1">
        <v>1302</v>
      </c>
      <c r="AR12" s="12">
        <f t="shared" si="12"/>
        <v>8180.7072699478213</v>
      </c>
      <c r="AS12" s="22">
        <v>0.378</v>
      </c>
      <c r="AT12" s="10">
        <f t="shared" si="6"/>
        <v>0.53457272657702992</v>
      </c>
      <c r="AU12" s="10">
        <v>0.65459999999999996</v>
      </c>
      <c r="AV12" s="10">
        <f t="shared" si="7"/>
        <v>0.92574419792942797</v>
      </c>
      <c r="AW12" s="10">
        <f t="shared" si="8"/>
        <v>0.93289334432281756</v>
      </c>
      <c r="AX12" s="10">
        <f t="shared" si="13"/>
        <v>-7.1491463933895938E-3</v>
      </c>
      <c r="AY12" s="11">
        <v>1.9</v>
      </c>
      <c r="AZ12" s="11">
        <f t="shared" si="14"/>
        <v>0.95</v>
      </c>
      <c r="BA12" s="10">
        <f t="shared" si="9"/>
        <v>0.96258783069617748</v>
      </c>
      <c r="BB12" s="10">
        <f t="shared" si="15"/>
        <v>-1.2587830696177527E-2</v>
      </c>
      <c r="BV12" s="17"/>
    </row>
    <row r="13" spans="1:74" x14ac:dyDescent="0.25">
      <c r="A13" s="16"/>
      <c r="D13" s="1">
        <v>1501</v>
      </c>
      <c r="E13" s="12">
        <f t="shared" si="0"/>
        <v>9431.0611460765595</v>
      </c>
      <c r="F13" s="1">
        <v>0.439</v>
      </c>
      <c r="G13" s="10">
        <f t="shared" si="1"/>
        <v>0.6208397538817888</v>
      </c>
      <c r="H13" s="10">
        <v>0.88680000000000003</v>
      </c>
      <c r="I13" s="10">
        <f t="shared" si="2"/>
        <v>1.2541245871124609</v>
      </c>
      <c r="J13" s="10">
        <f t="shared" si="3"/>
        <v>1.2578775974874743</v>
      </c>
      <c r="K13" s="10">
        <f t="shared" si="10"/>
        <v>-3.7530103750134103E-3</v>
      </c>
      <c r="L13" s="11">
        <v>2.58</v>
      </c>
      <c r="M13" s="11">
        <f t="shared" si="11"/>
        <v>1.29</v>
      </c>
      <c r="N13" s="10">
        <f t="shared" si="4"/>
        <v>1.288129302047075</v>
      </c>
      <c r="O13" s="10">
        <f t="shared" si="5"/>
        <v>1.8706979529250489E-3</v>
      </c>
      <c r="AM13" s="17"/>
      <c r="AN13" s="16"/>
      <c r="AQ13" s="1">
        <v>1302</v>
      </c>
      <c r="AR13" s="12">
        <f t="shared" si="12"/>
        <v>8180.7072699478213</v>
      </c>
      <c r="AS13" s="22">
        <v>0.36299999999999999</v>
      </c>
      <c r="AT13" s="10">
        <f t="shared" si="6"/>
        <v>0.51335952314143352</v>
      </c>
      <c r="AU13" s="10">
        <v>0.62680000000000002</v>
      </c>
      <c r="AV13" s="10">
        <f t="shared" si="7"/>
        <v>0.88642906089545603</v>
      </c>
      <c r="AW13" s="10">
        <f t="shared" si="8"/>
        <v>0.89352142925471412</v>
      </c>
      <c r="AX13" s="10">
        <f t="shared" si="13"/>
        <v>-7.0923683592580833E-3</v>
      </c>
      <c r="AY13" s="11">
        <v>1.84</v>
      </c>
      <c r="AZ13" s="11">
        <f t="shared" si="14"/>
        <v>0.92</v>
      </c>
      <c r="BA13" s="10">
        <f t="shared" si="9"/>
        <v>0.92239055672119752</v>
      </c>
      <c r="BB13" s="10">
        <f t="shared" si="15"/>
        <v>-2.3905567211974788E-3</v>
      </c>
      <c r="BV13" s="17"/>
    </row>
    <row r="14" spans="1:74" x14ac:dyDescent="0.25">
      <c r="A14" s="16"/>
      <c r="D14" s="1">
        <v>1501</v>
      </c>
      <c r="E14" s="12">
        <f t="shared" si="0"/>
        <v>9431.0611460765595</v>
      </c>
      <c r="F14" s="1">
        <v>0.44800000000000001</v>
      </c>
      <c r="G14" s="10">
        <f t="shared" si="1"/>
        <v>0.63356767594314667</v>
      </c>
      <c r="H14" s="10">
        <v>0.90659999999999996</v>
      </c>
      <c r="I14" s="10">
        <f t="shared" si="2"/>
        <v>1.2821260156474481</v>
      </c>
      <c r="J14" s="10">
        <f t="shared" si="3"/>
        <v>1.2840578748698936</v>
      </c>
      <c r="K14" s="10">
        <f t="shared" si="10"/>
        <v>-1.9318592224455422E-3</v>
      </c>
      <c r="L14" s="11">
        <v>2.62</v>
      </c>
      <c r="M14" s="11">
        <f t="shared" si="11"/>
        <v>1.31</v>
      </c>
      <c r="N14" s="10">
        <f t="shared" si="4"/>
        <v>1.3143335534489127</v>
      </c>
      <c r="O14" s="10">
        <f t="shared" si="5"/>
        <v>-4.3335534489126193E-3</v>
      </c>
      <c r="AM14" s="17"/>
      <c r="AN14" s="16"/>
      <c r="AQ14" s="1">
        <v>1302</v>
      </c>
      <c r="AR14" s="12">
        <f t="shared" si="12"/>
        <v>8180.7072699478213</v>
      </c>
      <c r="AS14" s="22">
        <v>0.34599999999999997</v>
      </c>
      <c r="AT14" s="10">
        <f t="shared" si="6"/>
        <v>0.48931789258109087</v>
      </c>
      <c r="AU14" s="10">
        <v>0.59809999999999997</v>
      </c>
      <c r="AV14" s="10">
        <f t="shared" si="7"/>
        <v>0.84584113165534813</v>
      </c>
      <c r="AW14" s="10">
        <f t="shared" si="8"/>
        <v>0.84889992551086335</v>
      </c>
      <c r="AX14" s="10">
        <f t="shared" si="13"/>
        <v>-3.0587938555152183E-3</v>
      </c>
      <c r="AY14" s="11">
        <v>1.74</v>
      </c>
      <c r="AZ14" s="11">
        <f t="shared" si="14"/>
        <v>0.87</v>
      </c>
      <c r="BA14" s="10">
        <f t="shared" si="9"/>
        <v>0.87683364621622029</v>
      </c>
      <c r="BB14" s="10">
        <f t="shared" si="15"/>
        <v>-6.8336462162202904E-3</v>
      </c>
      <c r="BV14" s="17"/>
    </row>
    <row r="15" spans="1:74" x14ac:dyDescent="0.25">
      <c r="A15" s="16"/>
      <c r="D15" s="1">
        <v>1501</v>
      </c>
      <c r="E15" s="12">
        <f t="shared" si="0"/>
        <v>9431.0611460765595</v>
      </c>
      <c r="F15" s="1">
        <v>0.46700000000000003</v>
      </c>
      <c r="G15" s="10">
        <f t="shared" si="1"/>
        <v>0.66043773362823543</v>
      </c>
      <c r="H15" s="10">
        <v>0.95020000000000004</v>
      </c>
      <c r="I15" s="10">
        <f t="shared" si="2"/>
        <v>1.3437857269669151</v>
      </c>
      <c r="J15" s="10">
        <f t="shared" si="3"/>
        <v>1.3393273493438895</v>
      </c>
      <c r="K15" s="10">
        <f t="shared" si="10"/>
        <v>4.4583776230255889E-3</v>
      </c>
      <c r="L15" s="11">
        <v>2.74</v>
      </c>
      <c r="M15" s="11">
        <f t="shared" si="11"/>
        <v>1.37</v>
      </c>
      <c r="N15" s="10">
        <f t="shared" si="4"/>
        <v>1.3696536397416812</v>
      </c>
      <c r="O15" s="10">
        <f t="shared" si="5"/>
        <v>3.4636025831891182E-4</v>
      </c>
      <c r="AM15" s="17"/>
      <c r="AN15" s="16"/>
      <c r="AQ15" s="1">
        <v>1302</v>
      </c>
      <c r="AR15" s="12">
        <f t="shared" si="12"/>
        <v>8180.7072699478213</v>
      </c>
      <c r="AS15" s="22">
        <v>0.32900000000000001</v>
      </c>
      <c r="AT15" s="10">
        <f t="shared" si="6"/>
        <v>0.46527626202074834</v>
      </c>
      <c r="AU15" s="10">
        <v>0.56799999999999995</v>
      </c>
      <c r="AV15" s="10">
        <f t="shared" si="7"/>
        <v>0.80327330342791792</v>
      </c>
      <c r="AW15" s="10">
        <f t="shared" si="8"/>
        <v>0.80427842176701281</v>
      </c>
      <c r="AX15" s="10">
        <f t="shared" si="13"/>
        <v>-1.0051183390948903E-3</v>
      </c>
      <c r="AY15" s="11">
        <v>1.66</v>
      </c>
      <c r="AZ15" s="11">
        <f t="shared" si="14"/>
        <v>0.83</v>
      </c>
      <c r="BA15" s="10">
        <f t="shared" si="9"/>
        <v>0.83127673571124328</v>
      </c>
      <c r="BB15" s="10">
        <f t="shared" si="15"/>
        <v>-1.2767357112433153E-3</v>
      </c>
      <c r="BV15" s="17"/>
    </row>
    <row r="16" spans="1:74" x14ac:dyDescent="0.25">
      <c r="A16" s="16"/>
      <c r="D16" s="1">
        <v>1501</v>
      </c>
      <c r="E16" s="12">
        <f t="shared" si="0"/>
        <v>9431.0611460765595</v>
      </c>
      <c r="F16" s="1">
        <v>0.47799999999999998</v>
      </c>
      <c r="G16" s="10">
        <f t="shared" si="1"/>
        <v>0.67599408281433948</v>
      </c>
      <c r="H16" s="10">
        <v>0.97399999999999998</v>
      </c>
      <c r="I16" s="10">
        <f t="shared" si="2"/>
        <v>1.3774440097513947</v>
      </c>
      <c r="J16" s="10">
        <f t="shared" si="3"/>
        <v>1.3713254661446241</v>
      </c>
      <c r="K16" s="10">
        <f t="shared" si="10"/>
        <v>6.1185436067705545E-3</v>
      </c>
      <c r="L16" s="11">
        <v>2.82</v>
      </c>
      <c r="M16" s="11">
        <f t="shared" si="11"/>
        <v>1.41</v>
      </c>
      <c r="N16" s="10">
        <f t="shared" si="4"/>
        <v>1.4016810581217052</v>
      </c>
      <c r="O16" s="10">
        <f t="shared" si="5"/>
        <v>8.3189418782947389E-3</v>
      </c>
      <c r="AM16" s="17"/>
      <c r="AN16" s="16"/>
      <c r="AQ16" s="1">
        <v>1302</v>
      </c>
      <c r="AR16" s="12">
        <f t="shared" si="12"/>
        <v>8180.7072699478213</v>
      </c>
      <c r="AS16" s="22">
        <v>0.314</v>
      </c>
      <c r="AT16" s="10">
        <f t="shared" si="6"/>
        <v>0.44406305858515188</v>
      </c>
      <c r="AU16" s="10">
        <v>0.54549999999999998</v>
      </c>
      <c r="AV16" s="10">
        <f t="shared" si="7"/>
        <v>0.77145349827452336</v>
      </c>
      <c r="AW16" s="10">
        <f t="shared" si="8"/>
        <v>0.76490650669890925</v>
      </c>
      <c r="AX16" s="10">
        <f t="shared" si="13"/>
        <v>6.5469915756141139E-3</v>
      </c>
      <c r="AY16" s="11">
        <v>1.58</v>
      </c>
      <c r="AZ16" s="11">
        <f t="shared" si="14"/>
        <v>0.79</v>
      </c>
      <c r="BA16" s="10">
        <f t="shared" si="9"/>
        <v>0.79107946173626331</v>
      </c>
      <c r="BB16" s="10">
        <f t="shared" si="15"/>
        <v>-1.0794617362632764E-3</v>
      </c>
      <c r="BV16" s="17"/>
    </row>
    <row r="17" spans="1:74" x14ac:dyDescent="0.25">
      <c r="A17" s="16"/>
      <c r="D17" s="1">
        <v>1501</v>
      </c>
      <c r="E17" s="12">
        <f t="shared" si="0"/>
        <v>9431.0611460765595</v>
      </c>
      <c r="F17" s="1">
        <v>0.48599999999999999</v>
      </c>
      <c r="G17" s="10">
        <f t="shared" si="1"/>
        <v>0.6873077913133242</v>
      </c>
      <c r="H17" s="10">
        <v>0.99039999999999995</v>
      </c>
      <c r="I17" s="10">
        <f t="shared" si="2"/>
        <v>1.4006371121743133</v>
      </c>
      <c r="J17" s="10">
        <f t="shared" si="3"/>
        <v>1.3945968238178856</v>
      </c>
      <c r="K17" s="10">
        <f t="shared" si="10"/>
        <v>6.0402883564276699E-3</v>
      </c>
      <c r="L17" s="11">
        <v>2.86</v>
      </c>
      <c r="M17" s="11">
        <f t="shared" si="11"/>
        <v>1.43</v>
      </c>
      <c r="N17" s="10">
        <f t="shared" si="4"/>
        <v>1.4249737260344499</v>
      </c>
      <c r="O17" s="10">
        <f t="shared" si="5"/>
        <v>5.0262739655499988E-3</v>
      </c>
      <c r="AM17" s="17"/>
      <c r="AN17" s="16"/>
      <c r="AQ17" s="1">
        <v>1302</v>
      </c>
      <c r="AR17" s="12">
        <f t="shared" si="12"/>
        <v>8180.7072699478213</v>
      </c>
      <c r="AS17" s="22">
        <v>0.30399999999999999</v>
      </c>
      <c r="AT17" s="10">
        <f t="shared" si="6"/>
        <v>0.42992092296142093</v>
      </c>
      <c r="AU17" s="10">
        <v>0.52969999999999995</v>
      </c>
      <c r="AV17" s="10">
        <f t="shared" si="7"/>
        <v>0.7491089239890284</v>
      </c>
      <c r="AW17" s="10">
        <f t="shared" si="8"/>
        <v>0.73865856332017354</v>
      </c>
      <c r="AX17" s="10">
        <f t="shared" si="13"/>
        <v>1.0450360668854852E-2</v>
      </c>
      <c r="AY17" s="11">
        <v>1.56</v>
      </c>
      <c r="AZ17" s="11">
        <f t="shared" si="14"/>
        <v>0.78</v>
      </c>
      <c r="BA17" s="10">
        <f t="shared" si="9"/>
        <v>0.76428127908627674</v>
      </c>
      <c r="BB17" s="10">
        <f t="shared" si="15"/>
        <v>1.5718720913723283E-2</v>
      </c>
      <c r="BV17" s="17"/>
    </row>
    <row r="18" spans="1:74" x14ac:dyDescent="0.25">
      <c r="A18" s="16"/>
      <c r="D18" s="1">
        <v>1501</v>
      </c>
      <c r="E18" s="12">
        <f t="shared" si="0"/>
        <v>9431.0611460765595</v>
      </c>
      <c r="F18" s="1">
        <v>0.496</v>
      </c>
      <c r="G18" s="10">
        <f t="shared" si="1"/>
        <v>0.70144992693705521</v>
      </c>
      <c r="H18" s="10">
        <v>1.014</v>
      </c>
      <c r="I18" s="10">
        <f>H18*SQRT(2)</f>
        <v>1.4340125522463185</v>
      </c>
      <c r="J18" s="10">
        <f t="shared" si="3"/>
        <v>1.4236860209094626</v>
      </c>
      <c r="K18" s="10">
        <f t="shared" si="10"/>
        <v>1.0326531336855904E-2</v>
      </c>
      <c r="L18" s="11">
        <v>2.92</v>
      </c>
      <c r="M18" s="11">
        <f t="shared" si="11"/>
        <v>1.46</v>
      </c>
      <c r="N18" s="10">
        <f t="shared" si="4"/>
        <v>1.4540895609253808</v>
      </c>
      <c r="O18" s="10">
        <f t="shared" si="5"/>
        <v>5.9104390746191893E-3</v>
      </c>
      <c r="AM18" s="17"/>
      <c r="AN18" s="16"/>
      <c r="BV18" s="17"/>
    </row>
    <row r="19" spans="1:74" x14ac:dyDescent="0.25">
      <c r="A19" s="16"/>
      <c r="AM19" s="17"/>
      <c r="AN19" s="16"/>
      <c r="BV19" s="17"/>
    </row>
    <row r="20" spans="1:74" x14ac:dyDescent="0.25">
      <c r="A20" s="16"/>
      <c r="B20" s="48" t="s">
        <v>16</v>
      </c>
      <c r="C20" s="48"/>
      <c r="D20" s="1">
        <f>ω!C2</f>
        <v>1E-3</v>
      </c>
      <c r="AM20" s="17"/>
      <c r="AN20" s="16"/>
      <c r="BV20" s="17"/>
    </row>
    <row r="21" spans="1:74" x14ac:dyDescent="0.25">
      <c r="A21" s="16"/>
      <c r="B21" s="48" t="s">
        <v>15</v>
      </c>
      <c r="C21" s="48"/>
      <c r="D21" s="1">
        <f>ω!F2</f>
        <v>0</v>
      </c>
      <c r="AM21" s="17"/>
      <c r="AN21" s="16"/>
      <c r="BV21" s="17"/>
    </row>
    <row r="22" spans="1:74" x14ac:dyDescent="0.25">
      <c r="A22" s="16"/>
      <c r="B22" s="48" t="s">
        <v>61</v>
      </c>
      <c r="C22" s="48"/>
      <c r="D22" s="1">
        <f>ω!C3</f>
        <v>6.2831853071795862</v>
      </c>
      <c r="AM22" s="17"/>
      <c r="AN22" s="16"/>
      <c r="BV22" s="17"/>
    </row>
    <row r="23" spans="1:74" x14ac:dyDescent="0.25">
      <c r="A23" s="16"/>
      <c r="B23" s="48" t="s">
        <v>18</v>
      </c>
      <c r="C23" s="48"/>
      <c r="D23" s="1">
        <f>ω!I2</f>
        <v>1</v>
      </c>
      <c r="AM23" s="17"/>
      <c r="AN23" s="16"/>
      <c r="BV23" s="17"/>
    </row>
    <row r="24" spans="1:74" x14ac:dyDescent="0.25">
      <c r="A24" s="16"/>
      <c r="B24" s="48" t="s">
        <v>62</v>
      </c>
      <c r="C24" s="48"/>
      <c r="D24" s="1">
        <f>ω!M2</f>
        <v>1E-4</v>
      </c>
      <c r="AM24" s="17"/>
      <c r="AN24" s="16"/>
      <c r="BV24" s="17"/>
    </row>
    <row r="25" spans="1:74" ht="18" x14ac:dyDescent="0.25">
      <c r="A25" s="16"/>
      <c r="B25" s="48" t="s">
        <v>68</v>
      </c>
      <c r="C25" s="48"/>
      <c r="D25" s="1">
        <f>ω!Q2</f>
        <v>1.4142135623730951E-4</v>
      </c>
      <c r="AM25" s="17"/>
      <c r="AN25" s="16"/>
      <c r="BV25" s="17"/>
    </row>
    <row r="26" spans="1:74" x14ac:dyDescent="0.25">
      <c r="A26" s="16"/>
      <c r="B26" s="48" t="s">
        <v>64</v>
      </c>
      <c r="C26" s="48"/>
      <c r="D26" s="1">
        <f>ω!Q3</f>
        <v>1E-4</v>
      </c>
      <c r="AM26" s="17"/>
      <c r="AN26" s="16"/>
      <c r="BV26" s="17"/>
    </row>
    <row r="27" spans="1:74" ht="18" x14ac:dyDescent="0.25">
      <c r="A27" s="16"/>
      <c r="B27" s="48" t="s">
        <v>69</v>
      </c>
      <c r="C27" s="48"/>
      <c r="D27" s="29">
        <f>ω!Q4</f>
        <v>1.4142135623730951E-4</v>
      </c>
      <c r="AM27" s="17"/>
      <c r="AN27" s="16"/>
      <c r="BV27" s="17"/>
    </row>
    <row r="28" spans="1:74" x14ac:dyDescent="0.25">
      <c r="A28" s="16"/>
      <c r="B28" s="48" t="s">
        <v>65</v>
      </c>
      <c r="C28" s="48"/>
      <c r="D28" s="1">
        <f>ω!T2</f>
        <v>1E-3</v>
      </c>
      <c r="AM28" s="17"/>
      <c r="AN28" s="16"/>
      <c r="BV28" s="17"/>
    </row>
    <row r="29" spans="1:74" x14ac:dyDescent="0.25">
      <c r="A29" s="16"/>
      <c r="B29" s="48" t="s">
        <v>66</v>
      </c>
      <c r="C29" s="48"/>
      <c r="D29" s="1">
        <f>ω!T3</f>
        <v>1.4142135623730952E-3</v>
      </c>
      <c r="AM29" s="17"/>
      <c r="AN29" s="16"/>
      <c r="BV29" s="17"/>
    </row>
    <row r="30" spans="1:74" x14ac:dyDescent="0.25">
      <c r="A30" s="16"/>
      <c r="AM30" s="17"/>
      <c r="AN30" s="16"/>
      <c r="BV30" s="17"/>
    </row>
    <row r="31" spans="1:74" x14ac:dyDescent="0.25">
      <c r="A31" s="16"/>
      <c r="AM31" s="17"/>
      <c r="AN31" s="16"/>
      <c r="BV31" s="17"/>
    </row>
    <row r="32" spans="1:74" x14ac:dyDescent="0.25">
      <c r="A32" s="16"/>
      <c r="AM32" s="17"/>
      <c r="AN32" s="16"/>
      <c r="BV32" s="17"/>
    </row>
    <row r="33" spans="1:74" x14ac:dyDescent="0.25">
      <c r="A33" s="16"/>
      <c r="AM33" s="17"/>
      <c r="AN33" s="16"/>
      <c r="BV33" s="17"/>
    </row>
    <row r="34" spans="1:74" x14ac:dyDescent="0.25">
      <c r="A34" s="16"/>
      <c r="AM34" s="17"/>
      <c r="AN34" s="16"/>
      <c r="BV34" s="17"/>
    </row>
    <row r="35" spans="1:74" x14ac:dyDescent="0.25">
      <c r="A35" s="16"/>
      <c r="AM35" s="17"/>
      <c r="AN35" s="16"/>
      <c r="BV35" s="17"/>
    </row>
    <row r="36" spans="1:74" x14ac:dyDescent="0.25">
      <c r="A36" s="16"/>
      <c r="AM36" s="17"/>
      <c r="AN36" s="16"/>
      <c r="BV36" s="17"/>
    </row>
    <row r="37" spans="1:74" x14ac:dyDescent="0.25">
      <c r="A37" s="16"/>
      <c r="AM37" s="17"/>
      <c r="AN37" s="16"/>
      <c r="BV37" s="17"/>
    </row>
    <row r="38" spans="1:74" x14ac:dyDescent="0.25">
      <c r="A38" s="16"/>
      <c r="AM38" s="17"/>
      <c r="AN38" s="16"/>
      <c r="BV38" s="17"/>
    </row>
    <row r="39" spans="1:74" x14ac:dyDescent="0.25">
      <c r="A39" s="16"/>
      <c r="AM39" s="17"/>
      <c r="AN39" s="16"/>
      <c r="BV39" s="17"/>
    </row>
    <row r="40" spans="1:74" x14ac:dyDescent="0.25">
      <c r="A40" s="16"/>
      <c r="AM40" s="17"/>
      <c r="AN40" s="16"/>
      <c r="BV40" s="17"/>
    </row>
    <row r="41" spans="1:74" x14ac:dyDescent="0.25">
      <c r="A41" s="16"/>
      <c r="AM41" s="17"/>
      <c r="AN41" s="16"/>
      <c r="BV41" s="17"/>
    </row>
    <row r="42" spans="1:74" x14ac:dyDescent="0.25">
      <c r="A42" s="16"/>
      <c r="AM42" s="17"/>
      <c r="AN42" s="16"/>
      <c r="BV42" s="17"/>
    </row>
    <row r="43" spans="1:74" x14ac:dyDescent="0.25">
      <c r="A43" s="16"/>
      <c r="AM43" s="17"/>
      <c r="AN43" s="16"/>
      <c r="BV43" s="17"/>
    </row>
    <row r="44" spans="1:74" x14ac:dyDescent="0.25">
      <c r="A44" s="16"/>
      <c r="AM44" s="17"/>
      <c r="AN44" s="16"/>
      <c r="BJ44" s="2" t="s">
        <v>91</v>
      </c>
      <c r="BV44" s="17"/>
    </row>
    <row r="45" spans="1:74" x14ac:dyDescent="0.25">
      <c r="A45" s="16"/>
      <c r="AM45" s="17"/>
      <c r="AN45" s="16"/>
      <c r="BV45" s="17"/>
    </row>
    <row r="46" spans="1:74" x14ac:dyDescent="0.25">
      <c r="A46" s="16"/>
      <c r="AM46" s="17"/>
      <c r="AN46" s="16"/>
      <c r="BV46" s="17"/>
    </row>
    <row r="47" spans="1:74" x14ac:dyDescent="0.25">
      <c r="A47" s="16"/>
      <c r="AM47" s="17"/>
      <c r="AN47" s="16"/>
      <c r="BV47" s="17"/>
    </row>
    <row r="48" spans="1:74" x14ac:dyDescent="0.25">
      <c r="A48" s="16"/>
      <c r="AM48" s="17"/>
      <c r="AN48" s="16"/>
      <c r="BV48" s="17"/>
    </row>
    <row r="49" spans="1:74" ht="15.75" thickBot="1" x14ac:dyDescent="0.3">
      <c r="A49" s="1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20"/>
      <c r="AN49" s="18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20"/>
    </row>
    <row r="50" spans="1:74" x14ac:dyDescent="0.25">
      <c r="AN50" s="16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5"/>
    </row>
    <row r="51" spans="1:74" x14ac:dyDescent="0.25">
      <c r="AN51" s="16"/>
      <c r="BV51" s="17"/>
    </row>
    <row r="52" spans="1:74" x14ac:dyDescent="0.25">
      <c r="AN52" s="16"/>
      <c r="BV52" s="17"/>
    </row>
    <row r="53" spans="1:74" x14ac:dyDescent="0.25">
      <c r="AN53" s="16"/>
      <c r="BV53" s="17"/>
    </row>
    <row r="54" spans="1:74" x14ac:dyDescent="0.25">
      <c r="AN54" s="16"/>
      <c r="BV54" s="17"/>
    </row>
    <row r="55" spans="1:74" x14ac:dyDescent="0.25">
      <c r="AN55" s="16"/>
      <c r="BV55" s="17"/>
    </row>
    <row r="56" spans="1:74" x14ac:dyDescent="0.25">
      <c r="AN56" s="16"/>
      <c r="BV56" s="17"/>
    </row>
    <row r="57" spans="1:74" x14ac:dyDescent="0.25">
      <c r="AN57" s="16"/>
      <c r="BV57" s="17"/>
    </row>
    <row r="58" spans="1:74" x14ac:dyDescent="0.25">
      <c r="AN58" s="16"/>
      <c r="BV58" s="17"/>
    </row>
    <row r="59" spans="1:74" ht="18" x14ac:dyDescent="0.25">
      <c r="D59" s="60" t="s">
        <v>23</v>
      </c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AN59" s="16"/>
      <c r="AQ59" s="60" t="s">
        <v>20</v>
      </c>
      <c r="AR59" s="60"/>
      <c r="AS59" s="60"/>
      <c r="AT59" s="60"/>
      <c r="AU59" s="60"/>
      <c r="AV59" s="60"/>
      <c r="AW59" s="60"/>
      <c r="AX59" s="60"/>
      <c r="AY59" s="60"/>
      <c r="AZ59" s="60"/>
      <c r="BA59" s="60"/>
      <c r="BB59" s="60"/>
      <c r="BF59" s="48" t="s">
        <v>8</v>
      </c>
      <c r="BG59" s="48"/>
      <c r="BH59" s="48"/>
      <c r="BI59" s="48"/>
      <c r="BO59" s="48" t="s">
        <v>9</v>
      </c>
      <c r="BP59" s="48"/>
      <c r="BQ59" s="48"/>
      <c r="BR59" s="48"/>
      <c r="BV59" s="17"/>
    </row>
    <row r="60" spans="1:74" ht="18" x14ac:dyDescent="0.25">
      <c r="D60" s="48" t="s">
        <v>83</v>
      </c>
      <c r="E60" s="48" t="s">
        <v>77</v>
      </c>
      <c r="F60" s="48" t="s">
        <v>78</v>
      </c>
      <c r="G60" s="48" t="s">
        <v>79</v>
      </c>
      <c r="H60" s="56" t="s">
        <v>13</v>
      </c>
      <c r="I60" s="57"/>
      <c r="J60" s="57"/>
      <c r="K60" s="58"/>
      <c r="L60" s="59" t="s">
        <v>12</v>
      </c>
      <c r="M60" s="59"/>
      <c r="N60" s="59"/>
      <c r="O60" s="59"/>
      <c r="R60" s="48" t="s">
        <v>8</v>
      </c>
      <c r="S60" s="48"/>
      <c r="T60" s="48"/>
      <c r="U60" s="48"/>
      <c r="X60" s="48" t="s">
        <v>8</v>
      </c>
      <c r="Y60" s="48"/>
      <c r="Z60" s="48"/>
      <c r="AA60" s="48"/>
      <c r="AN60" s="16"/>
      <c r="AQ60" s="48" t="s">
        <v>83</v>
      </c>
      <c r="AR60" s="48" t="s">
        <v>77</v>
      </c>
      <c r="AS60" s="48" t="s">
        <v>78</v>
      </c>
      <c r="AT60" s="48" t="s">
        <v>79</v>
      </c>
      <c r="AU60" s="56" t="s">
        <v>13</v>
      </c>
      <c r="AV60" s="57"/>
      <c r="AW60" s="57"/>
      <c r="AX60" s="58"/>
      <c r="AY60" s="59" t="s">
        <v>12</v>
      </c>
      <c r="AZ60" s="59"/>
      <c r="BA60" s="59"/>
      <c r="BB60" s="59"/>
      <c r="BF60" s="4" t="s">
        <v>3</v>
      </c>
      <c r="BG60" s="10">
        <f t="array" ref="BG60:BH62">LINEST(AV62:AV81,AT62:AT81,1,1)</f>
        <v>2.0119451002590227</v>
      </c>
      <c r="BH60" s="10">
        <v>8.8361325153019088E-4</v>
      </c>
      <c r="BI60" s="4" t="s">
        <v>5</v>
      </c>
      <c r="BO60" s="4" t="s">
        <v>3</v>
      </c>
      <c r="BP60" s="10">
        <f t="array" ref="BP60:BQ62">LINEST(AZ62:AZ81,AT62:AT81,1,1)</f>
        <v>2.0446100989716602</v>
      </c>
      <c r="BQ60" s="10">
        <v>1.4345534469972554E-2</v>
      </c>
      <c r="BR60" s="4" t="s">
        <v>5</v>
      </c>
      <c r="BV60" s="17"/>
    </row>
    <row r="61" spans="1:74" ht="18" x14ac:dyDescent="0.25">
      <c r="D61" s="48"/>
      <c r="E61" s="48"/>
      <c r="F61" s="48"/>
      <c r="G61" s="48"/>
      <c r="H61" s="3" t="s">
        <v>86</v>
      </c>
      <c r="I61" s="3" t="s">
        <v>80</v>
      </c>
      <c r="J61" s="3" t="s">
        <v>0</v>
      </c>
      <c r="K61" s="3" t="s">
        <v>1</v>
      </c>
      <c r="L61" s="21" t="s">
        <v>85</v>
      </c>
      <c r="M61" s="3" t="s">
        <v>84</v>
      </c>
      <c r="N61" s="3" t="s">
        <v>0</v>
      </c>
      <c r="O61" s="3" t="s">
        <v>1</v>
      </c>
      <c r="R61" s="4" t="s">
        <v>3</v>
      </c>
      <c r="S61" s="10">
        <f t="array" ref="S61:T63">LINEST(I62:I65,G62:G65,1,1)</f>
        <v>1.8344644557611889</v>
      </c>
      <c r="T61" s="10">
        <v>-4.8402880529161196E-2</v>
      </c>
      <c r="U61" s="4" t="s">
        <v>5</v>
      </c>
      <c r="X61" s="4" t="s">
        <v>3</v>
      </c>
      <c r="Y61" s="10">
        <f t="array" ref="Y61:Z63">LINEST(M62:M65,G62:G65,1,1)</f>
        <v>1.8528385571148345</v>
      </c>
      <c r="Z61" s="10">
        <v>-2.716791564884935E-2</v>
      </c>
      <c r="AA61" s="4" t="s">
        <v>5</v>
      </c>
      <c r="AN61" s="16"/>
      <c r="AQ61" s="48"/>
      <c r="AR61" s="48"/>
      <c r="AS61" s="48"/>
      <c r="AT61" s="48"/>
      <c r="AU61" s="3" t="s">
        <v>86</v>
      </c>
      <c r="AV61" s="3" t="s">
        <v>80</v>
      </c>
      <c r="AW61" s="3" t="s">
        <v>0</v>
      </c>
      <c r="AX61" s="3" t="s">
        <v>1</v>
      </c>
      <c r="AY61" s="21" t="s">
        <v>85</v>
      </c>
      <c r="AZ61" s="3" t="s">
        <v>84</v>
      </c>
      <c r="BA61" s="3" t="s">
        <v>0</v>
      </c>
      <c r="BB61" s="3" t="s">
        <v>1</v>
      </c>
      <c r="BF61" s="4" t="s">
        <v>2</v>
      </c>
      <c r="BG61" s="10">
        <v>3.0114964400467292E-2</v>
      </c>
      <c r="BH61" s="10">
        <v>1.7104485913794602E-2</v>
      </c>
      <c r="BI61" s="4" t="s">
        <v>6</v>
      </c>
      <c r="BO61" s="4" t="s">
        <v>2</v>
      </c>
      <c r="BP61" s="10">
        <v>3.2074919895328922E-2</v>
      </c>
      <c r="BQ61" s="10">
        <v>1.8217687666508775E-2</v>
      </c>
      <c r="BR61" s="4" t="s">
        <v>6</v>
      </c>
      <c r="BV61" s="17"/>
    </row>
    <row r="62" spans="1:74" x14ac:dyDescent="0.25">
      <c r="D62" s="1">
        <v>1302</v>
      </c>
      <c r="E62" s="12">
        <f>2*PI()*D62</f>
        <v>8180.7072699478213</v>
      </c>
      <c r="F62" s="22">
        <v>0.47799999999999998</v>
      </c>
      <c r="G62" s="10">
        <f>F62*SQRT(2)</f>
        <v>0.67599408281433948</v>
      </c>
      <c r="H62" s="10">
        <v>0.8448</v>
      </c>
      <c r="I62" s="10">
        <f>H62*SQRT(2)</f>
        <v>1.1947276174927908</v>
      </c>
      <c r="J62" s="10">
        <f>G62*S$61+T$61</f>
        <v>1.1916842366986302</v>
      </c>
      <c r="K62" s="10">
        <f>I62-J62</f>
        <v>3.0433807941605551E-3</v>
      </c>
      <c r="L62" s="11">
        <v>2.46</v>
      </c>
      <c r="M62" s="11">
        <f>L62/2</f>
        <v>1.23</v>
      </c>
      <c r="N62" s="10">
        <f>G62*Y$61+Z$61</f>
        <v>1.2253399853710374</v>
      </c>
      <c r="O62" s="10">
        <f>M62-N62</f>
        <v>4.6600146289625943E-3</v>
      </c>
      <c r="R62" s="4" t="s">
        <v>2</v>
      </c>
      <c r="S62" s="10">
        <v>4.2507302139920163E-2</v>
      </c>
      <c r="T62" s="10">
        <v>2.4220677917410099E-2</v>
      </c>
      <c r="U62" s="4" t="s">
        <v>6</v>
      </c>
      <c r="X62" s="4" t="s">
        <v>2</v>
      </c>
      <c r="Y62" s="10">
        <v>3.5727030039375308E-2</v>
      </c>
      <c r="Z62" s="10">
        <v>2.0357276137661039E-2</v>
      </c>
      <c r="AA62" s="4" t="s">
        <v>6</v>
      </c>
      <c r="AN62" s="16"/>
      <c r="AQ62" s="1">
        <v>1501</v>
      </c>
      <c r="AR62" s="12">
        <f t="shared" ref="AR62:AR81" si="16">2*PI()*AQ62</f>
        <v>9431.0611460765595</v>
      </c>
      <c r="AS62" s="22">
        <v>0.497</v>
      </c>
      <c r="AT62" s="10">
        <f t="shared" ref="AT62:AT81" si="17">AS62*SQRT(2)</f>
        <v>0.70286414049942825</v>
      </c>
      <c r="AU62" s="10">
        <v>1.0111000000000001</v>
      </c>
      <c r="AV62" s="10">
        <f t="shared" ref="AV62:AV81" si="18">AU62*SQRT(2)</f>
        <v>1.4299113329154367</v>
      </c>
      <c r="AW62" s="10">
        <f t="shared" ref="AW62:AW81" si="19">AT62*BG$60+BH$60</f>
        <v>1.4150076768771243</v>
      </c>
      <c r="AX62" s="10">
        <f t="shared" ref="AX62:AX81" si="20">AV62-AW62</f>
        <v>1.4903656038312452E-2</v>
      </c>
      <c r="AY62" s="11">
        <v>2.92</v>
      </c>
      <c r="AZ62" s="11">
        <f t="shared" ref="AZ62:AZ81" si="21">AY62/2</f>
        <v>1.46</v>
      </c>
      <c r="BA62" s="10">
        <f t="shared" ref="BA62:BA81" si="22">AT62*BP$60+BQ$60</f>
        <v>1.4514286543401393</v>
      </c>
      <c r="BB62" s="10">
        <f t="shared" ref="BB62:BB81" si="23">AZ62-BA62</f>
        <v>8.5713456598606186E-3</v>
      </c>
      <c r="BF62" s="4" t="s">
        <v>4</v>
      </c>
      <c r="BG62" s="10">
        <v>0.99598341402394097</v>
      </c>
      <c r="BH62" s="10">
        <v>1.1250408198417088E-2</v>
      </c>
      <c r="BI62" s="4" t="s">
        <v>7</v>
      </c>
      <c r="BO62" s="4" t="s">
        <v>4</v>
      </c>
      <c r="BP62" s="10">
        <v>0.99558975130535743</v>
      </c>
      <c r="BQ62" s="10">
        <v>1.1982612263967364E-2</v>
      </c>
      <c r="BR62" s="4" t="s">
        <v>7</v>
      </c>
      <c r="BV62" s="17"/>
    </row>
    <row r="63" spans="1:74" x14ac:dyDescent="0.25">
      <c r="D63" s="1">
        <v>1302</v>
      </c>
      <c r="E63" s="12">
        <f t="shared" ref="E63:E65" si="24">2*PI()*D63</f>
        <v>8180.7072699478213</v>
      </c>
      <c r="F63" s="22">
        <v>0.44500000000000001</v>
      </c>
      <c r="G63" s="10">
        <f>F63*SQRT(2)</f>
        <v>0.62932503525602734</v>
      </c>
      <c r="H63" s="10">
        <v>0.78156000000000003</v>
      </c>
      <c r="I63" s="10">
        <f>H63*SQRT(2)</f>
        <v>1.1052927518083162</v>
      </c>
      <c r="J63" s="10">
        <f>G63*S$61+T$61</f>
        <v>1.1060715277686781</v>
      </c>
      <c r="K63" s="10">
        <f>I63-J63</f>
        <v>-7.7877596036191044E-4</v>
      </c>
      <c r="L63" s="11">
        <v>2.27</v>
      </c>
      <c r="M63" s="11">
        <f>L63/2</f>
        <v>1.135</v>
      </c>
      <c r="N63" s="10">
        <f>G63*Y$61+Z$61</f>
        <v>1.1388697746311707</v>
      </c>
      <c r="O63" s="10">
        <f>M63-N63</f>
        <v>-3.8697746311706638E-3</v>
      </c>
      <c r="R63" s="4" t="s">
        <v>4</v>
      </c>
      <c r="S63" s="1">
        <v>0.99892731461017292</v>
      </c>
      <c r="T63" s="1">
        <v>8.0908604796679287E-3</v>
      </c>
      <c r="U63" s="4" t="s">
        <v>7</v>
      </c>
      <c r="X63" s="4" t="s">
        <v>4</v>
      </c>
      <c r="Y63" s="10">
        <v>0.99925693665501336</v>
      </c>
      <c r="Z63" s="10">
        <v>6.8003002037153879E-3</v>
      </c>
      <c r="AA63" s="4" t="s">
        <v>7</v>
      </c>
      <c r="AN63" s="16"/>
      <c r="AQ63" s="1">
        <v>1501</v>
      </c>
      <c r="AR63" s="12">
        <f t="shared" si="16"/>
        <v>9431.0611460765595</v>
      </c>
      <c r="AS63" s="22">
        <v>0.48099999999999998</v>
      </c>
      <c r="AT63" s="10">
        <f t="shared" si="17"/>
        <v>0.6802367235014587</v>
      </c>
      <c r="AU63" s="10">
        <v>0.97489999999999999</v>
      </c>
      <c r="AV63" s="10">
        <f t="shared" si="18"/>
        <v>1.3787168019575304</v>
      </c>
      <c r="AW63" s="10">
        <f t="shared" si="19"/>
        <v>1.3694825561165416</v>
      </c>
      <c r="AX63" s="10">
        <f t="shared" si="20"/>
        <v>9.2342458409888639E-3</v>
      </c>
      <c r="AY63" s="11">
        <v>2.82</v>
      </c>
      <c r="AZ63" s="11">
        <f t="shared" si="21"/>
        <v>1.41</v>
      </c>
      <c r="BA63" s="10">
        <f t="shared" si="22"/>
        <v>1.405164409032448</v>
      </c>
      <c r="BB63" s="10">
        <f t="shared" si="23"/>
        <v>4.8355909675519282E-3</v>
      </c>
      <c r="BV63" s="17"/>
    </row>
    <row r="64" spans="1:74" x14ac:dyDescent="0.25">
      <c r="D64" s="1">
        <v>1302</v>
      </c>
      <c r="E64" s="12">
        <f t="shared" si="24"/>
        <v>8180.7072699478213</v>
      </c>
      <c r="F64" s="22">
        <v>0.35599999999999998</v>
      </c>
      <c r="G64" s="10">
        <f>F64*SQRT(2)</f>
        <v>0.50346002820482183</v>
      </c>
      <c r="H64" s="10">
        <v>0.61260000000000003</v>
      </c>
      <c r="I64" s="10">
        <f>H64*SQRT(2)</f>
        <v>0.86634722830975819</v>
      </c>
      <c r="J64" s="10">
        <f>G64*S$61+T$61</f>
        <v>0.87517664610911006</v>
      </c>
      <c r="K64" s="10">
        <f>I64-J64</f>
        <v>-8.8294177993518685E-3</v>
      </c>
      <c r="L64" s="11">
        <v>1.8</v>
      </c>
      <c r="M64" s="11">
        <f>L64/2</f>
        <v>0.9</v>
      </c>
      <c r="N64" s="10">
        <f>G64*Y$61+Z$61</f>
        <v>0.90566223657516665</v>
      </c>
      <c r="O64" s="10">
        <f>M64-N64</f>
        <v>-5.6622365751666237E-3</v>
      </c>
      <c r="AN64" s="16"/>
      <c r="AQ64" s="1">
        <v>1501</v>
      </c>
      <c r="AR64" s="12">
        <f t="shared" si="16"/>
        <v>9431.0611460765595</v>
      </c>
      <c r="AS64" s="22">
        <v>0.47499999999999998</v>
      </c>
      <c r="AT64" s="10">
        <f t="shared" si="17"/>
        <v>0.67175144212722016</v>
      </c>
      <c r="AU64" s="10">
        <v>0.96150000000000002</v>
      </c>
      <c r="AV64" s="10">
        <f t="shared" si="18"/>
        <v>1.359766340221731</v>
      </c>
      <c r="AW64" s="10">
        <f t="shared" si="19"/>
        <v>1.3524106358313233</v>
      </c>
      <c r="AX64" s="10">
        <f t="shared" si="20"/>
        <v>7.3557043904077801E-3</v>
      </c>
      <c r="AY64" s="11">
        <v>2.78</v>
      </c>
      <c r="AZ64" s="11">
        <f t="shared" si="21"/>
        <v>1.39</v>
      </c>
      <c r="BA64" s="10">
        <f t="shared" si="22"/>
        <v>1.3878153170420637</v>
      </c>
      <c r="BB64" s="10">
        <f t="shared" si="23"/>
        <v>2.1846829579361682E-3</v>
      </c>
      <c r="BV64" s="17"/>
    </row>
    <row r="65" spans="4:74" x14ac:dyDescent="0.25">
      <c r="D65" s="1">
        <v>1302</v>
      </c>
      <c r="E65" s="12">
        <f t="shared" si="24"/>
        <v>8180.7072699478213</v>
      </c>
      <c r="F65" s="22">
        <v>0.31</v>
      </c>
      <c r="G65" s="10">
        <f>F65*SQRT(2)</f>
        <v>0.43840620433565947</v>
      </c>
      <c r="H65" s="10">
        <v>0.53910000000000002</v>
      </c>
      <c r="I65" s="10">
        <f>H65*SQRT(2)</f>
        <v>0.76240253147533565</v>
      </c>
      <c r="J65" s="10">
        <f>G65*S$61+T$61</f>
        <v>0.75583771850978287</v>
      </c>
      <c r="K65" s="10">
        <f>I65-J65</f>
        <v>6.5648129655527798E-3</v>
      </c>
      <c r="L65" s="11">
        <v>1.58</v>
      </c>
      <c r="M65" s="11">
        <f>L65/2</f>
        <v>0.79</v>
      </c>
      <c r="N65" s="10">
        <f>G65*Y$61+Z$61</f>
        <v>0.78512800342262523</v>
      </c>
      <c r="O65" s="10">
        <f>M65-N65</f>
        <v>4.8719965773748042E-3</v>
      </c>
      <c r="AN65" s="16"/>
      <c r="AQ65" s="1">
        <v>1501</v>
      </c>
      <c r="AR65" s="12">
        <f t="shared" si="16"/>
        <v>9431.0611460765595</v>
      </c>
      <c r="AS65" s="22">
        <v>0.46200000000000002</v>
      </c>
      <c r="AT65" s="10">
        <f t="shared" si="17"/>
        <v>0.65336666581637004</v>
      </c>
      <c r="AU65" s="10">
        <v>0.93489999999999995</v>
      </c>
      <c r="AV65" s="10">
        <f t="shared" si="18"/>
        <v>1.3221482594626066</v>
      </c>
      <c r="AW65" s="10">
        <f t="shared" si="19"/>
        <v>1.3154214752133502</v>
      </c>
      <c r="AX65" s="10">
        <f t="shared" si="20"/>
        <v>6.7267842492564345E-3</v>
      </c>
      <c r="AY65" s="11">
        <v>2.74</v>
      </c>
      <c r="AZ65" s="11">
        <f t="shared" si="21"/>
        <v>1.37</v>
      </c>
      <c r="BA65" s="10">
        <f t="shared" si="22"/>
        <v>1.3502256177295646</v>
      </c>
      <c r="BB65" s="10">
        <f t="shared" si="23"/>
        <v>1.9774382270435487E-2</v>
      </c>
      <c r="BV65" s="17"/>
    </row>
    <row r="66" spans="4:74" x14ac:dyDescent="0.25">
      <c r="AN66" s="16"/>
      <c r="AQ66" s="1">
        <v>1501</v>
      </c>
      <c r="AR66" s="12">
        <f t="shared" si="16"/>
        <v>9431.0611460765595</v>
      </c>
      <c r="AS66" s="22">
        <v>0.45300000000000001</v>
      </c>
      <c r="AT66" s="10">
        <f t="shared" si="17"/>
        <v>0.64063874375501217</v>
      </c>
      <c r="AU66" s="10">
        <v>0.9143</v>
      </c>
      <c r="AV66" s="10">
        <f t="shared" si="18"/>
        <v>1.2930154600777208</v>
      </c>
      <c r="AW66" s="10">
        <f t="shared" si="19"/>
        <v>1.2898135947855225</v>
      </c>
      <c r="AX66" s="10">
        <f t="shared" si="20"/>
        <v>3.201865292198347E-3</v>
      </c>
      <c r="AY66" s="11">
        <v>2.66</v>
      </c>
      <c r="AZ66" s="11">
        <f t="shared" si="21"/>
        <v>1.33</v>
      </c>
      <c r="BA66" s="10">
        <f t="shared" si="22"/>
        <v>1.3242019797439881</v>
      </c>
      <c r="BB66" s="10">
        <f t="shared" si="23"/>
        <v>5.7980202560119487E-3</v>
      </c>
      <c r="BV66" s="17"/>
    </row>
    <row r="67" spans="4:74" x14ac:dyDescent="0.25">
      <c r="AN67" s="16"/>
      <c r="AQ67" s="1">
        <v>1501</v>
      </c>
      <c r="AR67" s="12">
        <f t="shared" si="16"/>
        <v>9431.0611460765595</v>
      </c>
      <c r="AS67" s="22">
        <v>0.44400000000000001</v>
      </c>
      <c r="AT67" s="10">
        <f t="shared" si="17"/>
        <v>0.6279108216936542</v>
      </c>
      <c r="AU67" s="10">
        <v>0.89419999999999999</v>
      </c>
      <c r="AV67" s="10">
        <f t="shared" si="18"/>
        <v>1.2645897674740216</v>
      </c>
      <c r="AW67" s="10">
        <f t="shared" si="19"/>
        <v>1.2642057143576946</v>
      </c>
      <c r="AX67" s="10">
        <f t="shared" si="20"/>
        <v>3.8405311632705441E-4</v>
      </c>
      <c r="AY67" s="11">
        <v>2.6</v>
      </c>
      <c r="AZ67" s="11">
        <f t="shared" si="21"/>
        <v>1.3</v>
      </c>
      <c r="BA67" s="10">
        <f t="shared" si="22"/>
        <v>1.2981783417584114</v>
      </c>
      <c r="BB67" s="10">
        <f t="shared" si="23"/>
        <v>1.8216582415886418E-3</v>
      </c>
      <c r="BV67" s="17"/>
    </row>
    <row r="68" spans="4:74" x14ac:dyDescent="0.25">
      <c r="AN68" s="16"/>
      <c r="AQ68" s="1">
        <v>1501</v>
      </c>
      <c r="AR68" s="12">
        <f t="shared" si="16"/>
        <v>9431.0611460765595</v>
      </c>
      <c r="AS68" s="22">
        <v>0.43099999999999999</v>
      </c>
      <c r="AT68" s="10">
        <f t="shared" si="17"/>
        <v>0.60952604538280397</v>
      </c>
      <c r="AU68" s="10">
        <v>0.86409999999999998</v>
      </c>
      <c r="AV68" s="10">
        <f t="shared" si="18"/>
        <v>1.2220219392465914</v>
      </c>
      <c r="AW68" s="10">
        <f t="shared" si="19"/>
        <v>1.2272165537397213</v>
      </c>
      <c r="AX68" s="10">
        <f t="shared" si="20"/>
        <v>-5.1946144931298566E-3</v>
      </c>
      <c r="AY68" s="11">
        <v>2.5</v>
      </c>
      <c r="AZ68" s="11">
        <f t="shared" si="21"/>
        <v>1.25</v>
      </c>
      <c r="BA68" s="10">
        <f t="shared" si="22"/>
        <v>1.2605886424459121</v>
      </c>
      <c r="BB68" s="10">
        <f t="shared" si="23"/>
        <v>-1.0588642445912066E-2</v>
      </c>
      <c r="BV68" s="17"/>
    </row>
    <row r="69" spans="4:74" x14ac:dyDescent="0.25">
      <c r="AN69" s="16"/>
      <c r="AQ69" s="1">
        <v>1501</v>
      </c>
      <c r="AR69" s="12">
        <f t="shared" si="16"/>
        <v>9431.0611460765595</v>
      </c>
      <c r="AS69" s="22">
        <v>0.42</v>
      </c>
      <c r="AT69" s="10">
        <f t="shared" si="17"/>
        <v>0.59396969619669993</v>
      </c>
      <c r="AU69" s="10">
        <v>0.84219999999999995</v>
      </c>
      <c r="AV69" s="10">
        <f t="shared" si="18"/>
        <v>1.1910506622306207</v>
      </c>
      <c r="AW69" s="10">
        <f t="shared" si="19"/>
        <v>1.1959180332168209</v>
      </c>
      <c r="AX69" s="10">
        <f t="shared" si="20"/>
        <v>-4.8673709862001591E-3</v>
      </c>
      <c r="AY69" s="11">
        <v>2.46</v>
      </c>
      <c r="AZ69" s="11">
        <f t="shared" si="21"/>
        <v>1.23</v>
      </c>
      <c r="BA69" s="10">
        <f t="shared" si="22"/>
        <v>1.2287819737968741</v>
      </c>
      <c r="BB69" s="10">
        <f t="shared" si="23"/>
        <v>1.2180262031258327E-3</v>
      </c>
      <c r="BV69" s="17"/>
    </row>
    <row r="70" spans="4:74" x14ac:dyDescent="0.25">
      <c r="AN70" s="16"/>
      <c r="AQ70" s="1">
        <v>1501</v>
      </c>
      <c r="AR70" s="12">
        <f t="shared" si="16"/>
        <v>9431.0611460765595</v>
      </c>
      <c r="AS70" s="22">
        <v>0.41099999999999998</v>
      </c>
      <c r="AT70" s="10">
        <f t="shared" si="17"/>
        <v>0.58124177413534206</v>
      </c>
      <c r="AU70" s="10">
        <v>0.82199999999999995</v>
      </c>
      <c r="AV70" s="10">
        <f t="shared" si="18"/>
        <v>1.1624835482706841</v>
      </c>
      <c r="AW70" s="10">
        <f t="shared" si="19"/>
        <v>1.1703101527889932</v>
      </c>
      <c r="AX70" s="10">
        <f t="shared" si="20"/>
        <v>-7.8266045183090771E-3</v>
      </c>
      <c r="AY70" s="11">
        <v>2.38</v>
      </c>
      <c r="AZ70" s="11">
        <f t="shared" si="21"/>
        <v>1.19</v>
      </c>
      <c r="BA70" s="10">
        <f t="shared" si="22"/>
        <v>1.2027583358112977</v>
      </c>
      <c r="BB70" s="10">
        <f t="shared" si="23"/>
        <v>-1.2758335811297705E-2</v>
      </c>
      <c r="BV70" s="17"/>
    </row>
    <row r="71" spans="4:74" x14ac:dyDescent="0.25">
      <c r="AN71" s="16"/>
      <c r="AQ71" s="1">
        <v>1501</v>
      </c>
      <c r="AR71" s="12">
        <f t="shared" si="16"/>
        <v>9431.0611460765595</v>
      </c>
      <c r="AS71" s="22">
        <v>0.40100000000000002</v>
      </c>
      <c r="AT71" s="10">
        <f t="shared" si="17"/>
        <v>0.56709963851161116</v>
      </c>
      <c r="AU71" s="10">
        <v>0.8</v>
      </c>
      <c r="AV71" s="10">
        <f t="shared" si="18"/>
        <v>1.1313708498984762</v>
      </c>
      <c r="AW71" s="10">
        <f t="shared" si="19"/>
        <v>1.1418569523136293</v>
      </c>
      <c r="AX71" s="10">
        <f t="shared" si="20"/>
        <v>-1.048610241515302E-2</v>
      </c>
      <c r="AY71" s="11">
        <v>2.34</v>
      </c>
      <c r="AZ71" s="11">
        <f t="shared" si="21"/>
        <v>1.17</v>
      </c>
      <c r="BA71" s="10">
        <f t="shared" si="22"/>
        <v>1.1738431824939906</v>
      </c>
      <c r="BB71" s="10">
        <f t="shared" si="23"/>
        <v>-3.8431824939906267E-3</v>
      </c>
      <c r="BV71" s="17"/>
    </row>
    <row r="72" spans="4:74" x14ac:dyDescent="0.25">
      <c r="AN72" s="16"/>
      <c r="AQ72" s="1">
        <v>1501</v>
      </c>
      <c r="AR72" s="12">
        <f t="shared" si="16"/>
        <v>9431.0611460765595</v>
      </c>
      <c r="AS72" s="22">
        <v>0.39500000000000002</v>
      </c>
      <c r="AT72" s="10">
        <f t="shared" si="17"/>
        <v>0.55861435713737262</v>
      </c>
      <c r="AU72" s="10">
        <v>0.78739999999999999</v>
      </c>
      <c r="AV72" s="10">
        <f t="shared" si="18"/>
        <v>1.1135517590125752</v>
      </c>
      <c r="AW72" s="10">
        <f t="shared" si="19"/>
        <v>1.124785032028411</v>
      </c>
      <c r="AX72" s="10">
        <f t="shared" si="20"/>
        <v>-1.1233273015835765E-2</v>
      </c>
      <c r="AY72" s="11">
        <v>2.2999999999999998</v>
      </c>
      <c r="AZ72" s="11">
        <f t="shared" si="21"/>
        <v>1.1499999999999999</v>
      </c>
      <c r="BA72" s="10">
        <f t="shared" si="22"/>
        <v>1.1564940905036063</v>
      </c>
      <c r="BB72" s="10">
        <f t="shared" si="23"/>
        <v>-6.4940905036063867E-3</v>
      </c>
      <c r="BV72" s="17"/>
    </row>
    <row r="73" spans="4:74" x14ac:dyDescent="0.25">
      <c r="AN73" s="16"/>
      <c r="AQ73" s="1">
        <v>1501</v>
      </c>
      <c r="AR73" s="12">
        <f t="shared" si="16"/>
        <v>9431.0611460765595</v>
      </c>
      <c r="AS73" s="22">
        <v>0.38300000000000001</v>
      </c>
      <c r="AT73" s="10">
        <f t="shared" si="17"/>
        <v>0.54164379438889543</v>
      </c>
      <c r="AU73" s="10">
        <v>0.76180000000000003</v>
      </c>
      <c r="AV73" s="10">
        <f t="shared" si="18"/>
        <v>1.0773478918158239</v>
      </c>
      <c r="AW73" s="10">
        <f t="shared" si="19"/>
        <v>1.0906411914579739</v>
      </c>
      <c r="AX73" s="10">
        <f t="shared" si="20"/>
        <v>-1.329329964214998E-2</v>
      </c>
      <c r="AY73" s="11">
        <v>2.2000000000000002</v>
      </c>
      <c r="AZ73" s="11">
        <f t="shared" si="21"/>
        <v>1.1000000000000001</v>
      </c>
      <c r="BA73" s="10">
        <f t="shared" si="22"/>
        <v>1.1217959065228376</v>
      </c>
      <c r="BB73" s="10">
        <f t="shared" si="23"/>
        <v>-2.1795906522837472E-2</v>
      </c>
      <c r="BV73" s="17"/>
    </row>
    <row r="74" spans="4:74" x14ac:dyDescent="0.25">
      <c r="AN74" s="16"/>
      <c r="AQ74" s="1">
        <v>1501</v>
      </c>
      <c r="AR74" s="12">
        <f t="shared" si="16"/>
        <v>9431.0611460765595</v>
      </c>
      <c r="AS74" s="22">
        <v>0.374</v>
      </c>
      <c r="AT74" s="10">
        <f t="shared" si="17"/>
        <v>0.52891587232753756</v>
      </c>
      <c r="AU74" s="10">
        <v>0.74529999999999996</v>
      </c>
      <c r="AV74" s="10">
        <f t="shared" si="18"/>
        <v>1.0540133680366677</v>
      </c>
      <c r="AW74" s="10">
        <f t="shared" si="19"/>
        <v>1.0650333110301462</v>
      </c>
      <c r="AX74" s="10">
        <f t="shared" si="20"/>
        <v>-1.1019942993478526E-2</v>
      </c>
      <c r="AY74" s="11">
        <v>2.1800000000000002</v>
      </c>
      <c r="AZ74" s="11">
        <f t="shared" si="21"/>
        <v>1.0900000000000001</v>
      </c>
      <c r="BA74" s="10">
        <f t="shared" si="22"/>
        <v>1.0957722685372611</v>
      </c>
      <c r="BB74" s="10">
        <f t="shared" si="23"/>
        <v>-5.7722685372609828E-3</v>
      </c>
      <c r="BV74" s="17"/>
    </row>
    <row r="75" spans="4:74" x14ac:dyDescent="0.25">
      <c r="AN75" s="16"/>
      <c r="AQ75" s="1">
        <v>1501</v>
      </c>
      <c r="AR75" s="12">
        <f t="shared" si="16"/>
        <v>9431.0611460765595</v>
      </c>
      <c r="AS75" s="22">
        <v>0.36699999999999999</v>
      </c>
      <c r="AT75" s="10">
        <f t="shared" si="17"/>
        <v>0.51901637739092588</v>
      </c>
      <c r="AU75" s="10">
        <v>0.73270000000000002</v>
      </c>
      <c r="AV75" s="10">
        <f t="shared" si="18"/>
        <v>1.0361942771507668</v>
      </c>
      <c r="AW75" s="10">
        <f t="shared" si="19"/>
        <v>1.0451160706973914</v>
      </c>
      <c r="AX75" s="10">
        <f t="shared" si="20"/>
        <v>-8.9217935466245901E-3</v>
      </c>
      <c r="AY75" s="11">
        <v>2.14</v>
      </c>
      <c r="AZ75" s="11">
        <f t="shared" si="21"/>
        <v>1.07</v>
      </c>
      <c r="BA75" s="10">
        <f t="shared" si="22"/>
        <v>1.075531661215146</v>
      </c>
      <c r="BB75" s="10">
        <f t="shared" si="23"/>
        <v>-5.5316612151459221E-3</v>
      </c>
      <c r="BV75" s="17"/>
    </row>
    <row r="76" spans="4:74" x14ac:dyDescent="0.25">
      <c r="AN76" s="16"/>
      <c r="AQ76" s="1">
        <v>1501</v>
      </c>
      <c r="AR76" s="12">
        <f t="shared" si="16"/>
        <v>9431.0611460765595</v>
      </c>
      <c r="AS76" s="22">
        <v>0.35399999999999998</v>
      </c>
      <c r="AT76" s="10">
        <f t="shared" si="17"/>
        <v>0.50063160108007565</v>
      </c>
      <c r="AU76" s="10">
        <v>0.70760000000000001</v>
      </c>
      <c r="AV76" s="10">
        <f t="shared" si="18"/>
        <v>1.0006975167352021</v>
      </c>
      <c r="AW76" s="10">
        <f t="shared" si="19"/>
        <v>1.0081269100794181</v>
      </c>
      <c r="AX76" s="10">
        <f t="shared" si="20"/>
        <v>-7.4293933442159954E-3</v>
      </c>
      <c r="AY76" s="11">
        <v>2.06</v>
      </c>
      <c r="AZ76" s="11">
        <f t="shared" si="21"/>
        <v>1.03</v>
      </c>
      <c r="BA76" s="10">
        <f t="shared" si="22"/>
        <v>1.0379419619026466</v>
      </c>
      <c r="BB76" s="10">
        <f t="shared" si="23"/>
        <v>-7.9419619026466215E-3</v>
      </c>
      <c r="BV76" s="17"/>
    </row>
    <row r="77" spans="4:74" x14ac:dyDescent="0.25">
      <c r="AN77" s="16"/>
      <c r="AQ77" s="1">
        <v>1501</v>
      </c>
      <c r="AR77" s="12">
        <f t="shared" si="16"/>
        <v>9431.0611460765595</v>
      </c>
      <c r="AS77" s="22">
        <v>0.34399999999999997</v>
      </c>
      <c r="AT77" s="10">
        <f t="shared" si="17"/>
        <v>0.48648946545634469</v>
      </c>
      <c r="AU77" s="10">
        <v>0.68830000000000002</v>
      </c>
      <c r="AV77" s="10">
        <f t="shared" si="18"/>
        <v>0.97340319498140138</v>
      </c>
      <c r="AW77" s="10">
        <f t="shared" si="19"/>
        <v>0.97967370960405398</v>
      </c>
      <c r="AX77" s="10">
        <f t="shared" si="20"/>
        <v>-6.270514622652601E-3</v>
      </c>
      <c r="AY77" s="11">
        <v>2</v>
      </c>
      <c r="AZ77" s="11">
        <f t="shared" si="21"/>
        <v>1</v>
      </c>
      <c r="BA77" s="10">
        <f t="shared" si="22"/>
        <v>1.0090268085853396</v>
      </c>
      <c r="BB77" s="10">
        <f t="shared" si="23"/>
        <v>-9.0268085853395519E-3</v>
      </c>
      <c r="BV77" s="17"/>
    </row>
    <row r="78" spans="4:74" x14ac:dyDescent="0.25">
      <c r="AN78" s="16"/>
      <c r="AQ78" s="1">
        <v>1501</v>
      </c>
      <c r="AR78" s="12">
        <f t="shared" si="16"/>
        <v>9431.0611460765595</v>
      </c>
      <c r="AS78" s="22">
        <v>0.33300000000000002</v>
      </c>
      <c r="AT78" s="10">
        <f t="shared" si="17"/>
        <v>0.4709331162702407</v>
      </c>
      <c r="AU78" s="10">
        <v>0.66790000000000005</v>
      </c>
      <c r="AV78" s="10">
        <f t="shared" si="18"/>
        <v>0.9445532383089903</v>
      </c>
      <c r="AW78" s="10">
        <f t="shared" si="19"/>
        <v>0.94837518908115359</v>
      </c>
      <c r="AX78" s="10">
        <f t="shared" si="20"/>
        <v>-3.8219507721632962E-3</v>
      </c>
      <c r="AY78" s="11">
        <v>1.94</v>
      </c>
      <c r="AZ78" s="11">
        <f t="shared" si="21"/>
        <v>0.97</v>
      </c>
      <c r="BA78" s="10">
        <f t="shared" si="22"/>
        <v>0.97722013993630175</v>
      </c>
      <c r="BB78" s="10">
        <f t="shared" si="23"/>
        <v>-7.2201399363017726E-3</v>
      </c>
      <c r="BV78" s="17"/>
    </row>
    <row r="79" spans="4:74" x14ac:dyDescent="0.25">
      <c r="AN79" s="16"/>
      <c r="AQ79" s="1">
        <v>1501</v>
      </c>
      <c r="AR79" s="12">
        <f t="shared" si="16"/>
        <v>9431.0611460765595</v>
      </c>
      <c r="AS79" s="22">
        <v>0.31900000000000001</v>
      </c>
      <c r="AT79" s="10">
        <f t="shared" si="17"/>
        <v>0.45113412639701733</v>
      </c>
      <c r="AU79" s="10">
        <v>0.64610000000000001</v>
      </c>
      <c r="AV79" s="10">
        <f t="shared" si="18"/>
        <v>0.91372338264925679</v>
      </c>
      <c r="AW79" s="10">
        <f t="shared" si="19"/>
        <v>0.90854070841564383</v>
      </c>
      <c r="AX79" s="10">
        <f t="shared" si="20"/>
        <v>5.1826742336129605E-3</v>
      </c>
      <c r="AY79" s="11">
        <v>1.88</v>
      </c>
      <c r="AZ79" s="11">
        <f t="shared" si="21"/>
        <v>0.94</v>
      </c>
      <c r="BA79" s="10">
        <f t="shared" si="22"/>
        <v>0.93673892529207159</v>
      </c>
      <c r="BB79" s="10">
        <f t="shared" si="23"/>
        <v>3.2610747079283575E-3</v>
      </c>
      <c r="BV79" s="17"/>
    </row>
    <row r="80" spans="4:74" x14ac:dyDescent="0.25">
      <c r="AN80" s="16"/>
      <c r="AQ80" s="1">
        <v>1501</v>
      </c>
      <c r="AR80" s="12">
        <f t="shared" si="16"/>
        <v>9431.0611460765595</v>
      </c>
      <c r="AS80" s="22">
        <v>0.307</v>
      </c>
      <c r="AT80" s="10">
        <f t="shared" si="17"/>
        <v>0.4341635636485402</v>
      </c>
      <c r="AU80" s="10">
        <v>0.62980000000000003</v>
      </c>
      <c r="AV80" s="10">
        <f t="shared" si="18"/>
        <v>0.89067170158257536</v>
      </c>
      <c r="AW80" s="10">
        <f t="shared" si="19"/>
        <v>0.87439686784520698</v>
      </c>
      <c r="AX80" s="10">
        <f t="shared" si="20"/>
        <v>1.6274833737368377E-2</v>
      </c>
      <c r="AY80" s="11">
        <v>1.84</v>
      </c>
      <c r="AZ80" s="11">
        <f t="shared" si="21"/>
        <v>0.92</v>
      </c>
      <c r="BA80" s="10">
        <f t="shared" si="22"/>
        <v>0.90204074131130307</v>
      </c>
      <c r="BB80" s="10">
        <f t="shared" si="23"/>
        <v>1.7959258688696966E-2</v>
      </c>
      <c r="BV80" s="17"/>
    </row>
    <row r="81" spans="3:74" x14ac:dyDescent="0.25">
      <c r="AN81" s="16"/>
      <c r="AQ81" s="1">
        <v>1501</v>
      </c>
      <c r="AR81" s="12">
        <f t="shared" si="16"/>
        <v>9431.0611460765595</v>
      </c>
      <c r="AS81" s="22">
        <v>0.29399999999999998</v>
      </c>
      <c r="AT81" s="10">
        <f t="shared" si="17"/>
        <v>0.41577878733768997</v>
      </c>
      <c r="AU81" s="10">
        <v>0.61129999999999995</v>
      </c>
      <c r="AV81" s="10">
        <f t="shared" si="18"/>
        <v>0.86450875067867294</v>
      </c>
      <c r="AW81" s="10">
        <f t="shared" si="19"/>
        <v>0.83740770722723368</v>
      </c>
      <c r="AX81" s="10">
        <f t="shared" si="20"/>
        <v>2.7101043451439266E-2</v>
      </c>
      <c r="AY81" s="11">
        <v>1.78</v>
      </c>
      <c r="AZ81" s="11">
        <f t="shared" si="21"/>
        <v>0.89</v>
      </c>
      <c r="BA81" s="10">
        <f t="shared" si="22"/>
        <v>0.86445104199880374</v>
      </c>
      <c r="BB81" s="10">
        <f t="shared" si="23"/>
        <v>2.5548958001196276E-2</v>
      </c>
      <c r="BV81" s="17"/>
    </row>
    <row r="82" spans="3:74" x14ac:dyDescent="0.25">
      <c r="AN82" s="16"/>
      <c r="BV82" s="17"/>
    </row>
    <row r="83" spans="3:74" x14ac:dyDescent="0.25">
      <c r="AN83" s="16"/>
      <c r="BV83" s="17"/>
    </row>
    <row r="84" spans="3:74" x14ac:dyDescent="0.25">
      <c r="AN84" s="16"/>
      <c r="BV84" s="17"/>
    </row>
    <row r="85" spans="3:74" x14ac:dyDescent="0.25">
      <c r="AN85" s="16"/>
      <c r="BV85" s="17"/>
    </row>
    <row r="86" spans="3:74" x14ac:dyDescent="0.25">
      <c r="AN86" s="16"/>
      <c r="BV86" s="17"/>
    </row>
    <row r="87" spans="3:74" x14ac:dyDescent="0.25">
      <c r="AN87" s="16"/>
      <c r="BV87" s="17"/>
    </row>
    <row r="88" spans="3:74" x14ac:dyDescent="0.25">
      <c r="AN88" s="16"/>
      <c r="BV88" s="17"/>
    </row>
    <row r="89" spans="3:74" x14ac:dyDescent="0.25">
      <c r="AN89" s="16"/>
      <c r="BV89" s="17"/>
    </row>
    <row r="90" spans="3:74" x14ac:dyDescent="0.25">
      <c r="AN90" s="16"/>
      <c r="BV90" s="17"/>
    </row>
    <row r="91" spans="3:74" ht="18" x14ac:dyDescent="0.25">
      <c r="D91" s="61" t="s">
        <v>24</v>
      </c>
      <c r="E91" s="61"/>
      <c r="F91" s="61"/>
      <c r="G91" s="61"/>
      <c r="H91" s="60"/>
      <c r="I91" s="60"/>
      <c r="J91" s="60"/>
      <c r="K91" s="60"/>
      <c r="L91" s="60"/>
      <c r="M91" s="60"/>
      <c r="N91" s="60"/>
      <c r="O91" s="60"/>
      <c r="T91" s="48" t="s">
        <v>8</v>
      </c>
      <c r="U91" s="48"/>
      <c r="V91" s="48"/>
      <c r="W91" s="48"/>
      <c r="AD91" s="48" t="s">
        <v>8</v>
      </c>
      <c r="AE91" s="48"/>
      <c r="AF91" s="48"/>
      <c r="AG91" s="48"/>
      <c r="AN91" s="16"/>
      <c r="BV91" s="17"/>
    </row>
    <row r="92" spans="3:74" ht="17.25" customHeight="1" x14ac:dyDescent="0.25">
      <c r="D92" s="48" t="s">
        <v>83</v>
      </c>
      <c r="E92" s="48" t="s">
        <v>77</v>
      </c>
      <c r="F92" s="48" t="s">
        <v>78</v>
      </c>
      <c r="G92" s="48" t="s">
        <v>79</v>
      </c>
      <c r="H92" s="62" t="s">
        <v>13</v>
      </c>
      <c r="I92" s="49"/>
      <c r="J92" s="49"/>
      <c r="K92" s="49"/>
      <c r="L92" s="55" t="s">
        <v>12</v>
      </c>
      <c r="M92" s="55"/>
      <c r="N92" s="55"/>
      <c r="O92" s="55"/>
      <c r="T92" s="4" t="s">
        <v>3</v>
      </c>
      <c r="U92" s="10">
        <f t="array" ref="U92:V94">LINEST(I94:I113,G94:G113,1,1)</f>
        <v>2.2113284075702979</v>
      </c>
      <c r="V92" s="10">
        <v>-0.12127697371437463</v>
      </c>
      <c r="W92" s="4" t="s">
        <v>5</v>
      </c>
      <c r="AD92" s="4" t="s">
        <v>3</v>
      </c>
      <c r="AE92" s="10">
        <f t="array" ref="AE92:AF94">LINEST(M94:M113,G94:G113,1,1)</f>
        <v>2.1794523648412683</v>
      </c>
      <c r="AF92" s="10">
        <v>-6.8453815771531756E-2</v>
      </c>
      <c r="AG92" s="4" t="s">
        <v>5</v>
      </c>
      <c r="AN92" s="16"/>
      <c r="BV92" s="17"/>
    </row>
    <row r="93" spans="3:74" ht="18" x14ac:dyDescent="0.25">
      <c r="C93" s="43"/>
      <c r="D93" s="48"/>
      <c r="E93" s="48"/>
      <c r="F93" s="48"/>
      <c r="G93" s="48"/>
      <c r="H93" s="3" t="s">
        <v>86</v>
      </c>
      <c r="I93" s="3" t="s">
        <v>80</v>
      </c>
      <c r="J93" s="21" t="s">
        <v>0</v>
      </c>
      <c r="K93" s="21" t="s">
        <v>1</v>
      </c>
      <c r="L93" s="21" t="s">
        <v>85</v>
      </c>
      <c r="M93" s="3" t="s">
        <v>84</v>
      </c>
      <c r="N93" s="21" t="s">
        <v>0</v>
      </c>
      <c r="O93" s="21" t="s">
        <v>1</v>
      </c>
      <c r="T93" s="4" t="s">
        <v>2</v>
      </c>
      <c r="U93" s="10">
        <v>1.5093280260651334E-2</v>
      </c>
      <c r="V93" s="10">
        <v>9.5425812700893863E-3</v>
      </c>
      <c r="W93" s="4" t="s">
        <v>6</v>
      </c>
      <c r="AD93" s="4" t="s">
        <v>2</v>
      </c>
      <c r="AE93" s="10">
        <v>2.6208570025918657E-2</v>
      </c>
      <c r="AF93" s="10">
        <v>1.6570116311771497E-2</v>
      </c>
      <c r="AG93" s="4" t="s">
        <v>6</v>
      </c>
      <c r="AN93" s="16"/>
      <c r="BV93" s="17"/>
    </row>
    <row r="94" spans="3:74" x14ac:dyDescent="0.25">
      <c r="C94" s="64" t="s">
        <v>75</v>
      </c>
      <c r="D94" s="42">
        <v>1501</v>
      </c>
      <c r="E94" s="45">
        <f t="shared" ref="E94:E113" si="25">2*PI()*D94</f>
        <v>9431.0611460765595</v>
      </c>
      <c r="F94" s="44">
        <v>0.39300000000000002</v>
      </c>
      <c r="G94" s="47">
        <f t="shared" ref="G94:G113" si="26">F94*SQRT(2)</f>
        <v>0.55578593001262644</v>
      </c>
      <c r="H94" s="10">
        <v>0.78510000000000002</v>
      </c>
      <c r="I94" s="10">
        <f t="shared" ref="I94:I113" si="27">H94*SQRT(2)</f>
        <v>1.1102990678191171</v>
      </c>
      <c r="J94" s="10">
        <f t="shared" ref="J94:J113" si="28">G94*U$92+V$92</f>
        <v>1.1077482418504236</v>
      </c>
      <c r="K94" s="10">
        <f>I94-J94</f>
        <v>2.5508259686934931E-3</v>
      </c>
      <c r="L94" s="11">
        <v>2.29</v>
      </c>
      <c r="M94" s="11">
        <f t="shared" ref="M94:M113" si="29">L94/2</f>
        <v>1.145</v>
      </c>
      <c r="N94" s="10">
        <f t="shared" ref="N94:N113" si="30">G94*AE$92+AF$92</f>
        <v>1.1428551437399905</v>
      </c>
      <c r="O94" s="10">
        <f>M94-N94</f>
        <v>2.1448562600094867E-3</v>
      </c>
      <c r="T94" s="4" t="s">
        <v>4</v>
      </c>
      <c r="U94" s="10">
        <v>0.9991621442412334</v>
      </c>
      <c r="V94" s="10">
        <v>3.139587326573579E-3</v>
      </c>
      <c r="W94" s="4" t="s">
        <v>7</v>
      </c>
      <c r="AD94" s="4" t="s">
        <v>4</v>
      </c>
      <c r="AE94" s="10">
        <v>0.99740381629393904</v>
      </c>
      <c r="AF94" s="10">
        <v>5.4517038629109454E-3</v>
      </c>
      <c r="AG94" s="4" t="s">
        <v>7</v>
      </c>
      <c r="AN94" s="16"/>
      <c r="BV94" s="17"/>
    </row>
    <row r="95" spans="3:74" x14ac:dyDescent="0.25">
      <c r="C95" s="64"/>
      <c r="D95" s="1">
        <v>1501</v>
      </c>
      <c r="E95" s="12">
        <f t="shared" si="25"/>
        <v>9431.0611460765595</v>
      </c>
      <c r="F95" s="22">
        <v>0.41199999999999998</v>
      </c>
      <c r="G95" s="10">
        <f t="shared" si="26"/>
        <v>0.58265598769771521</v>
      </c>
      <c r="H95" s="10">
        <v>0.82720000000000005</v>
      </c>
      <c r="I95" s="10">
        <f t="shared" si="27"/>
        <v>1.1698374587950244</v>
      </c>
      <c r="J95" s="10">
        <f t="shared" si="28"/>
        <v>1.1671667637225129</v>
      </c>
      <c r="K95" s="10">
        <f t="shared" ref="K95:K113" si="31">I95-J95</f>
        <v>2.6706950725114975E-3</v>
      </c>
      <c r="L95" s="11">
        <v>2.4</v>
      </c>
      <c r="M95" s="11">
        <f t="shared" si="29"/>
        <v>1.2</v>
      </c>
      <c r="N95" s="10">
        <f t="shared" si="30"/>
        <v>1.2014171545051786</v>
      </c>
      <c r="O95" s="10">
        <f t="shared" ref="O95:O113" si="32">M95-N95</f>
        <v>-1.4171545051786527E-3</v>
      </c>
      <c r="AN95" s="16"/>
      <c r="BV95" s="17"/>
    </row>
    <row r="96" spans="3:74" x14ac:dyDescent="0.25">
      <c r="C96" s="64"/>
      <c r="D96" s="1">
        <v>1501</v>
      </c>
      <c r="E96" s="12">
        <f t="shared" si="25"/>
        <v>9431.0611460765595</v>
      </c>
      <c r="F96" s="22">
        <v>0.42799999999999999</v>
      </c>
      <c r="G96" s="10">
        <f t="shared" si="26"/>
        <v>0.60528340469568476</v>
      </c>
      <c r="H96" s="10">
        <v>0.86240000000000006</v>
      </c>
      <c r="I96" s="10">
        <f t="shared" si="27"/>
        <v>1.2196177761905573</v>
      </c>
      <c r="J96" s="10">
        <f t="shared" si="28"/>
        <v>1.217203413720062</v>
      </c>
      <c r="K96" s="10">
        <f t="shared" si="31"/>
        <v>2.4143624704953126E-3</v>
      </c>
      <c r="L96" s="11">
        <v>2.5</v>
      </c>
      <c r="M96" s="11">
        <f t="shared" si="29"/>
        <v>1.25</v>
      </c>
      <c r="N96" s="10">
        <f t="shared" si="30"/>
        <v>1.2507325319916529</v>
      </c>
      <c r="O96" s="10">
        <f t="shared" si="32"/>
        <v>-7.3253199165290717E-4</v>
      </c>
      <c r="AN96" s="16"/>
      <c r="BV96" s="17"/>
    </row>
    <row r="97" spans="3:74" x14ac:dyDescent="0.25">
      <c r="C97" s="64"/>
      <c r="D97" s="1">
        <v>1501</v>
      </c>
      <c r="E97" s="12">
        <f t="shared" si="25"/>
        <v>9431.0611460765595</v>
      </c>
      <c r="F97" s="22">
        <v>0.439</v>
      </c>
      <c r="G97" s="10">
        <f t="shared" si="26"/>
        <v>0.6208397538817888</v>
      </c>
      <c r="H97" s="10">
        <v>0.88680000000000003</v>
      </c>
      <c r="I97" s="10">
        <f t="shared" si="27"/>
        <v>1.2541245871124609</v>
      </c>
      <c r="J97" s="10">
        <f t="shared" si="28"/>
        <v>1.251603610593377</v>
      </c>
      <c r="K97" s="10">
        <f t="shared" si="31"/>
        <v>2.5209765190838951E-3</v>
      </c>
      <c r="L97" s="11">
        <v>2.58</v>
      </c>
      <c r="M97" s="11">
        <f t="shared" si="29"/>
        <v>1.29</v>
      </c>
      <c r="N97" s="10">
        <f t="shared" si="30"/>
        <v>1.2846368540136037</v>
      </c>
      <c r="O97" s="10">
        <f t="shared" si="32"/>
        <v>5.3631459863963116E-3</v>
      </c>
      <c r="AN97" s="16"/>
      <c r="BV97" s="17"/>
    </row>
    <row r="98" spans="3:74" x14ac:dyDescent="0.25">
      <c r="C98" s="64"/>
      <c r="D98" s="1">
        <v>1501</v>
      </c>
      <c r="E98" s="12">
        <f t="shared" si="25"/>
        <v>9431.0611460765595</v>
      </c>
      <c r="F98" s="22">
        <v>0.44800000000000001</v>
      </c>
      <c r="G98" s="10">
        <f t="shared" si="26"/>
        <v>0.63356767594314667</v>
      </c>
      <c r="H98" s="10">
        <v>0.90659999999999996</v>
      </c>
      <c r="I98" s="10">
        <f t="shared" si="27"/>
        <v>1.2821260156474481</v>
      </c>
      <c r="J98" s="10">
        <f t="shared" si="28"/>
        <v>1.2797492262169985</v>
      </c>
      <c r="K98" s="10">
        <f t="shared" si="31"/>
        <v>2.3767894304496107E-3</v>
      </c>
      <c r="L98" s="11">
        <v>2.62</v>
      </c>
      <c r="M98" s="11">
        <f t="shared" si="29"/>
        <v>1.31</v>
      </c>
      <c r="N98" s="10">
        <f t="shared" si="30"/>
        <v>1.3123767538497455</v>
      </c>
      <c r="O98" s="10">
        <f t="shared" si="32"/>
        <v>-2.3767538497454499E-3</v>
      </c>
      <c r="AN98" s="16"/>
      <c r="BV98" s="17"/>
    </row>
    <row r="99" spans="3:74" x14ac:dyDescent="0.25">
      <c r="C99" s="64"/>
      <c r="D99" s="1">
        <v>1501</v>
      </c>
      <c r="E99" s="12">
        <f t="shared" si="25"/>
        <v>9431.0611460765595</v>
      </c>
      <c r="F99" s="22">
        <v>0.46700000000000003</v>
      </c>
      <c r="G99" s="10">
        <f t="shared" si="26"/>
        <v>0.66043773362823543</v>
      </c>
      <c r="H99" s="10">
        <v>0.95020000000000004</v>
      </c>
      <c r="I99" s="10">
        <f t="shared" si="27"/>
        <v>1.3437857269669151</v>
      </c>
      <c r="J99" s="10">
        <f t="shared" si="28"/>
        <v>1.3391677480890878</v>
      </c>
      <c r="K99" s="10">
        <f t="shared" si="31"/>
        <v>4.6179788778273334E-3</v>
      </c>
      <c r="L99" s="11">
        <v>2.74</v>
      </c>
      <c r="M99" s="11">
        <f t="shared" si="29"/>
        <v>1.37</v>
      </c>
      <c r="N99" s="10">
        <f t="shared" si="30"/>
        <v>1.3709387646149336</v>
      </c>
      <c r="O99" s="10">
        <f t="shared" si="32"/>
        <v>-9.3876461493347385E-4</v>
      </c>
      <c r="AN99" s="16"/>
      <c r="BV99" s="17"/>
    </row>
    <row r="100" spans="3:74" x14ac:dyDescent="0.25">
      <c r="C100" s="64"/>
      <c r="D100" s="1">
        <v>1501</v>
      </c>
      <c r="E100" s="12">
        <f t="shared" si="25"/>
        <v>9431.0611460765595</v>
      </c>
      <c r="F100" s="22">
        <v>0.47799999999999998</v>
      </c>
      <c r="G100" s="10">
        <f t="shared" si="26"/>
        <v>0.67599408281433948</v>
      </c>
      <c r="H100" s="10">
        <v>0.97399999999999998</v>
      </c>
      <c r="I100" s="10">
        <f t="shared" si="27"/>
        <v>1.3774440097513947</v>
      </c>
      <c r="J100" s="10">
        <f t="shared" si="28"/>
        <v>1.3735679449624028</v>
      </c>
      <c r="K100" s="10">
        <f t="shared" si="31"/>
        <v>3.8760647889919397E-3</v>
      </c>
      <c r="L100" s="11">
        <v>2.82</v>
      </c>
      <c r="M100" s="11">
        <f t="shared" si="29"/>
        <v>1.41</v>
      </c>
      <c r="N100" s="10">
        <f t="shared" si="30"/>
        <v>1.4048430866368846</v>
      </c>
      <c r="O100" s="10">
        <f t="shared" si="32"/>
        <v>5.1569133631153008E-3</v>
      </c>
      <c r="AN100" s="16"/>
      <c r="BV100" s="17"/>
    </row>
    <row r="101" spans="3:74" x14ac:dyDescent="0.25">
      <c r="C101" s="64"/>
      <c r="D101" s="1">
        <v>1501</v>
      </c>
      <c r="E101" s="12">
        <f t="shared" si="25"/>
        <v>9431.0611460765595</v>
      </c>
      <c r="F101" s="22">
        <v>0.48599999999999999</v>
      </c>
      <c r="G101" s="10">
        <f t="shared" si="26"/>
        <v>0.6873077913133242</v>
      </c>
      <c r="H101" s="10">
        <v>0.99039999999999995</v>
      </c>
      <c r="I101" s="10">
        <f t="shared" si="27"/>
        <v>1.4006371121743133</v>
      </c>
      <c r="J101" s="10">
        <f t="shared" si="28"/>
        <v>1.3985862699611773</v>
      </c>
      <c r="K101" s="10">
        <f t="shared" si="31"/>
        <v>2.050842213136006E-3</v>
      </c>
      <c r="L101" s="11">
        <v>2.86</v>
      </c>
      <c r="M101" s="11">
        <f t="shared" si="29"/>
        <v>1.43</v>
      </c>
      <c r="N101" s="10">
        <f t="shared" si="30"/>
        <v>1.4295007753801217</v>
      </c>
      <c r="O101" s="10">
        <f t="shared" si="32"/>
        <v>4.9922461987828015E-4</v>
      </c>
      <c r="AN101" s="16"/>
      <c r="BV101" s="17"/>
    </row>
    <row r="102" spans="3:74" x14ac:dyDescent="0.25">
      <c r="C102" s="64"/>
      <c r="D102" s="1">
        <v>1501</v>
      </c>
      <c r="E102" s="12">
        <f t="shared" si="25"/>
        <v>9431.0611460765595</v>
      </c>
      <c r="F102" s="22">
        <v>0.496</v>
      </c>
      <c r="G102" s="10">
        <f t="shared" si="26"/>
        <v>0.70144992693705521</v>
      </c>
      <c r="H102" s="10">
        <v>1.014</v>
      </c>
      <c r="I102" s="10">
        <f t="shared" si="27"/>
        <v>1.4340125522463185</v>
      </c>
      <c r="J102" s="10">
        <f t="shared" si="28"/>
        <v>1.4298591762096455</v>
      </c>
      <c r="K102" s="10">
        <f t="shared" si="31"/>
        <v>4.1533760366729844E-3</v>
      </c>
      <c r="L102" s="11">
        <v>2.92</v>
      </c>
      <c r="M102" s="11">
        <f t="shared" si="29"/>
        <v>1.46</v>
      </c>
      <c r="N102" s="10">
        <f t="shared" si="30"/>
        <v>1.460322886309168</v>
      </c>
      <c r="O102" s="10">
        <f t="shared" si="32"/>
        <v>-3.2288630916799121E-4</v>
      </c>
      <c r="AN102" s="16"/>
      <c r="BV102" s="17"/>
    </row>
    <row r="103" spans="3:74" x14ac:dyDescent="0.25">
      <c r="C103" s="63" t="s">
        <v>74</v>
      </c>
      <c r="D103" s="1">
        <v>1501</v>
      </c>
      <c r="E103" s="12">
        <f t="shared" si="25"/>
        <v>9431.0611460765595</v>
      </c>
      <c r="F103" s="22">
        <v>0.497</v>
      </c>
      <c r="G103" s="10">
        <f t="shared" si="26"/>
        <v>0.70286414049942825</v>
      </c>
      <c r="H103" s="10">
        <v>1.0111000000000001</v>
      </c>
      <c r="I103" s="10">
        <f t="shared" si="27"/>
        <v>1.4299113329154367</v>
      </c>
      <c r="J103" s="10">
        <f t="shared" si="28"/>
        <v>1.4329864668344923</v>
      </c>
      <c r="K103" s="10">
        <f t="shared" si="31"/>
        <v>-3.0751339190555615E-3</v>
      </c>
      <c r="L103" s="11">
        <v>2.92</v>
      </c>
      <c r="M103" s="11">
        <f t="shared" si="29"/>
        <v>1.46</v>
      </c>
      <c r="N103" s="10">
        <f t="shared" si="30"/>
        <v>1.4634050974020725</v>
      </c>
      <c r="O103" s="10">
        <f t="shared" si="32"/>
        <v>-3.40509740207251E-3</v>
      </c>
      <c r="AN103" s="16"/>
      <c r="BV103" s="17"/>
    </row>
    <row r="104" spans="3:74" x14ac:dyDescent="0.25">
      <c r="C104" s="63"/>
      <c r="D104" s="1">
        <v>1501</v>
      </c>
      <c r="E104" s="12">
        <f t="shared" si="25"/>
        <v>9431.0611460765595</v>
      </c>
      <c r="F104" s="22">
        <v>0.48099999999999998</v>
      </c>
      <c r="G104" s="10">
        <f t="shared" si="26"/>
        <v>0.6802367235014587</v>
      </c>
      <c r="H104" s="10">
        <v>0.97489999999999999</v>
      </c>
      <c r="I104" s="10">
        <f t="shared" si="27"/>
        <v>1.3787168019575304</v>
      </c>
      <c r="J104" s="10">
        <f t="shared" si="28"/>
        <v>1.3829498168369432</v>
      </c>
      <c r="K104" s="10">
        <f t="shared" si="31"/>
        <v>-4.2330148794127442E-3</v>
      </c>
      <c r="L104" s="11">
        <v>2.82</v>
      </c>
      <c r="M104" s="11">
        <f t="shared" si="29"/>
        <v>1.41</v>
      </c>
      <c r="N104" s="10">
        <f t="shared" si="30"/>
        <v>1.4140897199155984</v>
      </c>
      <c r="O104" s="10">
        <f t="shared" si="32"/>
        <v>-4.0897199155984776E-3</v>
      </c>
      <c r="AN104" s="16"/>
      <c r="BV104" s="17"/>
    </row>
    <row r="105" spans="3:74" x14ac:dyDescent="0.25">
      <c r="C105" s="63"/>
      <c r="D105" s="1">
        <v>1501</v>
      </c>
      <c r="E105" s="12">
        <f t="shared" si="25"/>
        <v>9431.0611460765595</v>
      </c>
      <c r="F105" s="22">
        <v>0.47499999999999998</v>
      </c>
      <c r="G105" s="10">
        <f t="shared" si="26"/>
        <v>0.67175144212722016</v>
      </c>
      <c r="H105" s="10">
        <v>0.96150000000000002</v>
      </c>
      <c r="I105" s="10">
        <f t="shared" si="27"/>
        <v>1.359766340221731</v>
      </c>
      <c r="J105" s="10">
        <f t="shared" si="28"/>
        <v>1.3641860730878623</v>
      </c>
      <c r="K105" s="10">
        <f t="shared" si="31"/>
        <v>-4.4197328661312874E-3</v>
      </c>
      <c r="L105" s="11">
        <v>2.78</v>
      </c>
      <c r="M105" s="11">
        <f t="shared" si="29"/>
        <v>1.39</v>
      </c>
      <c r="N105" s="10">
        <f t="shared" si="30"/>
        <v>1.3955964533581706</v>
      </c>
      <c r="O105" s="10">
        <f t="shared" si="32"/>
        <v>-5.5964533581707165E-3</v>
      </c>
      <c r="AN105" s="16"/>
      <c r="BV105" s="17"/>
    </row>
    <row r="106" spans="3:74" x14ac:dyDescent="0.25">
      <c r="C106" s="63"/>
      <c r="D106" s="1">
        <v>1501</v>
      </c>
      <c r="E106" s="12">
        <f t="shared" si="25"/>
        <v>9431.0611460765595</v>
      </c>
      <c r="F106" s="22">
        <v>0.46200000000000002</v>
      </c>
      <c r="G106" s="10">
        <f t="shared" si="26"/>
        <v>0.65336666581637004</v>
      </c>
      <c r="H106" s="10">
        <v>0.93489999999999995</v>
      </c>
      <c r="I106" s="10">
        <f t="shared" si="27"/>
        <v>1.3221482594626066</v>
      </c>
      <c r="J106" s="10">
        <f t="shared" si="28"/>
        <v>1.3235312949648539</v>
      </c>
      <c r="K106" s="10">
        <f t="shared" si="31"/>
        <v>-1.3830355022472762E-3</v>
      </c>
      <c r="L106" s="11">
        <v>2.74</v>
      </c>
      <c r="M106" s="11">
        <f t="shared" si="29"/>
        <v>1.37</v>
      </c>
      <c r="N106" s="10">
        <f t="shared" si="30"/>
        <v>1.3555277091504105</v>
      </c>
      <c r="O106" s="10">
        <f t="shared" si="32"/>
        <v>1.4472290849589564E-2</v>
      </c>
      <c r="AN106" s="16"/>
      <c r="BV106" s="17"/>
    </row>
    <row r="107" spans="3:74" ht="15.75" thickBot="1" x14ac:dyDescent="0.3">
      <c r="C107" s="63"/>
      <c r="D107" s="1">
        <v>1501</v>
      </c>
      <c r="E107" s="12">
        <f t="shared" si="25"/>
        <v>9431.0611460765595</v>
      </c>
      <c r="F107" s="22">
        <v>0.45300000000000001</v>
      </c>
      <c r="G107" s="10">
        <f t="shared" si="26"/>
        <v>0.64063874375501217</v>
      </c>
      <c r="H107" s="10">
        <v>0.9143</v>
      </c>
      <c r="I107" s="10">
        <f t="shared" si="27"/>
        <v>1.2930154600777208</v>
      </c>
      <c r="J107" s="10">
        <f t="shared" si="28"/>
        <v>1.2953856793412326</v>
      </c>
      <c r="K107" s="10">
        <f t="shared" si="31"/>
        <v>-2.3702192635117747E-3</v>
      </c>
      <c r="L107" s="11">
        <v>2.66</v>
      </c>
      <c r="M107" s="11">
        <f t="shared" si="29"/>
        <v>1.33</v>
      </c>
      <c r="N107" s="10">
        <f t="shared" si="30"/>
        <v>1.3277878093142688</v>
      </c>
      <c r="O107" s="10">
        <f t="shared" si="32"/>
        <v>2.2121906857313078E-3</v>
      </c>
      <c r="AN107" s="16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20"/>
    </row>
    <row r="108" spans="3:74" x14ac:dyDescent="0.25">
      <c r="C108" s="63"/>
      <c r="D108" s="1">
        <v>1501</v>
      </c>
      <c r="E108" s="12">
        <f t="shared" si="25"/>
        <v>9431.0611460765595</v>
      </c>
      <c r="F108" s="22">
        <v>0.44400000000000001</v>
      </c>
      <c r="G108" s="10">
        <f t="shared" si="26"/>
        <v>0.6279108216936542</v>
      </c>
      <c r="H108" s="10">
        <v>0.89419999999999999</v>
      </c>
      <c r="I108" s="10">
        <f t="shared" si="27"/>
        <v>1.2645897674740216</v>
      </c>
      <c r="J108" s="10">
        <f t="shared" si="28"/>
        <v>1.2672400637176109</v>
      </c>
      <c r="K108" s="10">
        <f t="shared" si="31"/>
        <v>-2.6502962435892563E-3</v>
      </c>
      <c r="L108" s="11">
        <v>2.6</v>
      </c>
      <c r="M108" s="11">
        <f t="shared" si="29"/>
        <v>1.3</v>
      </c>
      <c r="N108" s="10">
        <f t="shared" si="30"/>
        <v>1.3000479094781268</v>
      </c>
      <c r="O108" s="10">
        <f t="shared" si="32"/>
        <v>-4.7909478126717531E-5</v>
      </c>
      <c r="AN108" s="13"/>
    </row>
    <row r="109" spans="3:74" x14ac:dyDescent="0.25">
      <c r="C109" s="63"/>
      <c r="D109" s="1">
        <v>1501</v>
      </c>
      <c r="E109" s="12">
        <f t="shared" si="25"/>
        <v>9431.0611460765595</v>
      </c>
      <c r="F109" s="22">
        <v>0.43099999999999999</v>
      </c>
      <c r="G109" s="10">
        <f t="shared" si="26"/>
        <v>0.60952604538280397</v>
      </c>
      <c r="H109" s="10">
        <v>0.86409999999999998</v>
      </c>
      <c r="I109" s="10">
        <f t="shared" si="27"/>
        <v>1.2220219392465914</v>
      </c>
      <c r="J109" s="10">
        <f t="shared" si="28"/>
        <v>1.2265852855946024</v>
      </c>
      <c r="K109" s="10">
        <f t="shared" si="31"/>
        <v>-4.5633463480110326E-3</v>
      </c>
      <c r="L109" s="11">
        <v>2.5</v>
      </c>
      <c r="M109" s="11">
        <f t="shared" si="29"/>
        <v>1.25</v>
      </c>
      <c r="N109" s="10">
        <f t="shared" si="30"/>
        <v>1.2599791652703665</v>
      </c>
      <c r="O109" s="10">
        <f t="shared" si="32"/>
        <v>-9.9791652703664635E-3</v>
      </c>
      <c r="AN109" s="16"/>
      <c r="AO109" s="60" t="s">
        <v>22</v>
      </c>
      <c r="AP109" s="60"/>
      <c r="AQ109" s="60"/>
      <c r="AR109" s="60"/>
      <c r="AS109" s="60"/>
      <c r="AT109" s="60"/>
      <c r="AU109" s="60"/>
      <c r="AV109" s="60"/>
      <c r="AW109" s="60"/>
      <c r="AX109" s="60"/>
      <c r="AY109" s="60"/>
      <c r="AZ109" s="60"/>
    </row>
    <row r="110" spans="3:74" ht="18" x14ac:dyDescent="0.25">
      <c r="C110" s="63"/>
      <c r="D110" s="1">
        <v>1501</v>
      </c>
      <c r="E110" s="12">
        <f t="shared" si="25"/>
        <v>9431.0611460765595</v>
      </c>
      <c r="F110" s="22">
        <v>0.42</v>
      </c>
      <c r="G110" s="10">
        <f t="shared" si="26"/>
        <v>0.59396969619669993</v>
      </c>
      <c r="H110" s="10">
        <v>0.84219999999999995</v>
      </c>
      <c r="I110" s="10">
        <f t="shared" si="27"/>
        <v>1.1910506622306207</v>
      </c>
      <c r="J110" s="10">
        <f t="shared" si="28"/>
        <v>1.1921850887212875</v>
      </c>
      <c r="K110" s="10">
        <f t="shared" si="31"/>
        <v>-1.1344264906667512E-3</v>
      </c>
      <c r="L110" s="11">
        <v>2.46</v>
      </c>
      <c r="M110" s="11">
        <f t="shared" si="29"/>
        <v>1.23</v>
      </c>
      <c r="N110" s="10">
        <f t="shared" si="30"/>
        <v>1.2260748432484156</v>
      </c>
      <c r="O110" s="10">
        <f t="shared" si="32"/>
        <v>3.9251567515843355E-3</v>
      </c>
      <c r="AN110" s="16"/>
      <c r="AO110" s="48" t="s">
        <v>83</v>
      </c>
      <c r="AP110" s="48" t="s">
        <v>77</v>
      </c>
      <c r="AQ110" s="48" t="s">
        <v>78</v>
      </c>
      <c r="AR110" s="48" t="s">
        <v>79</v>
      </c>
      <c r="AS110" s="49" t="s">
        <v>13</v>
      </c>
      <c r="AT110" s="49"/>
      <c r="AU110" s="49"/>
      <c r="AV110" s="49"/>
      <c r="AW110" s="55" t="s">
        <v>12</v>
      </c>
      <c r="AX110" s="55"/>
      <c r="AY110" s="55"/>
      <c r="AZ110" s="55"/>
      <c r="BB110" s="48" t="s">
        <v>8</v>
      </c>
      <c r="BC110" s="48"/>
      <c r="BD110" s="48"/>
      <c r="BE110" s="48"/>
      <c r="BH110" s="48" t="s">
        <v>9</v>
      </c>
      <c r="BI110" s="48"/>
      <c r="BJ110" s="48"/>
      <c r="BK110" s="48"/>
    </row>
    <row r="111" spans="3:74" ht="18" x14ac:dyDescent="0.25">
      <c r="C111" s="63"/>
      <c r="D111" s="1">
        <v>1501</v>
      </c>
      <c r="E111" s="12">
        <f t="shared" si="25"/>
        <v>9431.0611460765595</v>
      </c>
      <c r="F111" s="22">
        <v>0.41099999999999998</v>
      </c>
      <c r="G111" s="10">
        <f t="shared" si="26"/>
        <v>0.58124177413534206</v>
      </c>
      <c r="H111" s="10">
        <v>0.82199999999999995</v>
      </c>
      <c r="I111" s="10">
        <f t="shared" si="27"/>
        <v>1.1624835482706841</v>
      </c>
      <c r="J111" s="10">
        <f t="shared" si="28"/>
        <v>1.1640394730976662</v>
      </c>
      <c r="K111" s="10">
        <f t="shared" si="31"/>
        <v>-1.5559248269820802E-3</v>
      </c>
      <c r="L111" s="11">
        <v>2.38</v>
      </c>
      <c r="M111" s="11">
        <f t="shared" si="29"/>
        <v>1.19</v>
      </c>
      <c r="N111" s="10">
        <f t="shared" si="30"/>
        <v>1.1983349434122739</v>
      </c>
      <c r="O111" s="10">
        <f t="shared" si="32"/>
        <v>-8.3349434122739208E-3</v>
      </c>
      <c r="AN111" s="16"/>
      <c r="AO111" s="48"/>
      <c r="AP111" s="48"/>
      <c r="AQ111" s="48"/>
      <c r="AR111" s="48"/>
      <c r="AS111" s="3" t="s">
        <v>86</v>
      </c>
      <c r="AT111" s="3" t="s">
        <v>80</v>
      </c>
      <c r="AU111" s="21" t="s">
        <v>0</v>
      </c>
      <c r="AV111" s="21" t="s">
        <v>1</v>
      </c>
      <c r="AW111" s="21" t="s">
        <v>85</v>
      </c>
      <c r="AX111" s="3" t="s">
        <v>84</v>
      </c>
      <c r="AY111" s="21" t="s">
        <v>0</v>
      </c>
      <c r="AZ111" s="21" t="s">
        <v>1</v>
      </c>
      <c r="BB111" s="4" t="s">
        <v>3</v>
      </c>
      <c r="BC111" s="10">
        <f t="array" ref="BC111:BD113">LINEST(AT112:AT130,AR112:AR130,1,1)</f>
        <v>2.1257799808481703</v>
      </c>
      <c r="BD111" s="10">
        <v>-2.3995730216053168E-5</v>
      </c>
      <c r="BE111" s="4" t="s">
        <v>5</v>
      </c>
      <c r="BH111" s="4" t="s">
        <v>3</v>
      </c>
      <c r="BI111" s="10" t="e">
        <f t="array" ref="BI111:BJ113">LINEST(AX112:AX130,AR112:AR130,1,1)</f>
        <v>#VALUE!</v>
      </c>
      <c r="BJ111" s="10" t="e">
        <v>#VALUE!</v>
      </c>
      <c r="BK111" s="4" t="s">
        <v>5</v>
      </c>
    </row>
    <row r="112" spans="3:74" x14ac:dyDescent="0.25">
      <c r="C112" s="63"/>
      <c r="D112" s="1">
        <v>1501</v>
      </c>
      <c r="E112" s="12">
        <f t="shared" si="25"/>
        <v>9431.0611460765595</v>
      </c>
      <c r="F112" s="22">
        <v>0.40100000000000002</v>
      </c>
      <c r="G112" s="10">
        <f t="shared" si="26"/>
        <v>0.56709963851161116</v>
      </c>
      <c r="H112" s="10">
        <v>0.8</v>
      </c>
      <c r="I112" s="10">
        <f t="shared" si="27"/>
        <v>1.1313708498984762</v>
      </c>
      <c r="J112" s="10">
        <f t="shared" si="28"/>
        <v>1.132766566849198</v>
      </c>
      <c r="K112" s="10">
        <f t="shared" si="31"/>
        <v>-1.3957169507217149E-3</v>
      </c>
      <c r="L112" s="11">
        <v>2.34</v>
      </c>
      <c r="M112" s="11">
        <f t="shared" si="29"/>
        <v>1.17</v>
      </c>
      <c r="N112" s="10">
        <f t="shared" si="30"/>
        <v>1.1675128324832276</v>
      </c>
      <c r="O112" s="10">
        <f t="shared" si="32"/>
        <v>2.4871675167723595E-3</v>
      </c>
      <c r="AN112" s="16"/>
      <c r="AO112" s="1">
        <v>1486</v>
      </c>
      <c r="AP112" s="12">
        <f t="shared" ref="AP112:AP130" si="33">2*PI()*AO112</f>
        <v>9336.8133664688648</v>
      </c>
      <c r="AQ112" s="1">
        <v>3.1320000000000001E-2</v>
      </c>
      <c r="AR112" s="10">
        <f t="shared" ref="AR112:AR149" si="34">AQ112*SQRT(2)</f>
        <v>4.4293168773525342E-2</v>
      </c>
      <c r="AS112" s="10">
        <v>6.6709999999999992E-2</v>
      </c>
      <c r="AT112" s="10">
        <f t="shared" ref="AT112:AT130" si="35">AS112*SQRT(2)</f>
        <v>9.4342186745909162E-2</v>
      </c>
      <c r="AU112" s="10">
        <f>AR112*$BC$111+$BD$111</f>
        <v>9.4133535736873428E-2</v>
      </c>
      <c r="AV112" s="10">
        <f>AT112-AU112</f>
        <v>2.0865100903573464E-4</v>
      </c>
      <c r="AW112" s="11">
        <v>1.84</v>
      </c>
      <c r="AX112" s="11">
        <f>AW112/2</f>
        <v>0.92</v>
      </c>
      <c r="AY112" s="10" t="e">
        <f>AR112*$BI$111+$BJ$111</f>
        <v>#VALUE!</v>
      </c>
      <c r="AZ112" s="76" t="e">
        <f>AX112-AY112</f>
        <v>#VALUE!</v>
      </c>
      <c r="BB112" s="4" t="s">
        <v>2</v>
      </c>
      <c r="BC112" s="10">
        <v>6.9076367050013138E-4</v>
      </c>
      <c r="BD112" s="10">
        <v>1.4317141116593928E-4</v>
      </c>
      <c r="BE112" s="4" t="s">
        <v>6</v>
      </c>
      <c r="BH112" s="4" t="s">
        <v>2</v>
      </c>
      <c r="BI112" s="10" t="e">
        <v>#VALUE!</v>
      </c>
      <c r="BJ112" s="10" t="e">
        <v>#VALUE!</v>
      </c>
      <c r="BK112" s="4" t="s">
        <v>6</v>
      </c>
    </row>
    <row r="113" spans="3:63" x14ac:dyDescent="0.25">
      <c r="C113" s="63"/>
      <c r="D113" s="1">
        <v>1501</v>
      </c>
      <c r="E113" s="12">
        <f t="shared" si="25"/>
        <v>9431.0611460765595</v>
      </c>
      <c r="F113" s="22">
        <v>0.39500000000000002</v>
      </c>
      <c r="G113" s="10">
        <f t="shared" si="26"/>
        <v>0.55861435713737262</v>
      </c>
      <c r="H113" s="10">
        <v>0.78739999999999999</v>
      </c>
      <c r="I113" s="10">
        <f t="shared" si="27"/>
        <v>1.1135517590125752</v>
      </c>
      <c r="J113" s="10">
        <f t="shared" si="28"/>
        <v>1.1140028231001173</v>
      </c>
      <c r="K113" s="10">
        <f t="shared" si="31"/>
        <v>-4.5106408754214122E-4</v>
      </c>
      <c r="L113" s="11">
        <v>2.2999999999999998</v>
      </c>
      <c r="M113" s="11">
        <f t="shared" si="29"/>
        <v>1.1499999999999999</v>
      </c>
      <c r="N113" s="10">
        <f t="shared" si="30"/>
        <v>1.1490195659257998</v>
      </c>
      <c r="O113" s="10">
        <f t="shared" si="32"/>
        <v>9.8043407420012052E-4</v>
      </c>
      <c r="AN113" s="16"/>
      <c r="AO113" s="1">
        <v>1486</v>
      </c>
      <c r="AP113" s="12">
        <f t="shared" si="33"/>
        <v>9336.8133664688648</v>
      </c>
      <c r="AQ113" s="1">
        <v>3.9763E-2</v>
      </c>
      <c r="AR113" s="10">
        <f t="shared" si="34"/>
        <v>5.6233373880641382E-2</v>
      </c>
      <c r="AS113" s="10">
        <v>8.4699999999999998E-2</v>
      </c>
      <c r="AT113" s="10">
        <f t="shared" si="35"/>
        <v>0.11978388873300115</v>
      </c>
      <c r="AU113" s="10">
        <f t="shared" ref="AU113:AU130" si="36">AR113*$BC$111+$BD$111</f>
        <v>0.11951578472080178</v>
      </c>
      <c r="AV113" s="10">
        <f t="shared" ref="AV113:AV130" si="37">AT113-AU113</f>
        <v>2.6810401219937163E-4</v>
      </c>
      <c r="AW113" s="11">
        <v>1.9</v>
      </c>
      <c r="AX113" s="11">
        <f t="shared" ref="AX113:AX125" si="38">AW113/2</f>
        <v>0.95</v>
      </c>
      <c r="AY113" s="10">
        <f t="shared" ref="AY113:AY129" si="39">AR113*$BC$111+$BD$111</f>
        <v>0.11951578472080178</v>
      </c>
      <c r="AZ113" s="10">
        <f t="shared" ref="AZ112:AZ130" si="40">AX113-AY113</f>
        <v>0.83048421527919813</v>
      </c>
      <c r="BB113" s="4" t="s">
        <v>4</v>
      </c>
      <c r="BC113" s="10">
        <v>0.99999820497503444</v>
      </c>
      <c r="BD113" s="10">
        <v>2.9551291580315981E-4</v>
      </c>
      <c r="BE113" s="4" t="s">
        <v>7</v>
      </c>
      <c r="BH113" s="4" t="s">
        <v>4</v>
      </c>
      <c r="BI113" s="10" t="e">
        <v>#VALUE!</v>
      </c>
      <c r="BJ113" s="10" t="e">
        <v>#VALUE!</v>
      </c>
      <c r="BK113" s="4" t="s">
        <v>7</v>
      </c>
    </row>
    <row r="114" spans="3:63" x14ac:dyDescent="0.25">
      <c r="AN114" s="16"/>
      <c r="AO114" s="1">
        <v>1486</v>
      </c>
      <c r="AP114" s="12">
        <f t="shared" si="33"/>
        <v>9336.8133664688648</v>
      </c>
      <c r="AQ114" s="1">
        <v>4.4859999999999997E-2</v>
      </c>
      <c r="AR114" s="10">
        <f t="shared" si="34"/>
        <v>6.3441620408057051E-2</v>
      </c>
      <c r="AS114" s="10">
        <v>9.5560000000000006E-2</v>
      </c>
      <c r="AT114" s="10">
        <f t="shared" si="35"/>
        <v>0.13514224802037297</v>
      </c>
      <c r="AU114" s="10">
        <f t="shared" si="36"/>
        <v>0.13483893088580035</v>
      </c>
      <c r="AV114" s="10">
        <f t="shared" si="37"/>
        <v>3.0331713457262821E-4</v>
      </c>
      <c r="AW114" s="11">
        <v>2.02</v>
      </c>
      <c r="AX114" s="11">
        <f t="shared" si="38"/>
        <v>1.01</v>
      </c>
      <c r="AY114" s="10">
        <f t="shared" si="39"/>
        <v>0.13483893088580035</v>
      </c>
      <c r="AZ114" s="10">
        <f t="shared" si="40"/>
        <v>0.87516106911419966</v>
      </c>
    </row>
    <row r="115" spans="3:63" x14ac:dyDescent="0.25">
      <c r="D115" s="4" t="s">
        <v>58</v>
      </c>
      <c r="E115" s="1">
        <v>1</v>
      </c>
      <c r="AN115" s="16"/>
      <c r="AO115" s="1">
        <v>1486</v>
      </c>
      <c r="AP115" s="12">
        <f t="shared" si="33"/>
        <v>9336.8133664688648</v>
      </c>
      <c r="AQ115" s="1">
        <v>6.4750000000000002E-2</v>
      </c>
      <c r="AR115" s="10">
        <f t="shared" si="34"/>
        <v>9.1570328163657913E-2</v>
      </c>
      <c r="AS115" s="10">
        <v>0.13749</v>
      </c>
      <c r="AT115" s="10">
        <f t="shared" si="35"/>
        <v>0.19444022269067684</v>
      </c>
      <c r="AU115" s="10">
        <f t="shared" si="36"/>
        <v>0.19463437471978534</v>
      </c>
      <c r="AV115" s="10">
        <f t="shared" si="37"/>
        <v>-1.9415202910849638E-4</v>
      </c>
      <c r="AW115" s="11">
        <v>2.08</v>
      </c>
      <c r="AX115" s="11">
        <f t="shared" si="38"/>
        <v>1.04</v>
      </c>
      <c r="AY115" s="10">
        <f t="shared" si="39"/>
        <v>0.19463437471978534</v>
      </c>
      <c r="AZ115" s="10">
        <f t="shared" si="40"/>
        <v>0.84536562528021464</v>
      </c>
    </row>
    <row r="116" spans="3:63" ht="17.25" x14ac:dyDescent="0.25">
      <c r="D116" s="4" t="s">
        <v>59</v>
      </c>
      <c r="E116" s="1">
        <f>ABS(2*PI()*E115)</f>
        <v>6.2831853071795862</v>
      </c>
      <c r="AN116" s="16"/>
      <c r="AO116" s="1">
        <v>1486</v>
      </c>
      <c r="AP116" s="12">
        <f t="shared" si="33"/>
        <v>9336.8133664688648</v>
      </c>
      <c r="AQ116" s="1">
        <v>7.7409999999999993E-2</v>
      </c>
      <c r="AR116" s="10">
        <f t="shared" si="34"/>
        <v>0.10947427186330129</v>
      </c>
      <c r="AS116" s="10">
        <v>0.16435</v>
      </c>
      <c r="AT116" s="10">
        <f t="shared" si="35"/>
        <v>0.23242599897601818</v>
      </c>
      <c r="AU116" s="10">
        <f t="shared" si="36"/>
        <v>0.23269421981471997</v>
      </c>
      <c r="AV116" s="10">
        <f t="shared" si="37"/>
        <v>-2.6822083870178814E-4</v>
      </c>
      <c r="AW116" s="11">
        <v>2.1800000000000002</v>
      </c>
      <c r="AX116" s="11">
        <f t="shared" si="38"/>
        <v>1.0900000000000001</v>
      </c>
      <c r="AY116" s="10">
        <f t="shared" si="39"/>
        <v>0.23269421981471997</v>
      </c>
      <c r="AZ116" s="10">
        <f t="shared" si="40"/>
        <v>0.85730578018528014</v>
      </c>
    </row>
    <row r="117" spans="3:63" x14ac:dyDescent="0.25">
      <c r="AN117" s="16"/>
      <c r="AO117" s="1">
        <v>1486</v>
      </c>
      <c r="AP117" s="12">
        <f t="shared" si="33"/>
        <v>9336.8133664688648</v>
      </c>
      <c r="AQ117" s="1">
        <v>8.7760000000000005E-2</v>
      </c>
      <c r="AR117" s="10">
        <f t="shared" si="34"/>
        <v>0.12411138223386284</v>
      </c>
      <c r="AS117" s="10">
        <v>0.18643000000000001</v>
      </c>
      <c r="AT117" s="10">
        <f t="shared" si="35"/>
        <v>0.26365183443321616</v>
      </c>
      <c r="AU117" s="10">
        <f t="shared" si="36"/>
        <v>0.26380949601792486</v>
      </c>
      <c r="AV117" s="10">
        <f t="shared" si="37"/>
        <v>-1.5766158470870151E-4</v>
      </c>
      <c r="AW117" s="11">
        <v>2.29</v>
      </c>
      <c r="AX117" s="11">
        <f t="shared" si="38"/>
        <v>1.145</v>
      </c>
      <c r="AY117" s="10">
        <f t="shared" si="39"/>
        <v>0.26380949601792486</v>
      </c>
      <c r="AZ117" s="10">
        <f t="shared" si="40"/>
        <v>0.8811905039820751</v>
      </c>
    </row>
    <row r="118" spans="3:63" x14ac:dyDescent="0.25">
      <c r="AN118" s="16"/>
      <c r="AO118" s="1">
        <v>1486</v>
      </c>
      <c r="AP118" s="12">
        <f t="shared" si="33"/>
        <v>9336.8133664688648</v>
      </c>
      <c r="AQ118" s="1">
        <v>9.937E-2</v>
      </c>
      <c r="AR118" s="10">
        <f t="shared" si="34"/>
        <v>0.14053040169301448</v>
      </c>
      <c r="AS118" s="10">
        <v>0.21112</v>
      </c>
      <c r="AT118" s="10">
        <f t="shared" si="35"/>
        <v>0.29856876728820786</v>
      </c>
      <c r="AU118" s="10">
        <f t="shared" si="36"/>
        <v>0.29871271888934597</v>
      </c>
      <c r="AV118" s="10">
        <f t="shared" si="37"/>
        <v>-1.4395160113811478E-4</v>
      </c>
      <c r="AW118" s="11">
        <v>2.4</v>
      </c>
      <c r="AX118" s="11">
        <f t="shared" si="38"/>
        <v>1.2</v>
      </c>
      <c r="AY118" s="10">
        <f t="shared" si="39"/>
        <v>0.29871271888934597</v>
      </c>
      <c r="AZ118" s="10">
        <f t="shared" si="40"/>
        <v>0.90128728111065404</v>
      </c>
    </row>
    <row r="119" spans="3:63" x14ac:dyDescent="0.25">
      <c r="AN119" s="16"/>
      <c r="AO119" s="1">
        <v>1486</v>
      </c>
      <c r="AP119" s="12">
        <f t="shared" si="33"/>
        <v>9336.8133664688648</v>
      </c>
      <c r="AQ119" s="1">
        <v>0.10758</v>
      </c>
      <c r="AR119" s="10">
        <f t="shared" si="34"/>
        <v>0.15214109504009757</v>
      </c>
      <c r="AS119" s="10">
        <v>0.22859000000000002</v>
      </c>
      <c r="AT119" s="10">
        <f t="shared" si="35"/>
        <v>0.32327507822286583</v>
      </c>
      <c r="AU119" s="10">
        <f t="shared" si="36"/>
        <v>0.32339449837034223</v>
      </c>
      <c r="AV119" s="10">
        <f t="shared" si="37"/>
        <v>-1.1942014747640117E-4</v>
      </c>
      <c r="AW119" s="11">
        <v>2.5</v>
      </c>
      <c r="AX119" s="11">
        <f t="shared" si="38"/>
        <v>1.25</v>
      </c>
      <c r="AY119" s="10">
        <f t="shared" si="39"/>
        <v>0.32339449837034223</v>
      </c>
      <c r="AZ119" s="10">
        <f t="shared" si="40"/>
        <v>0.92660550162965771</v>
      </c>
    </row>
    <row r="120" spans="3:63" x14ac:dyDescent="0.25">
      <c r="AN120" s="16"/>
      <c r="AO120" s="1">
        <v>1486</v>
      </c>
      <c r="AP120" s="12">
        <f t="shared" si="33"/>
        <v>9336.8133664688648</v>
      </c>
      <c r="AQ120" s="1">
        <v>0.12611</v>
      </c>
      <c r="AR120" s="10">
        <f t="shared" si="34"/>
        <v>0.17834647235087103</v>
      </c>
      <c r="AS120" s="10">
        <v>0.26800000000000002</v>
      </c>
      <c r="AT120" s="10">
        <f t="shared" si="35"/>
        <v>0.37900923471598952</v>
      </c>
      <c r="AU120" s="10">
        <f t="shared" si="36"/>
        <v>0.37910136484815732</v>
      </c>
      <c r="AV120" s="10">
        <f t="shared" si="37"/>
        <v>-9.2130132167800305E-5</v>
      </c>
      <c r="AW120" s="11">
        <v>2.58</v>
      </c>
      <c r="AX120" s="11">
        <f t="shared" si="38"/>
        <v>1.29</v>
      </c>
      <c r="AY120" s="10">
        <f t="shared" si="39"/>
        <v>0.37910136484815732</v>
      </c>
      <c r="AZ120" s="10">
        <f t="shared" si="40"/>
        <v>0.91089863515184266</v>
      </c>
    </row>
    <row r="121" spans="3:63" x14ac:dyDescent="0.25">
      <c r="AN121" s="16"/>
      <c r="AO121" s="1">
        <v>1486</v>
      </c>
      <c r="AP121" s="12">
        <f t="shared" si="33"/>
        <v>9336.8133664688648</v>
      </c>
      <c r="AQ121" s="1">
        <v>0.14072000000000001</v>
      </c>
      <c r="AR121" s="10">
        <f t="shared" si="34"/>
        <v>0.19900813249714197</v>
      </c>
      <c r="AS121" s="10">
        <v>0.29899999999999999</v>
      </c>
      <c r="AT121" s="10">
        <f t="shared" si="35"/>
        <v>0.42284985514955542</v>
      </c>
      <c r="AU121" s="10">
        <f t="shared" si="36"/>
        <v>0.42302350835818853</v>
      </c>
      <c r="AV121" s="10">
        <f t="shared" si="37"/>
        <v>-1.7365320863310663E-4</v>
      </c>
      <c r="AW121" s="11">
        <v>2.62</v>
      </c>
      <c r="AX121" s="11">
        <f t="shared" si="38"/>
        <v>1.31</v>
      </c>
      <c r="AY121" s="10">
        <f t="shared" si="39"/>
        <v>0.42302350835818853</v>
      </c>
      <c r="AZ121" s="10">
        <f t="shared" si="40"/>
        <v>0.88697649164181147</v>
      </c>
    </row>
    <row r="122" spans="3:63" x14ac:dyDescent="0.25">
      <c r="AN122" s="16"/>
      <c r="AO122" s="1">
        <v>1486</v>
      </c>
      <c r="AP122" s="12">
        <f t="shared" si="33"/>
        <v>9336.8133664688648</v>
      </c>
      <c r="AQ122" s="1">
        <v>0.15796000000000002</v>
      </c>
      <c r="AR122" s="10">
        <f t="shared" si="34"/>
        <v>0.22338917431245414</v>
      </c>
      <c r="AS122" s="10">
        <v>0.33568999999999999</v>
      </c>
      <c r="AT122" s="10">
        <f t="shared" si="35"/>
        <v>0.47473735075302431</v>
      </c>
      <c r="AU122" s="10">
        <f t="shared" si="36"/>
        <v>0.47485223896140127</v>
      </c>
      <c r="AV122" s="10">
        <f t="shared" si="37"/>
        <v>-1.1488820837696201E-4</v>
      </c>
      <c r="AW122" s="11">
        <v>2.74</v>
      </c>
      <c r="AX122" s="11">
        <f t="shared" si="38"/>
        <v>1.37</v>
      </c>
      <c r="AY122" s="10">
        <f t="shared" si="39"/>
        <v>0.47485223896140127</v>
      </c>
      <c r="AZ122" s="10">
        <f t="shared" si="40"/>
        <v>0.89514776103859883</v>
      </c>
    </row>
    <row r="123" spans="3:63" x14ac:dyDescent="0.25">
      <c r="AN123" s="16"/>
      <c r="AO123" s="1">
        <v>1486</v>
      </c>
      <c r="AP123" s="12">
        <f t="shared" si="33"/>
        <v>9336.8133664688648</v>
      </c>
      <c r="AQ123" s="1">
        <v>0.17382</v>
      </c>
      <c r="AR123" s="10">
        <f t="shared" si="34"/>
        <v>0.2458186014116914</v>
      </c>
      <c r="AS123" s="10">
        <v>0.36937000000000003</v>
      </c>
      <c r="AT123" s="10">
        <f t="shared" si="35"/>
        <v>0.5223680635337502</v>
      </c>
      <c r="AU123" s="10">
        <f t="shared" si="36"/>
        <v>0.52253226607085335</v>
      </c>
      <c r="AV123" s="10">
        <f t="shared" si="37"/>
        <v>-1.6420253710314192E-4</v>
      </c>
      <c r="AW123" s="11">
        <v>2.82</v>
      </c>
      <c r="AX123" s="11">
        <f t="shared" si="38"/>
        <v>1.41</v>
      </c>
      <c r="AY123" s="10">
        <f t="shared" si="39"/>
        <v>0.52253226607085335</v>
      </c>
      <c r="AZ123" s="10">
        <f t="shared" si="40"/>
        <v>0.88746773392914657</v>
      </c>
    </row>
    <row r="124" spans="3:63" x14ac:dyDescent="0.25">
      <c r="AN124" s="16"/>
      <c r="AO124" s="1">
        <v>1486</v>
      </c>
      <c r="AP124" s="12">
        <f t="shared" si="33"/>
        <v>9336.8133664688648</v>
      </c>
      <c r="AQ124" s="1">
        <v>0.18605000000000002</v>
      </c>
      <c r="AR124" s="10">
        <f t="shared" si="34"/>
        <v>0.26311443327951439</v>
      </c>
      <c r="AS124" s="10">
        <v>0.39545999999999998</v>
      </c>
      <c r="AT124" s="10">
        <f t="shared" si="35"/>
        <v>0.55926489537606416</v>
      </c>
      <c r="AU124" s="10">
        <f t="shared" si="36"/>
        <v>0.5592993992075872</v>
      </c>
      <c r="AV124" s="10">
        <f t="shared" si="37"/>
        <v>-3.4503831523036155E-5</v>
      </c>
      <c r="AW124" s="11">
        <v>2.86</v>
      </c>
      <c r="AX124" s="11">
        <f t="shared" si="38"/>
        <v>1.43</v>
      </c>
      <c r="AY124" s="10">
        <f t="shared" si="39"/>
        <v>0.5592993992075872</v>
      </c>
      <c r="AZ124" s="10">
        <f t="shared" si="40"/>
        <v>0.87070060079241274</v>
      </c>
    </row>
    <row r="125" spans="3:63" x14ac:dyDescent="0.25">
      <c r="AN125" s="16"/>
      <c r="AO125" s="1">
        <v>1486</v>
      </c>
      <c r="AP125" s="12">
        <f t="shared" si="33"/>
        <v>9336.8133664688648</v>
      </c>
      <c r="AQ125" s="1">
        <v>0.19800999999999999</v>
      </c>
      <c r="AR125" s="10">
        <f t="shared" si="34"/>
        <v>0.28002842748549656</v>
      </c>
      <c r="AS125" s="10">
        <v>0.42082999999999998</v>
      </c>
      <c r="AT125" s="10">
        <f>AS125*SQRT(2)</f>
        <v>0.59514349345346962</v>
      </c>
      <c r="AU125" s="10">
        <f t="shared" si="36"/>
        <v>0.59525482948684605</v>
      </c>
      <c r="AV125" s="10">
        <f t="shared" si="37"/>
        <v>-1.1133603337643017E-4</v>
      </c>
      <c r="AW125" s="11">
        <v>2.92</v>
      </c>
      <c r="AX125" s="11">
        <f t="shared" si="38"/>
        <v>1.46</v>
      </c>
      <c r="AY125" s="10">
        <f t="shared" si="39"/>
        <v>0.59525482948684605</v>
      </c>
      <c r="AZ125" s="10">
        <f t="shared" si="40"/>
        <v>0.86474517051315392</v>
      </c>
    </row>
    <row r="126" spans="3:63" x14ac:dyDescent="0.25">
      <c r="AN126" s="16"/>
      <c r="AO126" s="1">
        <v>1486</v>
      </c>
      <c r="AP126" s="12">
        <f t="shared" si="33"/>
        <v>9336.8133664688648</v>
      </c>
      <c r="AQ126" s="1">
        <v>0.20879</v>
      </c>
      <c r="AR126" s="10">
        <f t="shared" si="34"/>
        <v>0.29527364968787856</v>
      </c>
      <c r="AS126" s="1">
        <v>0.44377</v>
      </c>
      <c r="AT126" s="10">
        <f t="shared" si="35"/>
        <v>0.62758555257430848</v>
      </c>
      <c r="AU126" s="10">
        <f t="shared" si="36"/>
        <v>0.62766281764825183</v>
      </c>
      <c r="AV126" s="10">
        <f>AT126-AU126</f>
        <v>-7.7265073943344476E-5</v>
      </c>
      <c r="AW126" s="1"/>
      <c r="AX126" s="1"/>
      <c r="AY126" s="10">
        <f t="shared" si="39"/>
        <v>0.62766281764825183</v>
      </c>
      <c r="AZ126" s="76">
        <f>AX126-AY126</f>
        <v>-0.62766281764825183</v>
      </c>
    </row>
    <row r="127" spans="3:63" x14ac:dyDescent="0.25">
      <c r="AN127" s="16"/>
      <c r="AO127" s="1">
        <v>1486</v>
      </c>
      <c r="AP127" s="12">
        <f>2*PI()*AO127</f>
        <v>9336.8133664688648</v>
      </c>
      <c r="AQ127" s="1">
        <v>0.22219999999999998</v>
      </c>
      <c r="AR127" s="10">
        <f t="shared" si="34"/>
        <v>0.31423825355930174</v>
      </c>
      <c r="AS127" s="1">
        <v>0.47226000000000001</v>
      </c>
      <c r="AT127" s="10">
        <f t="shared" si="35"/>
        <v>0.6678764969663179</v>
      </c>
      <c r="AU127" s="10">
        <f t="shared" si="36"/>
        <v>0.66797739290283886</v>
      </c>
      <c r="AV127" s="10">
        <f t="shared" si="37"/>
        <v>-1.0089593652096163E-4</v>
      </c>
      <c r="AW127" s="1"/>
      <c r="AX127" s="1"/>
      <c r="AY127" s="10">
        <f t="shared" si="39"/>
        <v>0.66797739290283886</v>
      </c>
      <c r="AZ127" s="10">
        <f t="shared" si="40"/>
        <v>-0.66797739290283886</v>
      </c>
    </row>
    <row r="128" spans="3:63" x14ac:dyDescent="0.25">
      <c r="AN128" s="16"/>
      <c r="AO128" s="1">
        <v>1486</v>
      </c>
      <c r="AP128" s="12">
        <f t="shared" si="33"/>
        <v>9336.8133664688648</v>
      </c>
      <c r="AQ128" s="1">
        <v>0.23432</v>
      </c>
      <c r="AR128" s="10">
        <f t="shared" si="34"/>
        <v>0.33137852193526368</v>
      </c>
      <c r="AS128" s="1">
        <v>0.498</v>
      </c>
      <c r="AT128" s="10">
        <f t="shared" si="35"/>
        <v>0.70427835406180139</v>
      </c>
      <c r="AU128" s="10">
        <f t="shared" si="36"/>
        <v>0.70441383228282373</v>
      </c>
      <c r="AV128" s="10">
        <f t="shared" si="37"/>
        <v>-1.3547822102233376E-4</v>
      </c>
      <c r="AW128" s="1"/>
      <c r="AX128" s="1"/>
      <c r="AY128" s="10">
        <f t="shared" si="39"/>
        <v>0.70441383228282373</v>
      </c>
      <c r="AZ128" s="10">
        <f t="shared" si="40"/>
        <v>-0.70441383228282373</v>
      </c>
    </row>
    <row r="129" spans="9:52" x14ac:dyDescent="0.25">
      <c r="AN129" s="16"/>
      <c r="AO129" s="1">
        <v>1486</v>
      </c>
      <c r="AP129" s="12">
        <f t="shared" si="33"/>
        <v>9336.8133664688648</v>
      </c>
      <c r="AQ129" s="1">
        <v>0.22572999999999999</v>
      </c>
      <c r="AR129" s="10">
        <f t="shared" si="34"/>
        <v>0.31923042743447877</v>
      </c>
      <c r="AS129" s="1">
        <v>0.48052999999999996</v>
      </c>
      <c r="AT129" s="10">
        <f t="shared" si="35"/>
        <v>0.67957204312714337</v>
      </c>
      <c r="AU129" s="10">
        <f t="shared" si="36"/>
        <v>0.67858965618760347</v>
      </c>
      <c r="AV129" s="10">
        <f t="shared" si="37"/>
        <v>9.8238693953989209E-4</v>
      </c>
      <c r="AW129" s="1"/>
      <c r="AX129" s="1"/>
      <c r="AY129" s="10">
        <f t="shared" si="39"/>
        <v>0.67858965618760347</v>
      </c>
      <c r="AZ129" s="10">
        <f t="shared" si="40"/>
        <v>-0.67858965618760347</v>
      </c>
    </row>
    <row r="130" spans="9:52" x14ac:dyDescent="0.25">
      <c r="AN130" s="16"/>
      <c r="AO130" s="1">
        <v>1486</v>
      </c>
      <c r="AP130" s="12">
        <f t="shared" si="33"/>
        <v>9336.8133664688648</v>
      </c>
      <c r="AQ130" s="1">
        <v>2.6112E-2</v>
      </c>
      <c r="AR130" s="10">
        <f t="shared" si="34"/>
        <v>3.6927944540686257E-2</v>
      </c>
      <c r="AS130" s="1">
        <v>5.5579999999999997E-2</v>
      </c>
      <c r="AT130" s="10">
        <f t="shared" si="35"/>
        <v>7.8601989796696622E-2</v>
      </c>
      <c r="AU130" s="10">
        <f t="shared" si="36"/>
        <v>7.8476689508246281E-2</v>
      </c>
      <c r="AV130" s="10">
        <f t="shared" si="37"/>
        <v>1.253002884503418E-4</v>
      </c>
      <c r="AW130" s="1"/>
      <c r="AX130" s="1"/>
      <c r="AY130" s="10">
        <f>AR130*$BC$111+$BD$111</f>
        <v>7.8476689508246281E-2</v>
      </c>
      <c r="AZ130" s="10">
        <f t="shared" si="40"/>
        <v>-7.8476689508246281E-2</v>
      </c>
    </row>
    <row r="131" spans="9:52" x14ac:dyDescent="0.25">
      <c r="AN131" s="16"/>
    </row>
    <row r="132" spans="9:52" x14ac:dyDescent="0.25">
      <c r="AN132" s="16"/>
      <c r="AR132" s="1">
        <v>31.32</v>
      </c>
      <c r="AS132" s="2">
        <f>AR132/1000</f>
        <v>3.1320000000000001E-2</v>
      </c>
      <c r="AT132" s="10">
        <v>66.709999999999994</v>
      </c>
      <c r="AU132" s="2">
        <f>AT132/1000</f>
        <v>6.6709999999999992E-2</v>
      </c>
      <c r="AW132" s="77" t="s">
        <v>92</v>
      </c>
      <c r="AX132" s="77"/>
      <c r="AY132" s="77"/>
    </row>
    <row r="133" spans="9:52" x14ac:dyDescent="0.25">
      <c r="AN133" s="16"/>
      <c r="AR133" s="1">
        <v>39.762999999999998</v>
      </c>
      <c r="AS133" s="2">
        <f t="shared" ref="AS133:AS149" si="41">AR133/1000</f>
        <v>3.9763E-2</v>
      </c>
      <c r="AT133" s="10">
        <v>84.7</v>
      </c>
      <c r="AU133" s="2">
        <f t="shared" ref="AU133:AU150" si="42">AT133/1000</f>
        <v>8.4699999999999998E-2</v>
      </c>
      <c r="AW133" s="77"/>
      <c r="AX133" s="77"/>
      <c r="AY133" s="77"/>
    </row>
    <row r="134" spans="9:52" x14ac:dyDescent="0.25">
      <c r="AN134" s="16"/>
      <c r="AR134" s="1">
        <v>44.86</v>
      </c>
      <c r="AS134" s="2">
        <f t="shared" si="41"/>
        <v>4.4859999999999997E-2</v>
      </c>
      <c r="AT134" s="10">
        <v>95.56</v>
      </c>
      <c r="AU134" s="2">
        <f t="shared" si="42"/>
        <v>9.5560000000000006E-2</v>
      </c>
      <c r="AW134" s="77"/>
      <c r="AX134" s="77"/>
      <c r="AY134" s="77"/>
    </row>
    <row r="135" spans="9:52" x14ac:dyDescent="0.25">
      <c r="AN135" s="16"/>
      <c r="AR135" s="1">
        <v>64.75</v>
      </c>
      <c r="AS135" s="2">
        <f t="shared" si="41"/>
        <v>6.4750000000000002E-2</v>
      </c>
      <c r="AT135" s="10">
        <v>137.49</v>
      </c>
      <c r="AU135" s="2">
        <f t="shared" si="42"/>
        <v>0.13749</v>
      </c>
      <c r="AW135" s="77"/>
      <c r="AX135" s="77"/>
      <c r="AY135" s="77"/>
    </row>
    <row r="136" spans="9:52" x14ac:dyDescent="0.25">
      <c r="AN136" s="16"/>
      <c r="AR136" s="1">
        <v>77.41</v>
      </c>
      <c r="AS136" s="2">
        <f t="shared" si="41"/>
        <v>7.7409999999999993E-2</v>
      </c>
      <c r="AT136" s="10">
        <v>164.35</v>
      </c>
      <c r="AU136" s="2">
        <f t="shared" si="42"/>
        <v>0.16435</v>
      </c>
    </row>
    <row r="137" spans="9:52" x14ac:dyDescent="0.25">
      <c r="AN137" s="16"/>
      <c r="AR137" s="1">
        <v>87.76</v>
      </c>
      <c r="AS137" s="2">
        <f t="shared" si="41"/>
        <v>8.7760000000000005E-2</v>
      </c>
      <c r="AT137" s="10">
        <v>186.43</v>
      </c>
      <c r="AU137" s="2">
        <f t="shared" si="42"/>
        <v>0.18643000000000001</v>
      </c>
    </row>
    <row r="138" spans="9:52" ht="18" x14ac:dyDescent="0.25">
      <c r="I138" s="54" t="s">
        <v>30</v>
      </c>
      <c r="J138" s="54"/>
      <c r="K138" s="54"/>
      <c r="L138" s="54"/>
      <c r="M138" s="54"/>
      <c r="AN138" s="16"/>
      <c r="AR138" s="1">
        <v>99.37</v>
      </c>
      <c r="AS138" s="2">
        <f t="shared" si="41"/>
        <v>9.937E-2</v>
      </c>
      <c r="AT138" s="10">
        <v>211.12</v>
      </c>
      <c r="AU138" s="2">
        <f t="shared" si="42"/>
        <v>0.21112</v>
      </c>
    </row>
    <row r="139" spans="9:52" x14ac:dyDescent="0.25">
      <c r="I139" s="49" t="s">
        <v>31</v>
      </c>
      <c r="J139" s="49"/>
      <c r="L139" s="55" t="s">
        <v>14</v>
      </c>
      <c r="M139" s="55"/>
      <c r="AN139" s="16"/>
      <c r="AR139" s="1">
        <v>107.58</v>
      </c>
      <c r="AS139" s="2">
        <f t="shared" si="41"/>
        <v>0.10758</v>
      </c>
      <c r="AT139" s="10">
        <v>228.59</v>
      </c>
      <c r="AU139" s="2">
        <f t="shared" si="42"/>
        <v>0.22859000000000002</v>
      </c>
    </row>
    <row r="140" spans="9:52" ht="18" x14ac:dyDescent="0.25">
      <c r="I140" s="27" t="s">
        <v>32</v>
      </c>
      <c r="J140" s="30">
        <f>4*PI()*10^-7</f>
        <v>1.2566370614359173E-6</v>
      </c>
      <c r="L140" s="26" t="s">
        <v>32</v>
      </c>
      <c r="M140" s="30">
        <f>J140</f>
        <v>1.2566370614359173E-6</v>
      </c>
      <c r="AN140" s="16"/>
      <c r="AR140" s="1">
        <v>126.11</v>
      </c>
      <c r="AS140" s="2">
        <f t="shared" si="41"/>
        <v>0.12611</v>
      </c>
      <c r="AT140" s="10">
        <v>268</v>
      </c>
      <c r="AU140" s="2">
        <f t="shared" si="42"/>
        <v>0.26800000000000002</v>
      </c>
    </row>
    <row r="141" spans="9:52" ht="18" x14ac:dyDescent="0.25">
      <c r="I141" s="27" t="s">
        <v>33</v>
      </c>
      <c r="J141" s="1">
        <f>(U92*J145)/(J146*M146*M147*E94)</f>
        <v>1.2197581109194996E-6</v>
      </c>
      <c r="L141" s="26" t="s">
        <v>33</v>
      </c>
      <c r="M141" s="1">
        <f>(AE92*J145)/(J146*M146*M147*E94)</f>
        <v>1.2021754391057407E-6</v>
      </c>
      <c r="AN141" s="16"/>
      <c r="AR141" s="1">
        <v>140.72</v>
      </c>
      <c r="AS141" s="2">
        <f t="shared" si="41"/>
        <v>0.14072000000000001</v>
      </c>
      <c r="AT141" s="10">
        <v>299</v>
      </c>
      <c r="AU141" s="2">
        <f t="shared" si="42"/>
        <v>0.29899999999999999</v>
      </c>
    </row>
    <row r="142" spans="9:52" ht="18" x14ac:dyDescent="0.25">
      <c r="I142" s="27" t="s">
        <v>35</v>
      </c>
      <c r="J142" s="1">
        <f>8.4*10^-9</f>
        <v>8.4000000000000008E-9</v>
      </c>
      <c r="L142" s="26" t="s">
        <v>34</v>
      </c>
      <c r="M142" s="1">
        <f>1.45*10^-8</f>
        <v>1.4499999999999999E-8</v>
      </c>
      <c r="AN142" s="16"/>
      <c r="AR142" s="1">
        <v>157.96</v>
      </c>
      <c r="AS142" s="2">
        <f t="shared" si="41"/>
        <v>0.15796000000000002</v>
      </c>
      <c r="AT142" s="10">
        <v>335.69</v>
      </c>
      <c r="AU142" s="2">
        <f t="shared" si="42"/>
        <v>0.33568999999999999</v>
      </c>
    </row>
    <row r="143" spans="9:52" x14ac:dyDescent="0.25">
      <c r="I143" s="27" t="s">
        <v>36</v>
      </c>
      <c r="J143" s="32">
        <f>ABS(J140-J141)/J140</f>
        <v>2.9347336353646392E-2</v>
      </c>
      <c r="L143" s="26" t="s">
        <v>36</v>
      </c>
      <c r="M143" s="32">
        <f>ABS(M140-M141)/M140</f>
        <v>4.3339182013257767E-2</v>
      </c>
      <c r="AN143" s="16"/>
      <c r="AR143" s="1">
        <v>173.82</v>
      </c>
      <c r="AS143" s="2">
        <f t="shared" si="41"/>
        <v>0.17382</v>
      </c>
      <c r="AT143" s="10">
        <v>369.37</v>
      </c>
      <c r="AU143" s="2">
        <f t="shared" si="42"/>
        <v>0.36937000000000003</v>
      </c>
    </row>
    <row r="144" spans="9:52" x14ac:dyDescent="0.25">
      <c r="AN144" s="16"/>
      <c r="AR144" s="1">
        <v>186.05</v>
      </c>
      <c r="AS144" s="2">
        <f t="shared" si="41"/>
        <v>0.18605000000000002</v>
      </c>
      <c r="AT144" s="10">
        <v>395.46</v>
      </c>
      <c r="AU144" s="2">
        <f t="shared" si="42"/>
        <v>0.39545999999999998</v>
      </c>
    </row>
    <row r="145" spans="9:47" x14ac:dyDescent="0.25">
      <c r="I145" s="28" t="s">
        <v>19</v>
      </c>
      <c r="J145" s="1">
        <v>0.75</v>
      </c>
      <c r="K145" s="53" t="s">
        <v>38</v>
      </c>
      <c r="L145" s="53"/>
      <c r="M145" s="1">
        <v>4.1000000000000002E-2</v>
      </c>
      <c r="AN145" s="16"/>
      <c r="AR145" s="1">
        <v>198.01</v>
      </c>
      <c r="AS145" s="2">
        <f t="shared" si="41"/>
        <v>0.19800999999999999</v>
      </c>
      <c r="AT145" s="10">
        <v>420.83</v>
      </c>
      <c r="AU145" s="2">
        <f t="shared" si="42"/>
        <v>0.42082999999999998</v>
      </c>
    </row>
    <row r="146" spans="9:47" ht="17.25" x14ac:dyDescent="0.25">
      <c r="I146" s="28" t="s">
        <v>17</v>
      </c>
      <c r="J146" s="1">
        <v>364</v>
      </c>
      <c r="K146" s="53" t="s">
        <v>39</v>
      </c>
      <c r="L146" s="53"/>
      <c r="M146" s="22">
        <f>M145^2*PI()/4</f>
        <v>1.3202543126711107E-3</v>
      </c>
      <c r="AN146" s="16"/>
      <c r="AR146" s="1">
        <v>208.79</v>
      </c>
      <c r="AS146" s="2">
        <f t="shared" si="41"/>
        <v>0.20879</v>
      </c>
      <c r="AT146" s="1">
        <v>443.77</v>
      </c>
      <c r="AU146" s="2">
        <f t="shared" si="42"/>
        <v>0.44377</v>
      </c>
    </row>
    <row r="147" spans="9:47" x14ac:dyDescent="0.25">
      <c r="K147" s="53" t="s">
        <v>37</v>
      </c>
      <c r="L147" s="53"/>
      <c r="M147" s="1">
        <v>300</v>
      </c>
      <c r="AN147" s="16"/>
      <c r="AR147" s="1">
        <v>222.2</v>
      </c>
      <c r="AS147" s="2">
        <f t="shared" si="41"/>
        <v>0.22219999999999998</v>
      </c>
      <c r="AT147" s="1">
        <v>472.26</v>
      </c>
      <c r="AU147" s="2">
        <f t="shared" si="42"/>
        <v>0.47226000000000001</v>
      </c>
    </row>
    <row r="148" spans="9:47" x14ac:dyDescent="0.25">
      <c r="AN148" s="16"/>
      <c r="AR148" s="1">
        <v>234.32</v>
      </c>
      <c r="AS148" s="2">
        <f t="shared" si="41"/>
        <v>0.23432</v>
      </c>
      <c r="AT148" s="1">
        <v>498</v>
      </c>
      <c r="AU148" s="2">
        <f t="shared" si="42"/>
        <v>0.498</v>
      </c>
    </row>
    <row r="149" spans="9:47" x14ac:dyDescent="0.25">
      <c r="AN149" s="16"/>
      <c r="AR149" s="1">
        <v>225.73</v>
      </c>
      <c r="AS149" s="2">
        <f t="shared" si="41"/>
        <v>0.22572999999999999</v>
      </c>
      <c r="AT149" s="1">
        <v>480.53</v>
      </c>
      <c r="AU149" s="2">
        <f t="shared" si="42"/>
        <v>0.48052999999999996</v>
      </c>
    </row>
    <row r="150" spans="9:47" x14ac:dyDescent="0.25">
      <c r="AN150" s="16"/>
      <c r="AR150" s="1">
        <v>26.111999999999998</v>
      </c>
      <c r="AS150" s="2">
        <f>AR150/1000</f>
        <v>2.6112E-2</v>
      </c>
      <c r="AT150" s="1">
        <v>55.58</v>
      </c>
      <c r="AU150" s="2">
        <f t="shared" si="42"/>
        <v>5.5579999999999997E-2</v>
      </c>
    </row>
    <row r="151" spans="9:47" x14ac:dyDescent="0.25">
      <c r="AN151" s="16"/>
    </row>
    <row r="152" spans="9:47" x14ac:dyDescent="0.25">
      <c r="AN152" s="16"/>
    </row>
    <row r="153" spans="9:47" x14ac:dyDescent="0.25">
      <c r="AN153" s="16"/>
    </row>
    <row r="154" spans="9:47" x14ac:dyDescent="0.25">
      <c r="AN154" s="16"/>
    </row>
    <row r="155" spans="9:47" x14ac:dyDescent="0.25">
      <c r="AN155" s="16"/>
    </row>
    <row r="156" spans="9:47" x14ac:dyDescent="0.25">
      <c r="AN156" s="16"/>
    </row>
    <row r="157" spans="9:47" x14ac:dyDescent="0.25">
      <c r="AN157" s="16"/>
    </row>
    <row r="158" spans="9:47" x14ac:dyDescent="0.25">
      <c r="AN158" s="16"/>
    </row>
    <row r="159" spans="9:47" x14ac:dyDescent="0.25">
      <c r="AN159" s="16"/>
    </row>
    <row r="160" spans="9:47" x14ac:dyDescent="0.25">
      <c r="AN160" s="16"/>
    </row>
    <row r="161" spans="40:40" x14ac:dyDescent="0.25">
      <c r="AN161" s="16"/>
    </row>
    <row r="162" spans="40:40" x14ac:dyDescent="0.25">
      <c r="AN162" s="16"/>
    </row>
    <row r="163" spans="40:40" x14ac:dyDescent="0.25">
      <c r="AN163" s="16"/>
    </row>
    <row r="164" spans="40:40" x14ac:dyDescent="0.25">
      <c r="AN164" s="16"/>
    </row>
    <row r="165" spans="40:40" x14ac:dyDescent="0.25">
      <c r="AN165" s="16"/>
    </row>
    <row r="166" spans="40:40" x14ac:dyDescent="0.25">
      <c r="AN166" s="16"/>
    </row>
    <row r="167" spans="40:40" x14ac:dyDescent="0.25">
      <c r="AN167" s="16"/>
    </row>
    <row r="168" spans="40:40" x14ac:dyDescent="0.25">
      <c r="AN168" s="16"/>
    </row>
    <row r="169" spans="40:40" x14ac:dyDescent="0.25">
      <c r="AN169" s="16"/>
    </row>
    <row r="170" spans="40:40" x14ac:dyDescent="0.25">
      <c r="AN170" s="16"/>
    </row>
    <row r="171" spans="40:40" x14ac:dyDescent="0.25">
      <c r="AN171" s="16"/>
    </row>
    <row r="172" spans="40:40" x14ac:dyDescent="0.25">
      <c r="AN172" s="16"/>
    </row>
    <row r="173" spans="40:40" x14ac:dyDescent="0.25">
      <c r="AN173" s="16"/>
    </row>
    <row r="174" spans="40:40" x14ac:dyDescent="0.25">
      <c r="AN174" s="16"/>
    </row>
    <row r="175" spans="40:40" x14ac:dyDescent="0.25">
      <c r="AN175" s="16"/>
    </row>
    <row r="176" spans="40:40" x14ac:dyDescent="0.25">
      <c r="AN176" s="16"/>
    </row>
    <row r="177" spans="40:40" x14ac:dyDescent="0.25">
      <c r="AN177" s="16"/>
    </row>
    <row r="178" spans="40:40" x14ac:dyDescent="0.25">
      <c r="AN178" s="16"/>
    </row>
    <row r="179" spans="40:40" x14ac:dyDescent="0.25">
      <c r="AN179" s="16"/>
    </row>
    <row r="180" spans="40:40" x14ac:dyDescent="0.25">
      <c r="AN180" s="16"/>
    </row>
    <row r="181" spans="40:40" x14ac:dyDescent="0.25">
      <c r="AN181" s="16"/>
    </row>
    <row r="182" spans="40:40" x14ac:dyDescent="0.25">
      <c r="AN182" s="16"/>
    </row>
    <row r="183" spans="40:40" x14ac:dyDescent="0.25">
      <c r="AN183" s="16"/>
    </row>
    <row r="184" spans="40:40" x14ac:dyDescent="0.25">
      <c r="AN184" s="16"/>
    </row>
    <row r="185" spans="40:40" x14ac:dyDescent="0.25">
      <c r="AN185" s="16"/>
    </row>
    <row r="186" spans="40:40" x14ac:dyDescent="0.25">
      <c r="AN186" s="16"/>
    </row>
    <row r="187" spans="40:40" x14ac:dyDescent="0.25">
      <c r="AN187" s="16"/>
    </row>
    <row r="188" spans="40:40" x14ac:dyDescent="0.25">
      <c r="AN188" s="16"/>
    </row>
    <row r="189" spans="40:40" x14ac:dyDescent="0.25">
      <c r="AN189" s="16"/>
    </row>
    <row r="190" spans="40:40" x14ac:dyDescent="0.25">
      <c r="AN190" s="16"/>
    </row>
    <row r="191" spans="40:40" x14ac:dyDescent="0.25">
      <c r="AN191" s="16"/>
    </row>
    <row r="192" spans="40:40" x14ac:dyDescent="0.25">
      <c r="AN192" s="16"/>
    </row>
    <row r="193" spans="40:40" x14ac:dyDescent="0.25">
      <c r="AN193" s="16"/>
    </row>
    <row r="194" spans="40:40" x14ac:dyDescent="0.25">
      <c r="AN194" s="16"/>
    </row>
    <row r="195" spans="40:40" x14ac:dyDescent="0.25">
      <c r="AN195" s="16"/>
    </row>
    <row r="196" spans="40:40" x14ac:dyDescent="0.25">
      <c r="AN196" s="16"/>
    </row>
    <row r="197" spans="40:40" x14ac:dyDescent="0.25">
      <c r="AN197" s="16"/>
    </row>
    <row r="198" spans="40:40" x14ac:dyDescent="0.25">
      <c r="AN198" s="16"/>
    </row>
    <row r="199" spans="40:40" x14ac:dyDescent="0.25">
      <c r="AN199" s="16"/>
    </row>
    <row r="200" spans="40:40" x14ac:dyDescent="0.25">
      <c r="AN200" s="16"/>
    </row>
    <row r="201" spans="40:40" x14ac:dyDescent="0.25">
      <c r="AN201" s="16"/>
    </row>
    <row r="202" spans="40:40" x14ac:dyDescent="0.25">
      <c r="AN202" s="16"/>
    </row>
    <row r="203" spans="40:40" x14ac:dyDescent="0.25">
      <c r="AN203" s="16"/>
    </row>
    <row r="204" spans="40:40" x14ac:dyDescent="0.25">
      <c r="AN204" s="16"/>
    </row>
    <row r="205" spans="40:40" x14ac:dyDescent="0.25">
      <c r="AN205" s="16"/>
    </row>
    <row r="206" spans="40:40" x14ac:dyDescent="0.25">
      <c r="AN206" s="16"/>
    </row>
    <row r="207" spans="40:40" x14ac:dyDescent="0.25">
      <c r="AN207" s="16"/>
    </row>
    <row r="208" spans="40:40" x14ac:dyDescent="0.25">
      <c r="AN208" s="16"/>
    </row>
  </sheetData>
  <mergeCells count="73">
    <mergeCell ref="BB110:BE110"/>
    <mergeCell ref="BH110:BK110"/>
    <mergeCell ref="AW132:AY135"/>
    <mergeCell ref="AO109:AZ109"/>
    <mergeCell ref="AO110:AO111"/>
    <mergeCell ref="AP110:AP111"/>
    <mergeCell ref="AQ110:AQ111"/>
    <mergeCell ref="AR110:AR111"/>
    <mergeCell ref="AS110:AV110"/>
    <mergeCell ref="AW110:AZ110"/>
    <mergeCell ref="B20:C20"/>
    <mergeCell ref="B21:C21"/>
    <mergeCell ref="B22:C22"/>
    <mergeCell ref="B23:C23"/>
    <mergeCell ref="B28:C28"/>
    <mergeCell ref="K145:L145"/>
    <mergeCell ref="K146:L146"/>
    <mergeCell ref="K147:L147"/>
    <mergeCell ref="B24:C24"/>
    <mergeCell ref="B25:C25"/>
    <mergeCell ref="B26:C26"/>
    <mergeCell ref="B27:C27"/>
    <mergeCell ref="B29:C29"/>
    <mergeCell ref="C103:C113"/>
    <mergeCell ref="C94:C102"/>
    <mergeCell ref="D92:D93"/>
    <mergeCell ref="E92:E93"/>
    <mergeCell ref="F92:F93"/>
    <mergeCell ref="G92:G93"/>
    <mergeCell ref="D60:D61"/>
    <mergeCell ref="E60:E61"/>
    <mergeCell ref="T91:W91"/>
    <mergeCell ref="AD91:AG91"/>
    <mergeCell ref="I138:M138"/>
    <mergeCell ref="L60:O60"/>
    <mergeCell ref="I139:J139"/>
    <mergeCell ref="L139:M139"/>
    <mergeCell ref="D2:O2"/>
    <mergeCell ref="D59:O59"/>
    <mergeCell ref="AQ2:BB2"/>
    <mergeCell ref="D91:O91"/>
    <mergeCell ref="H92:K92"/>
    <mergeCell ref="AY60:BB60"/>
    <mergeCell ref="S2:V2"/>
    <mergeCell ref="AC2:AF2"/>
    <mergeCell ref="L3:O3"/>
    <mergeCell ref="AQ59:BB59"/>
    <mergeCell ref="AU3:AX3"/>
    <mergeCell ref="H3:K3"/>
    <mergeCell ref="H60:K60"/>
    <mergeCell ref="R60:U60"/>
    <mergeCell ref="X60:AA60"/>
    <mergeCell ref="L92:O92"/>
    <mergeCell ref="BF59:BI59"/>
    <mergeCell ref="BO59:BR59"/>
    <mergeCell ref="AU60:AX60"/>
    <mergeCell ref="AY3:BB3"/>
    <mergeCell ref="BF2:BI2"/>
    <mergeCell ref="BO2:BR2"/>
    <mergeCell ref="F60:F61"/>
    <mergeCell ref="G60:G61"/>
    <mergeCell ref="D3:D4"/>
    <mergeCell ref="E3:E4"/>
    <mergeCell ref="F3:F4"/>
    <mergeCell ref="G3:G4"/>
    <mergeCell ref="AT3:AT4"/>
    <mergeCell ref="AS3:AS4"/>
    <mergeCell ref="AR3:AR4"/>
    <mergeCell ref="AQ3:AQ4"/>
    <mergeCell ref="AQ60:AQ61"/>
    <mergeCell ref="AR60:AR61"/>
    <mergeCell ref="AS60:AS61"/>
    <mergeCell ref="AT60:AT6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6D11-A4C5-47A1-8BAD-656AC2BD0E7A}">
  <sheetPr>
    <tabColor rgb="FFFFFF99"/>
  </sheetPr>
  <dimension ref="C2:AF38"/>
  <sheetViews>
    <sheetView topLeftCell="M1" zoomScaleNormal="100" workbookViewId="0">
      <selection activeCell="AE40" sqref="AE40"/>
    </sheetView>
  </sheetViews>
  <sheetFormatPr defaultColWidth="8.85546875" defaultRowHeight="15" x14ac:dyDescent="0.25"/>
  <cols>
    <col min="1" max="3" width="8.85546875" style="6"/>
    <col min="4" max="4" width="10.5703125" style="6" customWidth="1"/>
    <col min="5" max="5" width="8.85546875" style="6"/>
    <col min="6" max="6" width="8.7109375" style="6" customWidth="1"/>
    <col min="7" max="7" width="13.42578125" style="6" bestFit="1" customWidth="1"/>
    <col min="8" max="8" width="12.85546875" style="6" bestFit="1" customWidth="1"/>
    <col min="9" max="9" width="15.140625" style="6" bestFit="1" customWidth="1"/>
    <col min="10" max="10" width="14.140625" style="6" bestFit="1" customWidth="1"/>
    <col min="11" max="11" width="10.5703125" style="6" bestFit="1" customWidth="1"/>
    <col min="12" max="12" width="11.28515625" style="6" bestFit="1" customWidth="1"/>
    <col min="13" max="13" width="16.85546875" style="6" bestFit="1" customWidth="1"/>
    <col min="14" max="14" width="12" style="6" bestFit="1" customWidth="1"/>
    <col min="15" max="18" width="8.85546875" style="6"/>
    <col min="19" max="20" width="12.5703125" style="6" bestFit="1" customWidth="1"/>
    <col min="21" max="26" width="8.85546875" style="6"/>
    <col min="27" max="28" width="9.5703125" style="6" bestFit="1" customWidth="1"/>
    <col min="29" max="16384" width="8.85546875" style="6"/>
  </cols>
  <sheetData>
    <row r="2" spans="3:32" ht="17.25" customHeight="1" x14ac:dyDescent="0.25">
      <c r="C2" s="48" t="s">
        <v>10</v>
      </c>
      <c r="D2" s="48" t="s">
        <v>11</v>
      </c>
      <c r="E2" s="48" t="s">
        <v>83</v>
      </c>
      <c r="F2" s="48" t="s">
        <v>77</v>
      </c>
      <c r="G2" s="48" t="s">
        <v>78</v>
      </c>
      <c r="H2" s="48" t="s">
        <v>79</v>
      </c>
      <c r="I2" s="66" t="s">
        <v>13</v>
      </c>
      <c r="J2" s="67"/>
      <c r="K2" s="67"/>
      <c r="L2" s="62"/>
      <c r="M2" s="55" t="s">
        <v>12</v>
      </c>
      <c r="N2" s="55"/>
      <c r="O2" s="55"/>
      <c r="P2" s="55"/>
      <c r="Z2" s="2"/>
      <c r="AA2" s="2"/>
      <c r="AB2" s="2"/>
      <c r="AC2" s="2"/>
      <c r="AD2" s="2"/>
      <c r="AE2" s="2"/>
      <c r="AF2" s="2"/>
    </row>
    <row r="3" spans="3:32" ht="18" x14ac:dyDescent="0.25">
      <c r="C3" s="48"/>
      <c r="D3" s="48"/>
      <c r="E3" s="48"/>
      <c r="F3" s="48"/>
      <c r="G3" s="48"/>
      <c r="H3" s="48"/>
      <c r="I3" s="3" t="s">
        <v>86</v>
      </c>
      <c r="J3" s="3" t="s">
        <v>80</v>
      </c>
      <c r="K3" s="5" t="s">
        <v>0</v>
      </c>
      <c r="L3" s="5" t="s">
        <v>1</v>
      </c>
      <c r="M3" s="21" t="s">
        <v>85</v>
      </c>
      <c r="N3" s="3" t="s">
        <v>84</v>
      </c>
      <c r="O3" s="5" t="s">
        <v>0</v>
      </c>
      <c r="P3" s="5" t="s">
        <v>1</v>
      </c>
      <c r="R3" s="65" t="s">
        <v>26</v>
      </c>
      <c r="S3" s="65"/>
      <c r="T3" s="65"/>
      <c r="U3" s="65"/>
      <c r="Z3" s="48" t="s">
        <v>27</v>
      </c>
      <c r="AA3" s="48"/>
      <c r="AB3" s="48"/>
      <c r="AC3" s="48"/>
      <c r="AD3" s="2"/>
      <c r="AE3" s="2"/>
      <c r="AF3" s="2"/>
    </row>
    <row r="4" spans="3:32" x14ac:dyDescent="0.25">
      <c r="C4" s="7">
        <v>1</v>
      </c>
      <c r="D4" s="7">
        <v>300</v>
      </c>
      <c r="E4" s="7">
        <v>1501</v>
      </c>
      <c r="F4" s="41">
        <f>E4*2*PI()</f>
        <v>9431.0611460765595</v>
      </c>
      <c r="G4" s="7">
        <v>0.498</v>
      </c>
      <c r="H4" s="23">
        <f>G4*SQRT(2)</f>
        <v>0.70427835406180139</v>
      </c>
      <c r="I4" s="24">
        <v>1.0172000000000001</v>
      </c>
      <c r="J4" s="24">
        <f>I4*SQRT(2)</f>
        <v>1.4385380356459125</v>
      </c>
      <c r="K4" s="24">
        <f>S$4*D4+T$4</f>
        <v>1.426828347349463</v>
      </c>
      <c r="L4" s="24">
        <f>K4-J4</f>
        <v>-1.1709688296449583E-2</v>
      </c>
      <c r="M4" s="40">
        <v>2.94</v>
      </c>
      <c r="N4" s="40">
        <f>M4/2</f>
        <v>1.47</v>
      </c>
      <c r="O4" s="24">
        <f>D4*AA$4+AB$4</f>
        <v>1.4689999999999999</v>
      </c>
      <c r="P4" s="24">
        <f>N4-O4</f>
        <v>1.0000000000001119E-3</v>
      </c>
      <c r="R4" s="4" t="s">
        <v>3</v>
      </c>
      <c r="S4" s="39">
        <f t="array" ref="S4:T6">LINEST(J4:J8,D4:D8,1,1)</f>
        <v>4.6889664874042326E-3</v>
      </c>
      <c r="T4" s="39">
        <v>2.0138401128193095E-2</v>
      </c>
      <c r="U4" s="4" t="s">
        <v>5</v>
      </c>
      <c r="Z4" s="4" t="s">
        <v>3</v>
      </c>
      <c r="AA4" s="46">
        <f t="array" ref="AA4:AB6">LINEST(N4:N8,D4:D8,1,1)</f>
        <v>4.6049999999999989E-3</v>
      </c>
      <c r="AB4" s="46">
        <v>8.7500000000000133E-2</v>
      </c>
      <c r="AC4" s="4" t="s">
        <v>5</v>
      </c>
      <c r="AD4" s="2"/>
      <c r="AE4" s="2"/>
      <c r="AF4" s="2"/>
    </row>
    <row r="5" spans="3:32" x14ac:dyDescent="0.25">
      <c r="C5" s="7">
        <v>4</v>
      </c>
      <c r="D5" s="7">
        <v>200</v>
      </c>
      <c r="E5" s="7">
        <v>1501</v>
      </c>
      <c r="F5" s="41">
        <f t="shared" ref="F5:F8" si="0">E5*2*PI()</f>
        <v>9431.0611460765595</v>
      </c>
      <c r="G5" s="7">
        <v>0.498</v>
      </c>
      <c r="H5" s="23">
        <f>G5*SQRT(2)</f>
        <v>0.70427835406180139</v>
      </c>
      <c r="I5" s="24">
        <v>0.68320000000000003</v>
      </c>
      <c r="J5" s="24">
        <f>I5*SQRT(2)</f>
        <v>0.96619070581329869</v>
      </c>
      <c r="K5" s="24">
        <f>S$4*D5+T$4</f>
        <v>0.95793169860903959</v>
      </c>
      <c r="L5" s="24">
        <f>J5-K5</f>
        <v>8.2590072042590945E-3</v>
      </c>
      <c r="M5" s="40">
        <v>2.0099999999999998</v>
      </c>
      <c r="N5" s="40">
        <f t="shared" ref="N5:N8" si="1">M5/2</f>
        <v>1.0049999999999999</v>
      </c>
      <c r="O5" s="24">
        <f>D5*AA$4+AB$4</f>
        <v>1.0085</v>
      </c>
      <c r="P5" s="24">
        <f t="shared" ref="P5:P8" si="2">N5-O5</f>
        <v>-3.5000000000000586E-3</v>
      </c>
      <c r="R5" s="4" t="s">
        <v>2</v>
      </c>
      <c r="S5" s="39">
        <v>3.4887629135077449E-5</v>
      </c>
      <c r="T5" s="39">
        <v>1.157091756661232E-2</v>
      </c>
      <c r="U5" s="4" t="s">
        <v>6</v>
      </c>
      <c r="Z5" s="4" t="s">
        <v>2</v>
      </c>
      <c r="AA5" s="46">
        <v>7.637626158259235E-6</v>
      </c>
      <c r="AB5" s="46">
        <v>2.5331140255949454E-3</v>
      </c>
      <c r="AC5" s="4" t="s">
        <v>6</v>
      </c>
      <c r="AD5" s="2"/>
      <c r="AE5" s="2"/>
      <c r="AF5" s="2"/>
    </row>
    <row r="6" spans="3:32" x14ac:dyDescent="0.25">
      <c r="C6" s="7">
        <v>5</v>
      </c>
      <c r="D6" s="7">
        <v>100</v>
      </c>
      <c r="E6" s="7">
        <v>1501</v>
      </c>
      <c r="F6" s="41">
        <f t="shared" si="0"/>
        <v>9431.0611460765595</v>
      </c>
      <c r="G6" s="7">
        <v>0.496</v>
      </c>
      <c r="H6" s="23">
        <f>G6*SQRT(2)</f>
        <v>0.70144992693705521</v>
      </c>
      <c r="I6" s="24">
        <v>0.33810000000000001</v>
      </c>
      <c r="J6" s="24">
        <f>I6*SQRT(2)</f>
        <v>0.4781456054383435</v>
      </c>
      <c r="K6" s="24">
        <f>S$4*D6+T$4</f>
        <v>0.48903504986861634</v>
      </c>
      <c r="L6" s="24">
        <f>J6-K6</f>
        <v>-1.0889444430272843E-2</v>
      </c>
      <c r="M6" s="40">
        <v>1.1000000000000001</v>
      </c>
      <c r="N6" s="40">
        <f t="shared" si="1"/>
        <v>0.55000000000000004</v>
      </c>
      <c r="O6" s="24">
        <f>D6*AA$4+AB$4</f>
        <v>0.54800000000000004</v>
      </c>
      <c r="P6" s="24">
        <f t="shared" si="2"/>
        <v>2.0000000000000018E-3</v>
      </c>
      <c r="R6" s="4" t="s">
        <v>4</v>
      </c>
      <c r="S6" s="39">
        <v>0.99983395041643675</v>
      </c>
      <c r="T6" s="39">
        <v>1.1032437023009491E-2</v>
      </c>
      <c r="U6" s="4" t="s">
        <v>7</v>
      </c>
      <c r="Z6" s="4" t="s">
        <v>4</v>
      </c>
      <c r="AA6" s="46">
        <v>0.99999174769642851</v>
      </c>
      <c r="AB6" s="46">
        <v>2.4152294576980822E-3</v>
      </c>
      <c r="AC6" s="4" t="s">
        <v>7</v>
      </c>
      <c r="AD6" s="2"/>
      <c r="AE6" s="2"/>
      <c r="AF6" s="2"/>
    </row>
    <row r="7" spans="3:32" x14ac:dyDescent="0.25">
      <c r="C7" s="7">
        <v>7</v>
      </c>
      <c r="D7" s="7">
        <v>400</v>
      </c>
      <c r="E7" s="7">
        <v>1501</v>
      </c>
      <c r="F7" s="41">
        <f t="shared" si="0"/>
        <v>9431.0611460765595</v>
      </c>
      <c r="G7" s="7">
        <v>0.496</v>
      </c>
      <c r="H7" s="23">
        <f>G7*SQRT(2)</f>
        <v>0.70144992693705521</v>
      </c>
      <c r="I7" s="24">
        <v>1.3371999999999999</v>
      </c>
      <c r="J7" s="24">
        <f>I7*SQRT(2)</f>
        <v>1.8910863756053027</v>
      </c>
      <c r="K7" s="24">
        <f>S$4*D7+T$4</f>
        <v>1.8957249960898861</v>
      </c>
      <c r="L7" s="24">
        <f>J7-K7</f>
        <v>-4.6386204845834111E-3</v>
      </c>
      <c r="M7" s="40">
        <v>3.86</v>
      </c>
      <c r="N7" s="40">
        <f t="shared" si="1"/>
        <v>1.93</v>
      </c>
      <c r="O7" s="24">
        <f>D7*AA$4+AB$4</f>
        <v>1.9294999999999998</v>
      </c>
      <c r="P7" s="24">
        <f t="shared" si="2"/>
        <v>5.0000000000016698E-4</v>
      </c>
      <c r="Z7" s="2"/>
      <c r="AA7" s="2"/>
      <c r="AB7" s="2"/>
      <c r="AC7" s="2"/>
      <c r="AD7" s="2"/>
      <c r="AE7" s="2"/>
      <c r="AF7" s="2"/>
    </row>
    <row r="8" spans="3:32" x14ac:dyDescent="0.25">
      <c r="C8" s="7">
        <v>8</v>
      </c>
      <c r="D8" s="7">
        <v>500</v>
      </c>
      <c r="E8" s="7">
        <v>1501</v>
      </c>
      <c r="F8" s="41">
        <f t="shared" si="0"/>
        <v>9431.0611460765595</v>
      </c>
      <c r="G8" s="7">
        <v>0.497</v>
      </c>
      <c r="H8" s="23">
        <f>G8*SQRT(2)</f>
        <v>0.70286414049942825</v>
      </c>
      <c r="I8" s="24">
        <v>1.6689000000000001</v>
      </c>
      <c r="J8" s="24">
        <f>I8*SQRT(2)</f>
        <v>2.3601810142444584</v>
      </c>
      <c r="K8" s="24">
        <f>S$4*D8+T$4</f>
        <v>2.3646216448303092</v>
      </c>
      <c r="L8" s="24">
        <f>J8-K8</f>
        <v>-4.4406305858508688E-3</v>
      </c>
      <c r="M8" s="40">
        <v>4.78</v>
      </c>
      <c r="N8" s="40">
        <f t="shared" si="1"/>
        <v>2.39</v>
      </c>
      <c r="O8" s="24">
        <f>D8*AA$4+AB$4</f>
        <v>2.3899999999999997</v>
      </c>
      <c r="P8" s="24">
        <f t="shared" si="2"/>
        <v>0</v>
      </c>
      <c r="Z8" s="2"/>
      <c r="AA8" s="2"/>
      <c r="AB8" s="2"/>
      <c r="AC8" s="2"/>
      <c r="AD8" s="2"/>
      <c r="AE8" s="2"/>
      <c r="AF8" s="2"/>
    </row>
    <row r="9" spans="3:32" x14ac:dyDescent="0.25">
      <c r="Z9" s="2"/>
      <c r="AA9" s="2"/>
      <c r="AB9" s="2"/>
      <c r="AC9" s="2"/>
      <c r="AD9" s="2"/>
      <c r="AE9" s="2"/>
      <c r="AF9" s="2"/>
    </row>
    <row r="10" spans="3:32" x14ac:dyDescent="0.25">
      <c r="Z10" s="2"/>
      <c r="AA10" s="2"/>
      <c r="AB10" s="2"/>
      <c r="AC10" s="2"/>
      <c r="AD10" s="2"/>
      <c r="AE10" s="2"/>
      <c r="AF10" s="2"/>
    </row>
    <row r="11" spans="3:32" ht="18" x14ac:dyDescent="0.25">
      <c r="C11" s="54" t="s">
        <v>30</v>
      </c>
      <c r="D11" s="54"/>
      <c r="E11" s="54"/>
      <c r="F11" s="54"/>
      <c r="G11" s="54"/>
      <c r="I11" s="4" t="s">
        <v>40</v>
      </c>
      <c r="J11" s="1">
        <f>AVERAGE(H4:H8)</f>
        <v>0.70286414049942836</v>
      </c>
      <c r="Z11" s="2"/>
      <c r="AA11" s="2"/>
      <c r="AB11" s="2"/>
      <c r="AC11" s="2"/>
      <c r="AD11" s="2"/>
      <c r="AE11" s="2"/>
      <c r="AF11" s="2"/>
    </row>
    <row r="12" spans="3:32" ht="18" x14ac:dyDescent="0.25">
      <c r="C12" s="49" t="s">
        <v>31</v>
      </c>
      <c r="D12" s="49"/>
      <c r="E12" s="2"/>
      <c r="F12" s="55" t="s">
        <v>14</v>
      </c>
      <c r="G12" s="55"/>
      <c r="I12" s="4" t="s">
        <v>41</v>
      </c>
      <c r="J12" s="1">
        <f>_xlfn.STDEV.P(H4:H8)/SQRT(5)</f>
        <v>5.6568542494923597E-4</v>
      </c>
      <c r="Z12" s="2"/>
      <c r="AA12" s="2"/>
      <c r="AB12" s="2"/>
      <c r="AC12" s="2"/>
      <c r="AD12" s="2"/>
      <c r="AE12" s="2"/>
      <c r="AF12" s="2"/>
    </row>
    <row r="13" spans="3:32" ht="18" x14ac:dyDescent="0.25">
      <c r="C13" s="27" t="s">
        <v>32</v>
      </c>
      <c r="D13" s="30">
        <f>4*PI()*10^-7</f>
        <v>1.2566370614359173E-6</v>
      </c>
      <c r="E13" s="2"/>
      <c r="F13" s="26" t="s">
        <v>32</v>
      </c>
      <c r="G13" s="30">
        <f>D13</f>
        <v>1.2566370614359173E-6</v>
      </c>
      <c r="Z13" s="2"/>
      <c r="AA13" s="2"/>
      <c r="AB13" s="2"/>
      <c r="AC13" s="2"/>
      <c r="AD13" s="2"/>
      <c r="AE13" s="2"/>
      <c r="AF13" s="2"/>
    </row>
    <row r="14" spans="3:32" ht="18" x14ac:dyDescent="0.25">
      <c r="C14" s="27" t="s">
        <v>33</v>
      </c>
      <c r="D14" s="1">
        <f>(S4*D18)/(D19*G19*F4*J11)</f>
        <v>1.1039450756471434E-6</v>
      </c>
      <c r="E14" s="2"/>
      <c r="F14" s="26" t="s">
        <v>33</v>
      </c>
      <c r="G14" s="1">
        <f>(AA4*D18)/(D19*G19*F4*J11)</f>
        <v>1.0841764570105434E-6</v>
      </c>
      <c r="I14" s="4" t="s">
        <v>58</v>
      </c>
      <c r="J14" s="1">
        <v>1</v>
      </c>
      <c r="Z14" s="2"/>
      <c r="AA14" s="2"/>
      <c r="AB14" s="2"/>
      <c r="AC14" s="2"/>
      <c r="AD14" s="2"/>
      <c r="AE14" s="2"/>
      <c r="AF14" s="2"/>
    </row>
    <row r="15" spans="3:32" ht="18" x14ac:dyDescent="0.25">
      <c r="C15" s="27" t="s">
        <v>35</v>
      </c>
      <c r="D15" s="1">
        <f>8.3*10^-9</f>
        <v>8.3000000000000015E-9</v>
      </c>
      <c r="E15" s="2"/>
      <c r="F15" s="26" t="s">
        <v>34</v>
      </c>
      <c r="G15" s="1">
        <f>2.1*10^-9</f>
        <v>2.1000000000000002E-9</v>
      </c>
      <c r="I15" s="4" t="s">
        <v>59</v>
      </c>
      <c r="J15" s="1">
        <f>ABS(2*PI()*J14)</f>
        <v>6.2831853071795862</v>
      </c>
      <c r="Z15" s="2"/>
      <c r="AA15" s="2"/>
      <c r="AB15" s="2"/>
      <c r="AC15" s="2"/>
      <c r="AD15" s="2"/>
      <c r="AE15" s="2"/>
      <c r="AF15" s="2"/>
    </row>
    <row r="16" spans="3:32" x14ac:dyDescent="0.25">
      <c r="C16" s="27" t="s">
        <v>36</v>
      </c>
      <c r="D16" s="32">
        <f>ABS(D13-D14)/D13</f>
        <v>0.121508421544004</v>
      </c>
      <c r="E16" s="2"/>
      <c r="F16" s="26" t="s">
        <v>36</v>
      </c>
      <c r="G16" s="32">
        <f>ABS(G13-G14)/G13</f>
        <v>0.13723978841457127</v>
      </c>
      <c r="Z16" s="2"/>
      <c r="AA16" s="2"/>
      <c r="AB16" s="2"/>
      <c r="AC16" s="2"/>
      <c r="AD16" s="2"/>
      <c r="AE16" s="2"/>
      <c r="AF16" s="2"/>
    </row>
    <row r="17" spans="3:32" x14ac:dyDescent="0.25">
      <c r="C17" s="2"/>
      <c r="D17" s="2"/>
      <c r="E17" s="2"/>
      <c r="F17" s="2"/>
      <c r="G17" s="2"/>
      <c r="H17" s="9"/>
      <c r="I17" s="9"/>
      <c r="J17" s="8"/>
      <c r="Z17" s="2"/>
      <c r="AA17" s="2"/>
      <c r="AB17" s="2"/>
      <c r="AC17" s="2"/>
      <c r="AD17" s="2"/>
      <c r="AE17" s="2"/>
      <c r="AF17" s="2"/>
    </row>
    <row r="18" spans="3:32" x14ac:dyDescent="0.25">
      <c r="C18" s="28" t="s">
        <v>19</v>
      </c>
      <c r="D18" s="1">
        <v>0.75</v>
      </c>
      <c r="E18" s="53" t="s">
        <v>38</v>
      </c>
      <c r="F18" s="53"/>
      <c r="G18" s="1">
        <v>4.1000000000000002E-2</v>
      </c>
      <c r="I18" s="48" t="s">
        <v>16</v>
      </c>
      <c r="J18" s="48"/>
      <c r="K18" s="1">
        <f>i0!D20</f>
        <v>1E-3</v>
      </c>
      <c r="Z18" s="2"/>
      <c r="AA18" s="2"/>
      <c r="AB18" s="2"/>
      <c r="AC18" s="2"/>
      <c r="AD18" s="2"/>
      <c r="AE18" s="2"/>
      <c r="AF18" s="2"/>
    </row>
    <row r="19" spans="3:32" ht="17.25" x14ac:dyDescent="0.25">
      <c r="C19" s="28" t="s">
        <v>17</v>
      </c>
      <c r="D19" s="1">
        <v>364</v>
      </c>
      <c r="E19" s="53" t="s">
        <v>39</v>
      </c>
      <c r="F19" s="53"/>
      <c r="G19" s="37">
        <f>G18^2*PI()/4</f>
        <v>1.3202543126711107E-3</v>
      </c>
      <c r="I19" s="48" t="s">
        <v>15</v>
      </c>
      <c r="J19" s="48"/>
      <c r="K19" s="1">
        <f>i0!D21</f>
        <v>0</v>
      </c>
      <c r="Z19" s="2"/>
      <c r="AA19" s="2"/>
      <c r="AB19" s="2"/>
      <c r="AC19" s="2"/>
      <c r="AD19" s="2"/>
      <c r="AE19" s="2"/>
      <c r="AF19" s="2"/>
    </row>
    <row r="20" spans="3:32" x14ac:dyDescent="0.25">
      <c r="C20" s="9"/>
      <c r="D20" s="9"/>
      <c r="I20" s="48" t="s">
        <v>61</v>
      </c>
      <c r="J20" s="48"/>
      <c r="K20" s="1">
        <f>i0!D22</f>
        <v>6.2831853071795862</v>
      </c>
      <c r="Z20" s="2"/>
      <c r="AA20" s="2"/>
      <c r="AB20" s="2"/>
      <c r="AC20" s="2"/>
      <c r="AD20" s="2"/>
      <c r="AE20" s="2"/>
      <c r="AF20" s="2"/>
    </row>
    <row r="21" spans="3:32" x14ac:dyDescent="0.25">
      <c r="I21" s="48" t="s">
        <v>18</v>
      </c>
      <c r="J21" s="48"/>
      <c r="K21" s="1">
        <f>i0!D23</f>
        <v>1</v>
      </c>
      <c r="Z21" s="2"/>
      <c r="AA21" s="2"/>
      <c r="AB21" s="2"/>
      <c r="AC21" s="2"/>
      <c r="AD21" s="2"/>
      <c r="AE21" s="2"/>
      <c r="AF21" s="2"/>
    </row>
    <row r="22" spans="3:32" x14ac:dyDescent="0.25">
      <c r="I22" s="48" t="s">
        <v>62</v>
      </c>
      <c r="J22" s="48"/>
      <c r="K22" s="1">
        <f>i0!D24</f>
        <v>1E-4</v>
      </c>
      <c r="Z22" s="2"/>
      <c r="AA22" s="2"/>
      <c r="AB22" s="2"/>
      <c r="AC22" s="2"/>
      <c r="AD22" s="2"/>
      <c r="AE22" s="2"/>
      <c r="AF22" s="2"/>
    </row>
    <row r="23" spans="3:32" ht="18" x14ac:dyDescent="0.25">
      <c r="I23" s="48" t="s">
        <v>68</v>
      </c>
      <c r="J23" s="48"/>
      <c r="K23" s="1">
        <f>i0!D25</f>
        <v>1.4142135623730951E-4</v>
      </c>
      <c r="Z23" s="2"/>
      <c r="AA23" s="2"/>
      <c r="AB23" s="2"/>
      <c r="AC23" s="2"/>
      <c r="AD23" s="2"/>
      <c r="AE23" s="2"/>
      <c r="AF23" s="2"/>
    </row>
    <row r="24" spans="3:32" x14ac:dyDescent="0.25">
      <c r="I24" s="48" t="s">
        <v>64</v>
      </c>
      <c r="J24" s="48"/>
      <c r="K24" s="1">
        <f>i0!D26</f>
        <v>1E-4</v>
      </c>
      <c r="Z24" s="2"/>
      <c r="AA24" s="2"/>
      <c r="AB24" s="2"/>
      <c r="AC24" s="2"/>
      <c r="AD24" s="2"/>
      <c r="AE24" s="2"/>
      <c r="AF24" s="2"/>
    </row>
    <row r="25" spans="3:32" ht="18" x14ac:dyDescent="0.25">
      <c r="I25" s="48" t="s">
        <v>69</v>
      </c>
      <c r="J25" s="48"/>
      <c r="K25" s="1">
        <f>i0!D27</f>
        <v>1.4142135623730951E-4</v>
      </c>
      <c r="Z25" s="2"/>
      <c r="AA25" s="2"/>
      <c r="AB25" s="2"/>
      <c r="AC25" s="2"/>
      <c r="AD25" s="2"/>
      <c r="AE25" s="2"/>
      <c r="AF25" s="2"/>
    </row>
    <row r="26" spans="3:32" x14ac:dyDescent="0.25">
      <c r="I26" s="48" t="s">
        <v>65</v>
      </c>
      <c r="J26" s="48"/>
      <c r="K26" s="1">
        <f>i0!D28</f>
        <v>1E-3</v>
      </c>
      <c r="Z26" s="2"/>
      <c r="AA26" s="2"/>
      <c r="AB26" s="2"/>
      <c r="AC26" s="2"/>
      <c r="AD26" s="2"/>
      <c r="AE26" s="2"/>
      <c r="AF26" s="2"/>
    </row>
    <row r="27" spans="3:32" x14ac:dyDescent="0.25">
      <c r="I27" s="48" t="s">
        <v>66</v>
      </c>
      <c r="J27" s="48"/>
      <c r="K27" s="1">
        <f>i0!D29</f>
        <v>1.4142135623730952E-3</v>
      </c>
      <c r="Z27" s="2"/>
      <c r="AA27" s="2"/>
      <c r="AB27" s="2"/>
      <c r="AC27" s="2"/>
      <c r="AD27" s="2"/>
      <c r="AE27" s="2"/>
      <c r="AF27" s="2"/>
    </row>
    <row r="28" spans="3:32" x14ac:dyDescent="0.25">
      <c r="H28" s="2"/>
      <c r="I28" s="2"/>
      <c r="Z28" s="2"/>
      <c r="AA28" s="2"/>
      <c r="AB28" s="2"/>
      <c r="AC28" s="2"/>
      <c r="AD28" s="2"/>
      <c r="AE28" s="2"/>
      <c r="AF28" s="2"/>
    </row>
    <row r="29" spans="3:32" x14ac:dyDescent="0.25">
      <c r="Z29" s="2"/>
      <c r="AA29" s="2"/>
      <c r="AB29" s="2"/>
      <c r="AC29" s="2"/>
      <c r="AD29" s="2"/>
      <c r="AE29" s="2"/>
      <c r="AF29" s="2"/>
    </row>
    <row r="30" spans="3:32" x14ac:dyDescent="0.25">
      <c r="Z30" s="2"/>
      <c r="AA30" s="2"/>
      <c r="AB30" s="2"/>
      <c r="AC30" s="2"/>
      <c r="AD30" s="2"/>
      <c r="AE30" s="2"/>
      <c r="AF30" s="2"/>
    </row>
    <row r="31" spans="3:32" x14ac:dyDescent="0.25">
      <c r="Z31" s="2"/>
      <c r="AA31" s="2"/>
      <c r="AB31" s="2"/>
      <c r="AC31" s="2"/>
      <c r="AD31" s="2"/>
      <c r="AE31" s="2"/>
      <c r="AF31" s="2"/>
    </row>
    <row r="32" spans="3:32" x14ac:dyDescent="0.25">
      <c r="Z32" s="2"/>
      <c r="AA32" s="2"/>
      <c r="AB32" s="2"/>
      <c r="AC32" s="2"/>
      <c r="AD32" s="2"/>
      <c r="AE32" s="2"/>
      <c r="AF32" s="2"/>
    </row>
    <row r="33" spans="26:32" x14ac:dyDescent="0.25">
      <c r="Z33" s="2"/>
      <c r="AA33" s="2"/>
      <c r="AB33" s="2"/>
      <c r="AC33" s="2"/>
      <c r="AD33" s="2"/>
      <c r="AE33" s="2"/>
      <c r="AF33" s="2"/>
    </row>
    <row r="34" spans="26:32" x14ac:dyDescent="0.25">
      <c r="Z34" s="2"/>
      <c r="AA34" s="2"/>
      <c r="AB34" s="2"/>
      <c r="AC34" s="2"/>
      <c r="AD34" s="2"/>
      <c r="AE34" s="2"/>
      <c r="AF34" s="2"/>
    </row>
    <row r="35" spans="26:32" x14ac:dyDescent="0.25">
      <c r="Z35" s="2"/>
      <c r="AA35" s="2"/>
      <c r="AB35" s="2"/>
      <c r="AC35" s="2"/>
      <c r="AD35" s="2"/>
      <c r="AE35" s="2"/>
      <c r="AF35" s="2"/>
    </row>
    <row r="36" spans="26:32" x14ac:dyDescent="0.25">
      <c r="Z36" s="2"/>
      <c r="AA36" s="2"/>
      <c r="AB36" s="2"/>
      <c r="AC36" s="2"/>
      <c r="AD36" s="2"/>
      <c r="AE36" s="2"/>
      <c r="AF36" s="2"/>
    </row>
    <row r="37" spans="26:32" x14ac:dyDescent="0.25">
      <c r="Z37" s="2"/>
      <c r="AA37" s="2"/>
      <c r="AB37" s="2"/>
      <c r="AC37" s="2"/>
      <c r="AD37" s="2"/>
      <c r="AE37" s="2"/>
      <c r="AF37" s="2"/>
    </row>
    <row r="38" spans="26:32" x14ac:dyDescent="0.25">
      <c r="Z38" s="2"/>
      <c r="AA38" s="2"/>
      <c r="AB38" s="2"/>
      <c r="AC38" s="2"/>
      <c r="AD38" s="2"/>
      <c r="AE38" s="2"/>
      <c r="AF38" s="2"/>
    </row>
  </sheetData>
  <mergeCells count="25">
    <mergeCell ref="H2:H3"/>
    <mergeCell ref="I25:J25"/>
    <mergeCell ref="I26:J26"/>
    <mergeCell ref="I27:J27"/>
    <mergeCell ref="I20:J20"/>
    <mergeCell ref="I21:J21"/>
    <mergeCell ref="I22:J22"/>
    <mergeCell ref="I23:J23"/>
    <mergeCell ref="I24:J24"/>
    <mergeCell ref="E19:F19"/>
    <mergeCell ref="Z3:AC3"/>
    <mergeCell ref="M2:P2"/>
    <mergeCell ref="R3:U3"/>
    <mergeCell ref="I2:L2"/>
    <mergeCell ref="C11:G11"/>
    <mergeCell ref="C12:D12"/>
    <mergeCell ref="F12:G12"/>
    <mergeCell ref="E18:F18"/>
    <mergeCell ref="I18:J18"/>
    <mergeCell ref="I19:J19"/>
    <mergeCell ref="C2:C3"/>
    <mergeCell ref="D2:D3"/>
    <mergeCell ref="E2:E3"/>
    <mergeCell ref="F2:F3"/>
    <mergeCell ref="G2:G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6CB8B-DF84-4D32-A2DD-A5147C3804D2}">
  <sheetPr>
    <tabColor rgb="FF99FF99"/>
  </sheetPr>
  <dimension ref="B2:AF38"/>
  <sheetViews>
    <sheetView topLeftCell="G1" zoomScale="115" zoomScaleNormal="115" workbookViewId="0">
      <selection activeCell="O28" sqref="O28"/>
    </sheetView>
  </sheetViews>
  <sheetFormatPr defaultColWidth="8.85546875" defaultRowHeight="15" x14ac:dyDescent="0.25"/>
  <cols>
    <col min="1" max="2" width="8.85546875" style="6"/>
    <col min="3" max="3" width="11.5703125" style="6" bestFit="1" customWidth="1"/>
    <col min="4" max="4" width="13.28515625" style="6" bestFit="1" customWidth="1"/>
    <col min="5" max="5" width="9.42578125" style="6" bestFit="1" customWidth="1"/>
    <col min="6" max="6" width="9.42578125" style="6" customWidth="1"/>
    <col min="7" max="7" width="8.7109375" style="6" customWidth="1"/>
    <col min="8" max="8" width="9.85546875" style="6" customWidth="1"/>
    <col min="9" max="9" width="13.85546875" style="6" bestFit="1" customWidth="1"/>
    <col min="10" max="10" width="13.42578125" style="6" bestFit="1" customWidth="1"/>
    <col min="11" max="11" width="15.85546875" style="6" bestFit="1" customWidth="1"/>
    <col min="12" max="12" width="14.7109375" style="6" bestFit="1" customWidth="1"/>
    <col min="13" max="13" width="11.28515625" style="6" customWidth="1"/>
    <col min="14" max="14" width="9.28515625" style="6" bestFit="1" customWidth="1"/>
    <col min="15" max="15" width="17.5703125" style="6" bestFit="1" customWidth="1"/>
    <col min="16" max="16" width="12" style="6" bestFit="1" customWidth="1"/>
    <col min="17" max="17" width="10.5703125" style="6" bestFit="1" customWidth="1"/>
    <col min="18" max="18" width="9" style="6" bestFit="1" customWidth="1"/>
    <col min="19" max="28" width="8.85546875" style="6"/>
    <col min="29" max="29" width="10" style="6" bestFit="1" customWidth="1"/>
    <col min="30" max="31" width="8.85546875" style="6"/>
    <col min="32" max="32" width="10" style="6" bestFit="1" customWidth="1"/>
    <col min="33" max="16384" width="8.85546875" style="6"/>
  </cols>
  <sheetData>
    <row r="2" spans="2:32" ht="18" customHeight="1" x14ac:dyDescent="0.25">
      <c r="C2" s="48" t="s">
        <v>10</v>
      </c>
      <c r="D2" s="48" t="s">
        <v>87</v>
      </c>
      <c r="E2" s="48" t="s">
        <v>25</v>
      </c>
      <c r="F2" s="68" t="s">
        <v>70</v>
      </c>
      <c r="G2" s="48" t="s">
        <v>83</v>
      </c>
      <c r="H2" s="48" t="s">
        <v>77</v>
      </c>
      <c r="I2" s="48" t="s">
        <v>78</v>
      </c>
      <c r="J2" s="48" t="s">
        <v>79</v>
      </c>
      <c r="K2" s="49" t="s">
        <v>13</v>
      </c>
      <c r="L2" s="49"/>
      <c r="M2" s="49"/>
      <c r="N2" s="49"/>
      <c r="O2" s="55" t="s">
        <v>12</v>
      </c>
      <c r="P2" s="55"/>
      <c r="Q2" s="55"/>
      <c r="R2" s="55"/>
      <c r="Z2" s="2"/>
      <c r="AA2" s="2"/>
      <c r="AB2" s="2"/>
      <c r="AC2" s="2"/>
      <c r="AD2" s="2"/>
      <c r="AE2" s="2"/>
      <c r="AF2" s="2"/>
    </row>
    <row r="3" spans="2:32" ht="18" x14ac:dyDescent="0.35">
      <c r="C3" s="48"/>
      <c r="D3" s="48"/>
      <c r="E3" s="48"/>
      <c r="F3" s="69"/>
      <c r="G3" s="48"/>
      <c r="H3" s="48"/>
      <c r="I3" s="48"/>
      <c r="J3" s="48"/>
      <c r="K3" s="3" t="s">
        <v>86</v>
      </c>
      <c r="L3" s="3" t="s">
        <v>80</v>
      </c>
      <c r="M3" s="5" t="s">
        <v>0</v>
      </c>
      <c r="N3" s="5" t="s">
        <v>1</v>
      </c>
      <c r="O3" s="21" t="s">
        <v>85</v>
      </c>
      <c r="P3" s="3" t="s">
        <v>84</v>
      </c>
      <c r="Q3" s="5" t="s">
        <v>0</v>
      </c>
      <c r="R3" s="5" t="s">
        <v>1</v>
      </c>
      <c r="T3" s="36" t="s">
        <v>60</v>
      </c>
      <c r="U3" s="7">
        <v>1E-3</v>
      </c>
      <c r="AD3" s="2"/>
      <c r="AE3" s="2"/>
      <c r="AF3" s="2"/>
    </row>
    <row r="4" spans="2:32" ht="18" x14ac:dyDescent="0.25">
      <c r="C4" s="7">
        <v>1</v>
      </c>
      <c r="D4" s="7">
        <v>4.1000000000000002E-2</v>
      </c>
      <c r="E4" s="39">
        <f>PI()*D4^2/4</f>
        <v>1.3202543126711107E-3</v>
      </c>
      <c r="F4" s="39">
        <f>M8</f>
        <v>6.4402649398590767E-5</v>
      </c>
      <c r="G4" s="7">
        <v>1501</v>
      </c>
      <c r="H4" s="41">
        <f>G4*2*PI()</f>
        <v>9431.0611460765595</v>
      </c>
      <c r="I4" s="7">
        <v>0.497</v>
      </c>
      <c r="J4" s="24">
        <f>I4*SQRT(2)</f>
        <v>0.70286414049942825</v>
      </c>
      <c r="K4" s="24">
        <v>1.0104</v>
      </c>
      <c r="L4" s="24">
        <f>K4*SQRT(2)</f>
        <v>1.4289213834217753</v>
      </c>
      <c r="M4" s="24">
        <f>C$9*E4+D$9</f>
        <v>1.4704438063934679</v>
      </c>
      <c r="N4" s="24">
        <f>M4-L4</f>
        <v>4.1522422971692619E-2</v>
      </c>
      <c r="O4" s="23">
        <v>2.9</v>
      </c>
      <c r="P4" s="23">
        <f>O4/2</f>
        <v>1.45</v>
      </c>
      <c r="Q4" s="23">
        <f>E4*Q$9+R$9</f>
        <v>1.4893872701099498</v>
      </c>
      <c r="R4" s="23">
        <f>P4-Q4</f>
        <v>-3.9387270109949801E-2</v>
      </c>
      <c r="T4" s="4" t="s">
        <v>58</v>
      </c>
      <c r="U4" s="1">
        <v>1</v>
      </c>
      <c r="AB4" s="54" t="s">
        <v>30</v>
      </c>
      <c r="AC4" s="54"/>
      <c r="AD4" s="54"/>
      <c r="AE4" s="54"/>
      <c r="AF4" s="54"/>
    </row>
    <row r="5" spans="2:32" ht="17.25" x14ac:dyDescent="0.25">
      <c r="C5" s="7">
        <v>2</v>
      </c>
      <c r="D5" s="7">
        <v>3.3000000000000002E-2</v>
      </c>
      <c r="E5" s="39">
        <f>PI()*D5^2/4</f>
        <v>8.5529859993982123E-4</v>
      </c>
      <c r="F5" s="39">
        <f t="shared" ref="F5:F6" si="0">M9</f>
        <v>5.183627878423159E-5</v>
      </c>
      <c r="G5" s="7">
        <v>1501</v>
      </c>
      <c r="H5" s="41">
        <f>G5*2*PI()</f>
        <v>9431.0611460765595</v>
      </c>
      <c r="I5" s="7">
        <v>0.497</v>
      </c>
      <c r="J5" s="24">
        <f>I5*SQRT(2)</f>
        <v>0.70286414049942825</v>
      </c>
      <c r="K5" s="24">
        <v>0.66359999999999997</v>
      </c>
      <c r="L5" s="24">
        <f>K5*SQRT(2)</f>
        <v>0.93847211999078595</v>
      </c>
      <c r="M5" s="24">
        <f>C$9*E5+D$9</f>
        <v>0.837430872807852</v>
      </c>
      <c r="N5" s="24">
        <f>L5-M5</f>
        <v>0.10104124718293395</v>
      </c>
      <c r="O5" s="23">
        <v>1.93</v>
      </c>
      <c r="P5" s="23">
        <f>O5/2</f>
        <v>0.96499999999999997</v>
      </c>
      <c r="Q5" s="23">
        <f t="shared" ref="Q5:Q6" si="1">E5*Q$9+R$9</f>
        <v>0.86915446377602934</v>
      </c>
      <c r="R5" s="23">
        <f>P5-Q5</f>
        <v>9.5845536223970629E-2</v>
      </c>
      <c r="T5" s="4" t="s">
        <v>59</v>
      </c>
      <c r="U5" s="1">
        <f>ABS(2*PI()*U4)</f>
        <v>6.2831853071795862</v>
      </c>
      <c r="AB5" s="49" t="s">
        <v>31</v>
      </c>
      <c r="AC5" s="49"/>
      <c r="AD5" s="2"/>
      <c r="AE5" s="55" t="s">
        <v>14</v>
      </c>
      <c r="AF5" s="55"/>
    </row>
    <row r="6" spans="2:32" ht="18" x14ac:dyDescent="0.25">
      <c r="C6" s="7">
        <v>3</v>
      </c>
      <c r="D6" s="7">
        <v>2.5999999999999999E-2</v>
      </c>
      <c r="E6" s="39">
        <f>PI()*D6^2/4</f>
        <v>5.3092915845667494E-4</v>
      </c>
      <c r="F6" s="39">
        <f t="shared" si="0"/>
        <v>4.0840704496667311E-5</v>
      </c>
      <c r="G6" s="7">
        <v>1501</v>
      </c>
      <c r="H6" s="41">
        <f>G6*2*PI()</f>
        <v>9431.0611460765595</v>
      </c>
      <c r="I6" s="7">
        <v>0.497</v>
      </c>
      <c r="J6" s="24">
        <f>I6*SQRT(2)</f>
        <v>0.70286414049942825</v>
      </c>
      <c r="K6" s="24">
        <v>0.23780000000000001</v>
      </c>
      <c r="L6" s="24">
        <f>K6*SQRT(2)</f>
        <v>0.33629998513232207</v>
      </c>
      <c r="M6" s="24">
        <f>C$9*E6+D$9</f>
        <v>0.39581880934356239</v>
      </c>
      <c r="N6" s="24">
        <f>L6-M6</f>
        <v>-5.9518824211240329E-2</v>
      </c>
      <c r="O6" s="23">
        <v>0.76</v>
      </c>
      <c r="P6" s="23">
        <f>O6/2</f>
        <v>0.38</v>
      </c>
      <c r="Q6" s="23">
        <f t="shared" si="1"/>
        <v>0.43645826611402028</v>
      </c>
      <c r="R6" s="23">
        <f>P6-Q6</f>
        <v>-5.6458266114020272E-2</v>
      </c>
      <c r="AB6" s="27" t="s">
        <v>32</v>
      </c>
      <c r="AC6" s="30">
        <f>4*PI()*10^-7</f>
        <v>1.2566370614359173E-6</v>
      </c>
      <c r="AD6" s="2"/>
      <c r="AE6" s="26" t="s">
        <v>32</v>
      </c>
      <c r="AF6" s="30">
        <f>AC6</f>
        <v>1.2566370614359173E-6</v>
      </c>
    </row>
    <row r="7" spans="2:32" ht="18" x14ac:dyDescent="0.25">
      <c r="Z7" s="2"/>
      <c r="AA7" s="2"/>
      <c r="AB7" s="27" t="s">
        <v>33</v>
      </c>
      <c r="AC7" s="31">
        <f>(C9*AC11)/(AC12*AF11*H4*J4)</f>
        <v>1.410612322348944E-6</v>
      </c>
      <c r="AD7" s="2"/>
      <c r="AE7" s="26" t="s">
        <v>33</v>
      </c>
      <c r="AF7" s="31">
        <f>(Q9*AC11)/(AC12*AF11*H4*J4)</f>
        <v>1.3821329595651333E-6</v>
      </c>
    </row>
    <row r="8" spans="2:32" ht="18" x14ac:dyDescent="0.25">
      <c r="B8" s="65" t="s">
        <v>46</v>
      </c>
      <c r="C8" s="65"/>
      <c r="D8" s="65"/>
      <c r="E8" s="65"/>
      <c r="H8" s="9"/>
      <c r="I8" s="9"/>
      <c r="K8" s="65" t="s">
        <v>70</v>
      </c>
      <c r="L8" s="65"/>
      <c r="M8" s="7">
        <f>PI()/2*D4*$M$14</f>
        <v>6.4402649398590767E-5</v>
      </c>
      <c r="P8" s="48" t="s">
        <v>47</v>
      </c>
      <c r="Q8" s="48"/>
      <c r="R8" s="48"/>
      <c r="S8" s="48"/>
      <c r="Z8" s="2"/>
      <c r="AA8" s="2"/>
      <c r="AB8" s="27" t="s">
        <v>35</v>
      </c>
      <c r="AC8" s="1">
        <f>2.297*10^-7</f>
        <v>2.297E-7</v>
      </c>
      <c r="AD8" s="2"/>
      <c r="AE8" s="26" t="s">
        <v>34</v>
      </c>
      <c r="AF8" s="1">
        <f>2.179*10^-7</f>
        <v>2.1789999999999999E-7</v>
      </c>
    </row>
    <row r="9" spans="2:32" x14ac:dyDescent="0.25">
      <c r="B9" s="4" t="s">
        <v>3</v>
      </c>
      <c r="C9" s="24">
        <f t="array" ref="C9:D11">LINEST(L4:L6,E4:E6,1,1)</f>
        <v>1361.4478029898978</v>
      </c>
      <c r="D9" s="24">
        <v>-0.32701352698055308</v>
      </c>
      <c r="E9" s="4" t="s">
        <v>5</v>
      </c>
      <c r="K9" s="65" t="s">
        <v>70</v>
      </c>
      <c r="L9" s="65"/>
      <c r="M9" s="7">
        <f>PI()/2*D5*$M$14</f>
        <v>5.183627878423159E-5</v>
      </c>
      <c r="P9" s="4" t="s">
        <v>3</v>
      </c>
      <c r="Q9" s="10">
        <f t="array" ref="Q9:R11">LINEST(P4:P6,E4:E6,1,1)</f>
        <v>1333.9610404838063</v>
      </c>
      <c r="R9" s="10">
        <v>-0.27178054652403749</v>
      </c>
      <c r="S9" s="4" t="s">
        <v>5</v>
      </c>
      <c r="Z9" s="2"/>
      <c r="AA9" s="2"/>
      <c r="AB9" s="27" t="s">
        <v>36</v>
      </c>
      <c r="AC9" s="32">
        <f>ABS(AC6-AC7)/AC6</f>
        <v>0.12252961944086253</v>
      </c>
      <c r="AD9" s="2"/>
      <c r="AE9" s="26" t="s">
        <v>36</v>
      </c>
      <c r="AF9" s="32">
        <f>ABS(AF6-AF7)/AF6</f>
        <v>9.9866462625108329E-2</v>
      </c>
    </row>
    <row r="10" spans="2:32" x14ac:dyDescent="0.25">
      <c r="B10" s="4" t="s">
        <v>2</v>
      </c>
      <c r="C10" s="24">
        <v>221.71924060261532</v>
      </c>
      <c r="D10" s="24">
        <v>0.21253046649528259</v>
      </c>
      <c r="E10" s="4" t="s">
        <v>6</v>
      </c>
      <c r="H10" s="9"/>
      <c r="I10" s="9"/>
      <c r="K10" s="65" t="s">
        <v>70</v>
      </c>
      <c r="L10" s="65"/>
      <c r="M10" s="7">
        <f t="shared" ref="M10" si="2">PI()/2*D6*$M$14</f>
        <v>4.0840704496667311E-5</v>
      </c>
      <c r="P10" s="4" t="s">
        <v>2</v>
      </c>
      <c r="Q10" s="10">
        <v>210.31806414913885</v>
      </c>
      <c r="R10" s="10">
        <v>0.20160179226896557</v>
      </c>
      <c r="S10" s="4" t="s">
        <v>6</v>
      </c>
      <c r="Z10" s="2"/>
      <c r="AA10" s="2"/>
      <c r="AB10" s="2"/>
      <c r="AC10" s="2"/>
      <c r="AD10" s="2"/>
      <c r="AE10" s="2"/>
      <c r="AF10" s="2"/>
    </row>
    <row r="11" spans="2:32" x14ac:dyDescent="0.25">
      <c r="B11" s="4" t="s">
        <v>4</v>
      </c>
      <c r="C11" s="24">
        <v>0.9741633292223274</v>
      </c>
      <c r="D11" s="24">
        <v>0.12440231379364075</v>
      </c>
      <c r="E11" s="4" t="s">
        <v>7</v>
      </c>
      <c r="L11" s="9"/>
      <c r="P11" s="4" t="s">
        <v>4</v>
      </c>
      <c r="Q11" s="10">
        <v>0.97574489562508859</v>
      </c>
      <c r="R11" s="10">
        <v>0.11800533747833708</v>
      </c>
      <c r="S11" s="4" t="s">
        <v>7</v>
      </c>
      <c r="Z11" s="2"/>
      <c r="AA11" s="2"/>
      <c r="AB11" s="28" t="s">
        <v>19</v>
      </c>
      <c r="AC11" s="1">
        <v>0.75</v>
      </c>
      <c r="AD11" s="53" t="s">
        <v>37</v>
      </c>
      <c r="AE11" s="53"/>
      <c r="AF11" s="1">
        <v>300</v>
      </c>
    </row>
    <row r="12" spans="2:32" x14ac:dyDescent="0.25">
      <c r="Z12" s="2"/>
      <c r="AA12" s="2"/>
      <c r="AB12" s="28" t="s">
        <v>17</v>
      </c>
      <c r="AC12" s="1">
        <v>364</v>
      </c>
      <c r="AD12" s="2"/>
      <c r="AE12" s="2"/>
      <c r="AF12" s="2"/>
    </row>
    <row r="13" spans="2:32" x14ac:dyDescent="0.25">
      <c r="Z13" s="2"/>
      <c r="AA13" s="2"/>
      <c r="AB13" s="2"/>
      <c r="AC13" s="2"/>
    </row>
    <row r="14" spans="2:32" x14ac:dyDescent="0.25">
      <c r="K14" s="48" t="s">
        <v>16</v>
      </c>
      <c r="L14" s="48"/>
      <c r="M14" s="1">
        <f>i0!D20</f>
        <v>1E-3</v>
      </c>
      <c r="Z14" s="2"/>
      <c r="AA14" s="2"/>
      <c r="AB14" s="2"/>
      <c r="AC14" s="2"/>
    </row>
    <row r="15" spans="2:32" x14ac:dyDescent="0.25">
      <c r="K15" s="48" t="s">
        <v>15</v>
      </c>
      <c r="L15" s="48"/>
      <c r="M15" s="1">
        <f>i0!D21</f>
        <v>0</v>
      </c>
      <c r="Z15" s="2"/>
      <c r="AA15" s="2"/>
      <c r="AB15" s="2"/>
      <c r="AC15" s="2"/>
      <c r="AD15" s="2"/>
      <c r="AE15" s="2"/>
      <c r="AF15" s="2"/>
    </row>
    <row r="16" spans="2:32" x14ac:dyDescent="0.25">
      <c r="K16" s="48" t="s">
        <v>61</v>
      </c>
      <c r="L16" s="48"/>
      <c r="M16" s="1">
        <f>i0!D22</f>
        <v>6.2831853071795862</v>
      </c>
      <c r="Z16" s="2"/>
      <c r="AA16" s="2"/>
      <c r="AB16" s="2"/>
      <c r="AC16" s="2"/>
      <c r="AD16" s="2"/>
      <c r="AE16" s="2"/>
      <c r="AF16" s="2"/>
    </row>
    <row r="17" spans="11:32" x14ac:dyDescent="0.25">
      <c r="K17" s="48" t="s">
        <v>18</v>
      </c>
      <c r="L17" s="48"/>
      <c r="M17" s="1">
        <f>i0!D23</f>
        <v>1</v>
      </c>
      <c r="Z17" s="2"/>
      <c r="AA17" s="2"/>
      <c r="AB17" s="2"/>
      <c r="AC17" s="2"/>
      <c r="AD17" s="2"/>
      <c r="AE17" s="2"/>
      <c r="AF17" s="2"/>
    </row>
    <row r="18" spans="11:32" x14ac:dyDescent="0.25">
      <c r="K18" s="48" t="s">
        <v>62</v>
      </c>
      <c r="L18" s="48"/>
      <c r="M18" s="1">
        <f>i0!D24</f>
        <v>1E-4</v>
      </c>
      <c r="Z18" s="2"/>
      <c r="AA18" s="2"/>
      <c r="AB18" s="2"/>
      <c r="AC18" s="2"/>
      <c r="AD18" s="2"/>
      <c r="AE18" s="2"/>
      <c r="AF18" s="2"/>
    </row>
    <row r="19" spans="11:32" ht="18" x14ac:dyDescent="0.25">
      <c r="K19" s="48" t="s">
        <v>68</v>
      </c>
      <c r="L19" s="48"/>
      <c r="M19" s="1">
        <f>i0!D25</f>
        <v>1.4142135623730951E-4</v>
      </c>
      <c r="Z19" s="2"/>
      <c r="AA19" s="2"/>
      <c r="AB19" s="2"/>
      <c r="AC19" s="2"/>
      <c r="AD19" s="2"/>
      <c r="AE19" s="2"/>
      <c r="AF19" s="2"/>
    </row>
    <row r="20" spans="11:32" x14ac:dyDescent="0.25">
      <c r="K20" s="48" t="s">
        <v>64</v>
      </c>
      <c r="L20" s="48"/>
      <c r="M20" s="1">
        <f>i0!D26</f>
        <v>1E-4</v>
      </c>
      <c r="Z20" s="2"/>
      <c r="AA20" s="2"/>
      <c r="AB20" s="2"/>
      <c r="AC20" s="2"/>
      <c r="AD20" s="2"/>
      <c r="AE20" s="2"/>
      <c r="AF20" s="2"/>
    </row>
    <row r="21" spans="11:32" ht="18" x14ac:dyDescent="0.25">
      <c r="K21" s="48" t="s">
        <v>69</v>
      </c>
      <c r="L21" s="48"/>
      <c r="M21" s="1">
        <f>i0!D27</f>
        <v>1.4142135623730951E-4</v>
      </c>
      <c r="Z21" s="2"/>
      <c r="AA21" s="2"/>
      <c r="AB21" s="2"/>
      <c r="AC21" s="2"/>
      <c r="AD21" s="2"/>
      <c r="AE21" s="2"/>
      <c r="AF21" s="2"/>
    </row>
    <row r="22" spans="11:32" x14ac:dyDescent="0.25">
      <c r="K22" s="48" t="s">
        <v>65</v>
      </c>
      <c r="L22" s="48"/>
      <c r="M22" s="1">
        <f>i0!D28</f>
        <v>1E-3</v>
      </c>
      <c r="Z22" s="2"/>
      <c r="AA22" s="2"/>
      <c r="AB22" s="2"/>
      <c r="AC22" s="2"/>
      <c r="AD22" s="2"/>
      <c r="AE22" s="2"/>
      <c r="AF22" s="2"/>
    </row>
    <row r="23" spans="11:32" x14ac:dyDescent="0.25">
      <c r="K23" s="48" t="s">
        <v>66</v>
      </c>
      <c r="L23" s="48"/>
      <c r="M23" s="1">
        <f>i0!D29</f>
        <v>1.4142135623730952E-3</v>
      </c>
      <c r="Z23" s="2"/>
      <c r="AA23" s="2"/>
      <c r="AB23" s="2"/>
      <c r="AC23" s="2"/>
      <c r="AD23" s="2"/>
      <c r="AE23" s="2"/>
      <c r="AF23" s="2"/>
    </row>
    <row r="24" spans="11:32" x14ac:dyDescent="0.25">
      <c r="Z24" s="2"/>
      <c r="AA24" s="2"/>
      <c r="AB24" s="2"/>
      <c r="AC24" s="2"/>
      <c r="AD24" s="2"/>
      <c r="AE24" s="2"/>
      <c r="AF24" s="2"/>
    </row>
    <row r="25" spans="11:32" x14ac:dyDescent="0.25">
      <c r="Z25" s="2"/>
      <c r="AA25" s="2"/>
      <c r="AB25" s="2"/>
      <c r="AC25" s="2"/>
      <c r="AD25" s="2"/>
      <c r="AE25" s="2"/>
      <c r="AF25" s="2"/>
    </row>
    <row r="26" spans="11:32" x14ac:dyDescent="0.25">
      <c r="Z26" s="2"/>
      <c r="AA26" s="2"/>
      <c r="AB26" s="2"/>
      <c r="AC26" s="2"/>
      <c r="AD26" s="2"/>
      <c r="AE26" s="2"/>
      <c r="AF26" s="2"/>
    </row>
    <row r="27" spans="11:32" x14ac:dyDescent="0.25">
      <c r="Z27" s="2"/>
      <c r="AA27" s="2"/>
      <c r="AB27" s="2"/>
      <c r="AC27" s="2"/>
      <c r="AD27" s="2"/>
      <c r="AE27" s="2"/>
      <c r="AF27" s="2"/>
    </row>
    <row r="28" spans="11:32" x14ac:dyDescent="0.25">
      <c r="Z28" s="2"/>
      <c r="AA28" s="2"/>
      <c r="AB28" s="2"/>
      <c r="AC28" s="2"/>
      <c r="AD28" s="2"/>
      <c r="AE28" s="2"/>
      <c r="AF28" s="2"/>
    </row>
    <row r="29" spans="11:32" x14ac:dyDescent="0.25">
      <c r="Z29" s="2"/>
      <c r="AA29" s="2"/>
      <c r="AB29" s="2"/>
      <c r="AC29" s="2"/>
      <c r="AD29" s="2"/>
      <c r="AE29" s="2"/>
      <c r="AF29" s="2"/>
    </row>
    <row r="30" spans="11:32" x14ac:dyDescent="0.25">
      <c r="Z30" s="2"/>
      <c r="AA30" s="2"/>
      <c r="AB30" s="2"/>
      <c r="AC30" s="2"/>
      <c r="AD30" s="2"/>
      <c r="AE30" s="2"/>
      <c r="AF30" s="2"/>
    </row>
    <row r="31" spans="11:32" x14ac:dyDescent="0.25">
      <c r="Z31" s="2"/>
      <c r="AA31" s="2"/>
      <c r="AB31" s="2"/>
      <c r="AC31" s="2"/>
      <c r="AD31" s="2"/>
      <c r="AE31" s="2"/>
      <c r="AF31" s="2"/>
    </row>
    <row r="32" spans="11:32" x14ac:dyDescent="0.25">
      <c r="Z32" s="2"/>
      <c r="AA32" s="2"/>
      <c r="AB32" s="2"/>
      <c r="AC32" s="2"/>
      <c r="AD32" s="2"/>
      <c r="AE32" s="2"/>
      <c r="AF32" s="2"/>
    </row>
    <row r="33" spans="26:32" x14ac:dyDescent="0.25">
      <c r="Z33" s="2"/>
      <c r="AA33" s="2"/>
      <c r="AB33" s="2"/>
      <c r="AC33" s="2"/>
      <c r="AD33" s="2"/>
      <c r="AE33" s="2"/>
      <c r="AF33" s="2"/>
    </row>
    <row r="34" spans="26:32" x14ac:dyDescent="0.25">
      <c r="Z34" s="2"/>
      <c r="AA34" s="2"/>
      <c r="AB34" s="2"/>
      <c r="AC34" s="2"/>
      <c r="AD34" s="2"/>
      <c r="AE34" s="2"/>
      <c r="AF34" s="2"/>
    </row>
    <row r="35" spans="26:32" x14ac:dyDescent="0.25">
      <c r="Z35" s="2"/>
      <c r="AA35" s="2"/>
      <c r="AB35" s="2"/>
      <c r="AC35" s="2"/>
      <c r="AD35" s="2"/>
      <c r="AE35" s="2"/>
      <c r="AF35" s="2"/>
    </row>
    <row r="36" spans="26:32" x14ac:dyDescent="0.25">
      <c r="Z36" s="2"/>
      <c r="AA36" s="2"/>
      <c r="AB36" s="2"/>
      <c r="AC36" s="2"/>
      <c r="AD36" s="2"/>
      <c r="AE36" s="2"/>
      <c r="AF36" s="2"/>
    </row>
    <row r="37" spans="26:32" x14ac:dyDescent="0.25">
      <c r="Z37" s="2"/>
      <c r="AA37" s="2"/>
      <c r="AB37" s="2"/>
      <c r="AC37" s="2"/>
      <c r="AD37" s="2"/>
      <c r="AE37" s="2"/>
      <c r="AF37" s="2"/>
    </row>
    <row r="38" spans="26:32" x14ac:dyDescent="0.25">
      <c r="Z38" s="2"/>
      <c r="AA38" s="2"/>
      <c r="AB38" s="2"/>
      <c r="AC38" s="2"/>
      <c r="AD38" s="2"/>
      <c r="AE38" s="2"/>
      <c r="AF38" s="2"/>
    </row>
  </sheetData>
  <mergeCells count="29">
    <mergeCell ref="K8:L8"/>
    <mergeCell ref="K9:L9"/>
    <mergeCell ref="K10:L10"/>
    <mergeCell ref="K19:L19"/>
    <mergeCell ref="K20:L20"/>
    <mergeCell ref="K21:L21"/>
    <mergeCell ref="K22:L22"/>
    <mergeCell ref="K23:L23"/>
    <mergeCell ref="K14:L14"/>
    <mergeCell ref="K15:L15"/>
    <mergeCell ref="K16:L16"/>
    <mergeCell ref="K17:L17"/>
    <mergeCell ref="K18:L18"/>
    <mergeCell ref="AD11:AE11"/>
    <mergeCell ref="K2:N2"/>
    <mergeCell ref="O2:R2"/>
    <mergeCell ref="B8:E8"/>
    <mergeCell ref="P8:S8"/>
    <mergeCell ref="AB4:AF4"/>
    <mergeCell ref="AB5:AC5"/>
    <mergeCell ref="AE5:AF5"/>
    <mergeCell ref="J2:J3"/>
    <mergeCell ref="I2:I3"/>
    <mergeCell ref="H2:H3"/>
    <mergeCell ref="G2:G3"/>
    <mergeCell ref="E2:E3"/>
    <mergeCell ref="D2:D3"/>
    <mergeCell ref="C2:C3"/>
    <mergeCell ref="F2:F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81F2-C0D9-4914-AF9D-D88D3E30EE89}">
  <sheetPr>
    <tabColor rgb="FFA7FFFF"/>
  </sheetPr>
  <dimension ref="B2:BB43"/>
  <sheetViews>
    <sheetView topLeftCell="J1" zoomScale="40" zoomScaleNormal="40" workbookViewId="0">
      <selection activeCell="S26" sqref="S26"/>
    </sheetView>
  </sheetViews>
  <sheetFormatPr defaultColWidth="8.7109375" defaultRowHeight="15" x14ac:dyDescent="0.25"/>
  <cols>
    <col min="1" max="2" width="8.7109375" style="6"/>
    <col min="3" max="3" width="9.140625" style="6" bestFit="1" customWidth="1"/>
    <col min="4" max="4" width="14.42578125" style="6" bestFit="1" customWidth="1"/>
    <col min="5" max="5" width="12.28515625" style="6" bestFit="1" customWidth="1"/>
    <col min="6" max="6" width="12.28515625" style="6" customWidth="1"/>
    <col min="7" max="7" width="10.42578125" style="6" customWidth="1"/>
    <col min="8" max="8" width="9.5703125" style="6" bestFit="1" customWidth="1"/>
    <col min="9" max="9" width="13.42578125" style="6" bestFit="1" customWidth="1"/>
    <col min="10" max="10" width="12.85546875" style="6" bestFit="1" customWidth="1"/>
    <col min="11" max="11" width="15.140625" style="6" bestFit="1" customWidth="1"/>
    <col min="12" max="12" width="14.140625" style="6" bestFit="1" customWidth="1"/>
    <col min="13" max="13" width="9.5703125" style="6" bestFit="1" customWidth="1"/>
    <col min="14" max="14" width="10.28515625" style="6" bestFit="1" customWidth="1"/>
    <col min="15" max="15" width="16.85546875" style="6" bestFit="1" customWidth="1"/>
    <col min="16" max="16" width="12.7109375" style="6" bestFit="1" customWidth="1"/>
    <col min="17" max="22" width="8.7109375" style="6"/>
    <col min="23" max="23" width="9.7109375" style="6" bestFit="1" customWidth="1"/>
    <col min="24" max="16384" width="8.7109375" style="6"/>
  </cols>
  <sheetData>
    <row r="2" spans="3:34" ht="18" customHeight="1" x14ac:dyDescent="0.25">
      <c r="C2" s="48" t="s">
        <v>88</v>
      </c>
      <c r="D2" s="48" t="s">
        <v>89</v>
      </c>
      <c r="E2" s="48" t="s">
        <v>29</v>
      </c>
      <c r="F2" s="68" t="s">
        <v>90</v>
      </c>
      <c r="G2" s="48" t="s">
        <v>83</v>
      </c>
      <c r="H2" s="48" t="s">
        <v>77</v>
      </c>
      <c r="I2" s="48" t="s">
        <v>78</v>
      </c>
      <c r="J2" s="48" t="s">
        <v>79</v>
      </c>
      <c r="K2" s="49" t="s">
        <v>31</v>
      </c>
      <c r="L2" s="49"/>
      <c r="M2" s="49"/>
      <c r="N2" s="49"/>
      <c r="O2" s="55" t="s">
        <v>12</v>
      </c>
      <c r="P2" s="55"/>
      <c r="Q2" s="55"/>
      <c r="R2" s="55"/>
      <c r="AF2" s="2"/>
    </row>
    <row r="3" spans="3:34" ht="18" x14ac:dyDescent="0.25">
      <c r="C3" s="48"/>
      <c r="D3" s="48"/>
      <c r="E3" s="48"/>
      <c r="F3" s="69"/>
      <c r="G3" s="48"/>
      <c r="H3" s="48"/>
      <c r="I3" s="48"/>
      <c r="J3" s="48"/>
      <c r="K3" s="3" t="s">
        <v>86</v>
      </c>
      <c r="L3" s="3" t="s">
        <v>80</v>
      </c>
      <c r="M3" s="5" t="s">
        <v>0</v>
      </c>
      <c r="N3" s="5" t="s">
        <v>1</v>
      </c>
      <c r="O3" s="21" t="s">
        <v>85</v>
      </c>
      <c r="P3" s="3" t="s">
        <v>84</v>
      </c>
      <c r="Q3" s="5" t="s">
        <v>0</v>
      </c>
      <c r="R3" s="5" t="s">
        <v>1</v>
      </c>
      <c r="V3" s="65" t="s">
        <v>76</v>
      </c>
      <c r="W3" s="65"/>
      <c r="X3" s="65"/>
      <c r="Y3" s="65"/>
      <c r="AE3" s="48" t="s">
        <v>45</v>
      </c>
      <c r="AF3" s="48"/>
      <c r="AG3" s="48"/>
      <c r="AH3" s="48"/>
    </row>
    <row r="4" spans="3:34" x14ac:dyDescent="0.25">
      <c r="C4" s="7">
        <v>0</v>
      </c>
      <c r="D4" s="24">
        <f t="shared" ref="D4:D10" si="0">C4*(PI()/180)</f>
        <v>0</v>
      </c>
      <c r="E4" s="24">
        <f t="shared" ref="E4:E9" si="1">COS(D4)</f>
        <v>1</v>
      </c>
      <c r="F4" s="24">
        <f>P25</f>
        <v>0</v>
      </c>
      <c r="G4" s="7">
        <v>1496</v>
      </c>
      <c r="H4" s="41">
        <f t="shared" ref="H4:H10" si="2">G4*2*PI()</f>
        <v>9399.6452195406619</v>
      </c>
      <c r="I4" s="7">
        <v>0.495</v>
      </c>
      <c r="J4" s="23">
        <f t="shared" ref="J4:J10" si="3">I4*SQRT(2)</f>
        <v>0.70003571337468207</v>
      </c>
      <c r="K4" s="24">
        <v>0.1183</v>
      </c>
      <c r="L4" s="24">
        <f t="shared" ref="L4:L10" si="4">K4*SQRT(2)</f>
        <v>0.16730146442873717</v>
      </c>
      <c r="M4" s="24">
        <f t="shared" ref="M4:M10" si="5">W$4*E4+X$4</f>
        <v>0.16619688961248241</v>
      </c>
      <c r="N4" s="24">
        <f t="shared" ref="N4:N10" si="6">M4-L4</f>
        <v>-1.1045748162547553E-3</v>
      </c>
      <c r="O4" s="24">
        <v>0.372</v>
      </c>
      <c r="P4" s="24">
        <f t="shared" ref="P4:P10" si="7">O4/2</f>
        <v>0.186</v>
      </c>
      <c r="Q4" s="24">
        <f t="shared" ref="Q4:Q10" si="8">E4*AF$4+AG$4</f>
        <v>0.17775607118145115</v>
      </c>
      <c r="R4" s="24">
        <f t="shared" ref="R4:R10" si="9">P4-Q4</f>
        <v>8.2439288185488513E-3</v>
      </c>
      <c r="V4" s="4" t="s">
        <v>3</v>
      </c>
      <c r="W4" s="24">
        <f t="array" ref="W4:X6">LINEST(L4:L10,E4:E10,1,1)</f>
        <v>0.16148758892340295</v>
      </c>
      <c r="X4" s="24">
        <v>4.7093006890794459E-3</v>
      </c>
      <c r="Y4" s="4" t="s">
        <v>5</v>
      </c>
      <c r="AE4" s="4" t="s">
        <v>3</v>
      </c>
      <c r="AF4" s="10">
        <f t="array" ref="AF4:AG6">LINEST(P4:P10,E4:E10,1,1)</f>
        <v>0.15332111340295418</v>
      </c>
      <c r="AG4" s="10">
        <v>2.4434957778496968E-2</v>
      </c>
      <c r="AH4" s="4" t="s">
        <v>5</v>
      </c>
    </row>
    <row r="5" spans="3:34" x14ac:dyDescent="0.25">
      <c r="C5" s="7">
        <v>15</v>
      </c>
      <c r="D5" s="24">
        <f t="shared" si="0"/>
        <v>0.26179938779914941</v>
      </c>
      <c r="E5" s="24">
        <f t="shared" si="1"/>
        <v>0.96592582628906831</v>
      </c>
      <c r="F5" s="24">
        <f t="shared" ref="F5:F10" si="10">P26</f>
        <v>-8.5122479223182154E-2</v>
      </c>
      <c r="G5" s="7">
        <v>1496</v>
      </c>
      <c r="H5" s="41">
        <f t="shared" si="2"/>
        <v>9399.6452195406619</v>
      </c>
      <c r="I5" s="7">
        <v>0.495</v>
      </c>
      <c r="J5" s="23">
        <f t="shared" si="3"/>
        <v>0.70003571337468207</v>
      </c>
      <c r="K5" s="24">
        <v>0.1145</v>
      </c>
      <c r="L5" s="24">
        <f t="shared" si="4"/>
        <v>0.16192745289171939</v>
      </c>
      <c r="M5" s="24">
        <f t="shared" si="5"/>
        <v>0.16069433345534684</v>
      </c>
      <c r="N5" s="24">
        <f t="shared" si="6"/>
        <v>-1.2331194363725539E-3</v>
      </c>
      <c r="O5" s="24">
        <v>0.34</v>
      </c>
      <c r="P5" s="24">
        <f t="shared" si="7"/>
        <v>0.17</v>
      </c>
      <c r="Q5" s="24">
        <f t="shared" si="8"/>
        <v>0.17253178092980542</v>
      </c>
      <c r="R5" s="24">
        <f t="shared" si="9"/>
        <v>-2.5317809298054106E-3</v>
      </c>
      <c r="V5" s="4" t="s">
        <v>2</v>
      </c>
      <c r="W5" s="24">
        <v>2.2647474525146478E-3</v>
      </c>
      <c r="X5" s="24">
        <v>1.6014182813480662E-3</v>
      </c>
      <c r="Y5" s="4" t="s">
        <v>6</v>
      </c>
      <c r="AE5" s="4" t="s">
        <v>2</v>
      </c>
      <c r="AF5" s="10">
        <v>5.4876044141283489E-3</v>
      </c>
      <c r="AG5" s="10">
        <v>3.8803222936993871E-3</v>
      </c>
      <c r="AH5" s="4" t="s">
        <v>6</v>
      </c>
    </row>
    <row r="6" spans="3:34" x14ac:dyDescent="0.25">
      <c r="C6" s="7">
        <v>30</v>
      </c>
      <c r="D6" s="24">
        <f t="shared" si="0"/>
        <v>0.52359877559829882</v>
      </c>
      <c r="E6" s="24">
        <f t="shared" si="1"/>
        <v>0.86602540378443871</v>
      </c>
      <c r="F6" s="24">
        <f t="shared" si="10"/>
        <v>0.12933303715685526</v>
      </c>
      <c r="G6" s="7">
        <v>1496</v>
      </c>
      <c r="H6" s="41">
        <f t="shared" si="2"/>
        <v>9399.6452195406619</v>
      </c>
      <c r="I6" s="7">
        <v>0.495</v>
      </c>
      <c r="J6" s="23">
        <f t="shared" si="3"/>
        <v>0.70003571337468207</v>
      </c>
      <c r="K6" s="24">
        <v>0.1022</v>
      </c>
      <c r="L6" s="24">
        <f t="shared" si="4"/>
        <v>0.14453262607453032</v>
      </c>
      <c r="M6" s="24">
        <f t="shared" si="5"/>
        <v>0.14456165509264496</v>
      </c>
      <c r="N6" s="24">
        <f t="shared" si="6"/>
        <v>2.9029018114634653E-5</v>
      </c>
      <c r="O6" s="24">
        <v>0.30399999999999999</v>
      </c>
      <c r="P6" s="24">
        <f t="shared" si="7"/>
        <v>0.152</v>
      </c>
      <c r="Q6" s="24">
        <f t="shared" si="8"/>
        <v>0.15721493692197008</v>
      </c>
      <c r="R6" s="24">
        <f t="shared" si="9"/>
        <v>-5.214936921970087E-3</v>
      </c>
      <c r="V6" s="4" t="s">
        <v>4</v>
      </c>
      <c r="W6" s="24">
        <v>0.99901756373167316</v>
      </c>
      <c r="X6" s="24">
        <v>2.1016795013722852E-3</v>
      </c>
      <c r="Y6" s="4" t="s">
        <v>7</v>
      </c>
      <c r="AE6" s="4" t="s">
        <v>4</v>
      </c>
      <c r="AF6" s="10">
        <v>0.99363558041455891</v>
      </c>
      <c r="AG6" s="10">
        <v>5.0924820319403919E-3</v>
      </c>
      <c r="AH6" s="4" t="s">
        <v>7</v>
      </c>
    </row>
    <row r="7" spans="3:34" x14ac:dyDescent="0.25">
      <c r="C7" s="7">
        <v>45</v>
      </c>
      <c r="D7" s="24">
        <f t="shared" si="0"/>
        <v>0.78539816339744828</v>
      </c>
      <c r="E7" s="24">
        <f t="shared" si="1"/>
        <v>0.70710678118654757</v>
      </c>
      <c r="F7" s="24">
        <f t="shared" si="10"/>
        <v>-0.11138301089958536</v>
      </c>
      <c r="G7" s="7">
        <v>1496</v>
      </c>
      <c r="H7" s="41">
        <f t="shared" si="2"/>
        <v>9399.6452195406619</v>
      </c>
      <c r="I7" s="7">
        <v>0.49399999999999999</v>
      </c>
      <c r="J7" s="23">
        <f t="shared" si="3"/>
        <v>0.69862149981230903</v>
      </c>
      <c r="K7" s="24">
        <v>8.3599999999999994E-2</v>
      </c>
      <c r="L7" s="24">
        <f t="shared" si="4"/>
        <v>0.11822825381439074</v>
      </c>
      <c r="M7" s="24">
        <f t="shared" si="5"/>
        <v>0.11889826989428329</v>
      </c>
      <c r="N7" s="24">
        <f t="shared" si="6"/>
        <v>6.7001607989254641E-4</v>
      </c>
      <c r="O7" s="24">
        <v>0.26800000000000002</v>
      </c>
      <c r="P7" s="24">
        <f t="shared" si="7"/>
        <v>0.13400000000000001</v>
      </c>
      <c r="Q7" s="24">
        <f t="shared" si="8"/>
        <v>0.13284935676479753</v>
      </c>
      <c r="R7" s="24">
        <f t="shared" si="9"/>
        <v>1.1506432352024754E-3</v>
      </c>
      <c r="AG7" s="2"/>
      <c r="AH7" s="2"/>
    </row>
    <row r="8" spans="3:34" x14ac:dyDescent="0.25">
      <c r="C8" s="7">
        <v>60</v>
      </c>
      <c r="D8" s="24">
        <f t="shared" si="0"/>
        <v>1.0471975511965976</v>
      </c>
      <c r="E8" s="24">
        <f t="shared" si="1"/>
        <v>0.50000000000000011</v>
      </c>
      <c r="F8" s="24">
        <f t="shared" si="10"/>
        <v>3.9899616999619407E-2</v>
      </c>
      <c r="G8" s="7">
        <v>1496</v>
      </c>
      <c r="H8" s="41">
        <f t="shared" si="2"/>
        <v>9399.6452195406619</v>
      </c>
      <c r="I8" s="7">
        <v>0.49299999999999999</v>
      </c>
      <c r="J8" s="23">
        <f t="shared" si="3"/>
        <v>0.69720728624993589</v>
      </c>
      <c r="K8" s="24">
        <v>5.8599999999999999E-2</v>
      </c>
      <c r="L8" s="24">
        <f t="shared" si="4"/>
        <v>8.2872914755063379E-2</v>
      </c>
      <c r="M8" s="24">
        <f t="shared" si="5"/>
        <v>8.5453095150780936E-2</v>
      </c>
      <c r="N8" s="24">
        <f t="shared" si="6"/>
        <v>2.5801803957175573E-3</v>
      </c>
      <c r="O8" s="24">
        <v>0.19600000000000001</v>
      </c>
      <c r="P8" s="24">
        <f t="shared" si="7"/>
        <v>9.8000000000000004E-2</v>
      </c>
      <c r="Q8" s="24">
        <f t="shared" si="8"/>
        <v>0.10109551447997407</v>
      </c>
      <c r="R8" s="24">
        <f t="shared" si="9"/>
        <v>-3.095514479974068E-3</v>
      </c>
      <c r="AG8" s="2"/>
      <c r="AH8" s="2"/>
    </row>
    <row r="9" spans="3:34" x14ac:dyDescent="0.25">
      <c r="C9" s="7">
        <v>75</v>
      </c>
      <c r="D9" s="24">
        <f t="shared" si="0"/>
        <v>1.3089969389957472</v>
      </c>
      <c r="E9" s="24">
        <f t="shared" si="1"/>
        <v>0.25881904510252074</v>
      </c>
      <c r="F9" s="24">
        <f t="shared" si="10"/>
        <v>5.0760497374970924E-2</v>
      </c>
      <c r="G9" s="7">
        <v>1496</v>
      </c>
      <c r="H9" s="41">
        <f t="shared" si="2"/>
        <v>9399.6452195406619</v>
      </c>
      <c r="I9" s="7">
        <v>0.49199999999999999</v>
      </c>
      <c r="J9" s="23">
        <f t="shared" si="3"/>
        <v>0.69579307268756285</v>
      </c>
      <c r="K9" s="24">
        <v>3.15E-2</v>
      </c>
      <c r="L9" s="24">
        <f t="shared" si="4"/>
        <v>4.4547727214752496E-2</v>
      </c>
      <c r="M9" s="24">
        <f t="shared" si="5"/>
        <v>4.6505364250143004E-2</v>
      </c>
      <c r="N9" s="24">
        <f t="shared" si="6"/>
        <v>1.9576370353905082E-3</v>
      </c>
      <c r="O9" s="24">
        <v>0.124</v>
      </c>
      <c r="P9" s="24">
        <f t="shared" si="7"/>
        <v>6.2E-2</v>
      </c>
      <c r="Q9" s="24">
        <f t="shared" si="8"/>
        <v>6.4117381943504859E-2</v>
      </c>
      <c r="R9" s="24">
        <f t="shared" si="9"/>
        <v>-2.1173819435048591E-3</v>
      </c>
      <c r="AB9" s="2"/>
      <c r="AC9" s="2"/>
      <c r="AD9" s="2"/>
      <c r="AE9" s="2"/>
      <c r="AF9" s="2"/>
      <c r="AG9" s="2"/>
      <c r="AH9" s="2"/>
    </row>
    <row r="10" spans="3:34" x14ac:dyDescent="0.25">
      <c r="C10" s="7">
        <v>90</v>
      </c>
      <c r="D10" s="24">
        <f t="shared" si="0"/>
        <v>1.5707963267948966</v>
      </c>
      <c r="E10" s="24">
        <v>0</v>
      </c>
      <c r="F10" s="24">
        <f t="shared" si="10"/>
        <v>-0.11702388961255408</v>
      </c>
      <c r="G10" s="7">
        <v>1496</v>
      </c>
      <c r="H10" s="41">
        <f t="shared" si="2"/>
        <v>9399.6452195406619</v>
      </c>
      <c r="I10" s="7">
        <v>0.49399999999999999</v>
      </c>
      <c r="J10" s="23">
        <f t="shared" si="3"/>
        <v>0.69862149981230903</v>
      </c>
      <c r="K10" s="24">
        <v>5.3800000000000002E-3</v>
      </c>
      <c r="L10" s="24">
        <f t="shared" si="4"/>
        <v>7.6084689655672522E-3</v>
      </c>
      <c r="M10" s="24">
        <f t="shared" si="5"/>
        <v>4.7093006890794459E-3</v>
      </c>
      <c r="N10" s="24">
        <f t="shared" si="6"/>
        <v>-2.8991682764878063E-3</v>
      </c>
      <c r="O10" s="24">
        <v>5.6000000000000001E-2</v>
      </c>
      <c r="P10" s="24">
        <f t="shared" si="7"/>
        <v>2.8000000000000001E-2</v>
      </c>
      <c r="Q10" s="24">
        <f t="shared" si="8"/>
        <v>2.4434957778496968E-2</v>
      </c>
      <c r="R10" s="24">
        <f t="shared" si="9"/>
        <v>3.5650422215030321E-3</v>
      </c>
      <c r="AB10" s="2"/>
      <c r="AC10" s="2"/>
      <c r="AD10" s="2"/>
      <c r="AE10" s="2"/>
      <c r="AF10" s="2"/>
      <c r="AG10" s="2"/>
      <c r="AH10" s="2"/>
    </row>
    <row r="11" spans="3:34" x14ac:dyDescent="0.25">
      <c r="AB11" s="2"/>
      <c r="AC11" s="2"/>
      <c r="AD11" s="2"/>
      <c r="AE11" s="2"/>
      <c r="AF11" s="2"/>
      <c r="AG11" s="2"/>
      <c r="AH11" s="2"/>
    </row>
    <row r="12" spans="3:34" ht="18" x14ac:dyDescent="0.25">
      <c r="D12" s="54" t="s">
        <v>30</v>
      </c>
      <c r="E12" s="54"/>
      <c r="F12" s="54"/>
      <c r="G12" s="54"/>
      <c r="H12" s="54"/>
      <c r="I12" s="54"/>
      <c r="K12" s="4" t="s">
        <v>40</v>
      </c>
      <c r="L12" s="1">
        <f>AVERAGE(J4:J10)</f>
        <v>0.69862149981230903</v>
      </c>
      <c r="N12" s="48" t="s">
        <v>16</v>
      </c>
      <c r="O12" s="48"/>
      <c r="P12" s="1">
        <f>i0!D20</f>
        <v>1E-3</v>
      </c>
      <c r="AB12" s="2"/>
      <c r="AC12" s="2"/>
      <c r="AD12" s="2"/>
      <c r="AE12" s="2"/>
      <c r="AF12" s="2"/>
      <c r="AG12" s="2"/>
      <c r="AH12" s="2"/>
    </row>
    <row r="13" spans="3:34" ht="18" x14ac:dyDescent="0.25">
      <c r="D13" s="49" t="s">
        <v>31</v>
      </c>
      <c r="E13" s="49"/>
      <c r="F13" s="2"/>
      <c r="G13" s="2"/>
      <c r="H13" s="55" t="s">
        <v>14</v>
      </c>
      <c r="I13" s="55"/>
      <c r="K13" s="4" t="s">
        <v>41</v>
      </c>
      <c r="L13" s="1">
        <f>_xlfn.STDEV.P(J4:J10)/SQRT(7)</f>
        <v>5.7142857142856377E-4</v>
      </c>
      <c r="N13" s="48" t="s">
        <v>15</v>
      </c>
      <c r="O13" s="48"/>
      <c r="P13" s="1">
        <f>i0!D21</f>
        <v>0</v>
      </c>
      <c r="AB13" s="2"/>
      <c r="AC13" s="2"/>
      <c r="AD13" s="2"/>
      <c r="AE13" s="2"/>
      <c r="AF13" s="2"/>
      <c r="AG13" s="2"/>
      <c r="AH13" s="2"/>
    </row>
    <row r="14" spans="3:34" ht="18" x14ac:dyDescent="0.25">
      <c r="D14" s="27" t="s">
        <v>32</v>
      </c>
      <c r="E14" s="30">
        <f>4*PI()*10^-7</f>
        <v>1.2566370614359173E-6</v>
      </c>
      <c r="F14" s="2"/>
      <c r="G14" s="2"/>
      <c r="H14" s="26" t="s">
        <v>32</v>
      </c>
      <c r="I14" s="30">
        <f>E14</f>
        <v>1.2566370614359173E-6</v>
      </c>
      <c r="L14" s="9"/>
      <c r="M14" s="9"/>
      <c r="N14" s="48" t="s">
        <v>61</v>
      </c>
      <c r="O14" s="48"/>
      <c r="P14" s="1">
        <f>i0!D22</f>
        <v>6.2831853071795862</v>
      </c>
      <c r="AB14" s="2"/>
      <c r="AC14" s="2"/>
      <c r="AD14" s="2"/>
      <c r="AE14" s="2"/>
      <c r="AF14" s="2"/>
      <c r="AG14" s="2"/>
      <c r="AH14" s="2"/>
    </row>
    <row r="15" spans="3:34" ht="18" x14ac:dyDescent="0.25">
      <c r="D15" s="27" t="s">
        <v>33</v>
      </c>
      <c r="E15" s="30">
        <f>(W4*E19)/(E20*I21*I20*H4*L12)</f>
        <v>9.5435300249692829E-7</v>
      </c>
      <c r="F15" s="2"/>
      <c r="G15" s="2"/>
      <c r="H15" s="26" t="s">
        <v>33</v>
      </c>
      <c r="I15" s="30">
        <f>(AF4*E19)/(E20*I21*I20*H4*L12)</f>
        <v>9.0609108661400154E-7</v>
      </c>
      <c r="K15" s="4" t="s">
        <v>58</v>
      </c>
      <c r="L15" s="1">
        <v>1</v>
      </c>
      <c r="N15" s="48" t="s">
        <v>18</v>
      </c>
      <c r="O15" s="48"/>
      <c r="P15" s="1">
        <f>i0!D23</f>
        <v>1</v>
      </c>
      <c r="Q15" s="25"/>
      <c r="AB15" s="2"/>
      <c r="AC15" s="2"/>
      <c r="AD15" s="2"/>
      <c r="AE15" s="2"/>
      <c r="AF15" s="2"/>
      <c r="AG15" s="2"/>
      <c r="AH15" s="2"/>
    </row>
    <row r="16" spans="3:34" ht="18" x14ac:dyDescent="0.25">
      <c r="D16" s="27" t="s">
        <v>35</v>
      </c>
      <c r="E16" s="30">
        <f>1.34*10^-8</f>
        <v>1.3400000000000001E-8</v>
      </c>
      <c r="F16" s="2"/>
      <c r="G16" s="2"/>
      <c r="H16" s="26" t="s">
        <v>34</v>
      </c>
      <c r="I16" s="30">
        <f>3.25*10^-8</f>
        <v>3.25E-8</v>
      </c>
      <c r="K16" s="4" t="s">
        <v>59</v>
      </c>
      <c r="L16" s="1">
        <f>ABS(2*PI()*L15)</f>
        <v>6.2831853071795862</v>
      </c>
      <c r="N16" s="48" t="s">
        <v>62</v>
      </c>
      <c r="O16" s="48"/>
      <c r="P16" s="1">
        <f>i0!D24</f>
        <v>1E-4</v>
      </c>
      <c r="AB16" s="2"/>
      <c r="AC16" s="2"/>
      <c r="AD16" s="2"/>
      <c r="AE16" s="2"/>
      <c r="AF16" s="2"/>
      <c r="AG16" s="2"/>
      <c r="AH16" s="2"/>
    </row>
    <row r="17" spans="2:54" ht="18" x14ac:dyDescent="0.25">
      <c r="D17" s="27" t="s">
        <v>36</v>
      </c>
      <c r="E17" s="32">
        <f>ABS(E14-E15)/E14</f>
        <v>0.24055001099010964</v>
      </c>
      <c r="F17" s="2"/>
      <c r="G17" s="2"/>
      <c r="H17" s="26" t="s">
        <v>36</v>
      </c>
      <c r="I17" s="32">
        <f>ABS(I14-I15)/I14</f>
        <v>0.27895562336937491</v>
      </c>
      <c r="N17" s="48" t="s">
        <v>68</v>
      </c>
      <c r="O17" s="48"/>
      <c r="P17" s="1">
        <f>i0!D25</f>
        <v>1.4142135623730951E-4</v>
      </c>
      <c r="AB17" s="2"/>
      <c r="AC17" s="2"/>
      <c r="AD17" s="2"/>
      <c r="AE17" s="2"/>
      <c r="AF17" s="2"/>
      <c r="AG17" s="2"/>
      <c r="AH17" s="2"/>
    </row>
    <row r="18" spans="2:54" x14ac:dyDescent="0.25">
      <c r="D18" s="2"/>
      <c r="E18" s="2"/>
      <c r="F18" s="2"/>
      <c r="G18" s="2"/>
      <c r="H18" s="2"/>
      <c r="I18" s="2"/>
      <c r="N18" s="48" t="s">
        <v>64</v>
      </c>
      <c r="O18" s="48"/>
      <c r="P18" s="1">
        <f>i0!D26</f>
        <v>1E-4</v>
      </c>
      <c r="AB18" s="2"/>
      <c r="AC18" s="2"/>
      <c r="AD18" s="2"/>
      <c r="AE18" s="2"/>
      <c r="AF18" s="2"/>
      <c r="AG18" s="2"/>
      <c r="AH18" s="2"/>
    </row>
    <row r="19" spans="2:54" ht="18" x14ac:dyDescent="0.25">
      <c r="C19" s="9"/>
      <c r="D19" s="28" t="s">
        <v>19</v>
      </c>
      <c r="E19" s="1">
        <v>0.75</v>
      </c>
      <c r="F19" s="1"/>
      <c r="G19" s="53" t="s">
        <v>43</v>
      </c>
      <c r="H19" s="53"/>
      <c r="I19" s="1">
        <v>2.5999999999999999E-2</v>
      </c>
      <c r="N19" s="48" t="s">
        <v>69</v>
      </c>
      <c r="O19" s="48"/>
      <c r="P19" s="1">
        <f>i0!D27</f>
        <v>1.4142135623730951E-4</v>
      </c>
      <c r="AB19" s="2"/>
      <c r="AC19" s="2"/>
      <c r="AD19" s="2"/>
      <c r="AE19" s="2"/>
      <c r="AF19" s="2"/>
      <c r="AG19" s="2"/>
      <c r="AH19" s="2"/>
    </row>
    <row r="20" spans="2:54" ht="17.25" x14ac:dyDescent="0.25">
      <c r="D20" s="28" t="s">
        <v>17</v>
      </c>
      <c r="E20" s="1">
        <v>364</v>
      </c>
      <c r="F20" s="1"/>
      <c r="G20" s="53" t="s">
        <v>44</v>
      </c>
      <c r="H20" s="53"/>
      <c r="I20" s="29">
        <f>PI()*I19^2/4</f>
        <v>5.3092915845667494E-4</v>
      </c>
      <c r="N20" s="48" t="s">
        <v>65</v>
      </c>
      <c r="O20" s="48"/>
      <c r="P20" s="1">
        <f>i0!D28</f>
        <v>1E-3</v>
      </c>
      <c r="AB20" s="2"/>
      <c r="AC20" s="2"/>
      <c r="AD20" s="2"/>
      <c r="AE20" s="2"/>
      <c r="AF20" s="2"/>
      <c r="AG20" s="2"/>
      <c r="AH20" s="2"/>
    </row>
    <row r="21" spans="2:54" x14ac:dyDescent="0.25">
      <c r="D21" s="2"/>
      <c r="E21" s="2"/>
      <c r="F21" s="2"/>
      <c r="G21" s="53" t="s">
        <v>42</v>
      </c>
      <c r="H21" s="53"/>
      <c r="I21" s="1">
        <v>100</v>
      </c>
      <c r="N21" s="48" t="s">
        <v>66</v>
      </c>
      <c r="O21" s="48"/>
      <c r="P21" s="1">
        <f>i0!D29</f>
        <v>1.4142135623730952E-3</v>
      </c>
      <c r="AB21" s="2"/>
      <c r="AC21" s="2"/>
      <c r="AD21" s="2"/>
      <c r="AE21" s="2"/>
      <c r="AF21" s="2"/>
      <c r="AG21" s="2"/>
      <c r="AH21" s="2"/>
      <c r="BA21" s="2"/>
      <c r="BB21" s="2"/>
    </row>
    <row r="22" spans="2:54" x14ac:dyDescent="0.25">
      <c r="AB22" s="2"/>
      <c r="AC22" s="2"/>
      <c r="AD22" s="2"/>
      <c r="AE22" s="2"/>
      <c r="AF22" s="2"/>
      <c r="AG22" s="2"/>
      <c r="AH22" s="2"/>
      <c r="BA22" s="2"/>
      <c r="BB22" s="2"/>
    </row>
    <row r="23" spans="2:54" x14ac:dyDescent="0.25">
      <c r="N23" s="65" t="s">
        <v>72</v>
      </c>
      <c r="O23" s="65"/>
      <c r="P23" s="7">
        <v>7.5</v>
      </c>
      <c r="AB23" s="2"/>
      <c r="AC23" s="2"/>
      <c r="AD23" s="2"/>
      <c r="AE23" s="2"/>
      <c r="AF23" s="2"/>
      <c r="AG23" s="2"/>
      <c r="AH23" s="2"/>
      <c r="BA23" s="2"/>
      <c r="BB23" s="2"/>
    </row>
    <row r="24" spans="2:54" x14ac:dyDescent="0.25">
      <c r="B24" s="9"/>
      <c r="C24" s="9"/>
      <c r="D24" s="9"/>
      <c r="N24" s="65" t="s">
        <v>73</v>
      </c>
      <c r="O24" s="65"/>
      <c r="P24" s="7">
        <f>P23*PI()/180</f>
        <v>0.1308996938995747</v>
      </c>
      <c r="AB24" s="2"/>
      <c r="AC24" s="2"/>
      <c r="AD24" s="2"/>
      <c r="AE24" s="2"/>
      <c r="AF24" s="2"/>
      <c r="AG24" s="2"/>
      <c r="AH24" s="2"/>
    </row>
    <row r="25" spans="2:54" x14ac:dyDescent="0.25">
      <c r="N25" s="70" t="s">
        <v>71</v>
      </c>
      <c r="O25" s="71"/>
      <c r="P25" s="7">
        <f t="shared" ref="P25:P31" si="11">-SIN(C4)*$P$24</f>
        <v>0</v>
      </c>
      <c r="AB25" s="2"/>
      <c r="AC25" s="2"/>
      <c r="AD25" s="2"/>
      <c r="AE25" s="2"/>
      <c r="AF25" s="2"/>
      <c r="AG25" s="2"/>
      <c r="AH25" s="2"/>
    </row>
    <row r="26" spans="2:54" x14ac:dyDescent="0.25">
      <c r="N26" s="72"/>
      <c r="O26" s="73"/>
      <c r="P26" s="7">
        <f t="shared" si="11"/>
        <v>-8.5122479223182154E-2</v>
      </c>
      <c r="AB26" s="2"/>
      <c r="AC26" s="2"/>
      <c r="AD26" s="2"/>
      <c r="AE26" s="2"/>
      <c r="AF26" s="2"/>
      <c r="AG26" s="2"/>
      <c r="AH26" s="2"/>
    </row>
    <row r="27" spans="2:54" x14ac:dyDescent="0.25">
      <c r="N27" s="72"/>
      <c r="O27" s="73"/>
      <c r="P27" s="7">
        <f t="shared" si="11"/>
        <v>0.12933303715685526</v>
      </c>
      <c r="AB27" s="2"/>
      <c r="AC27" s="2"/>
      <c r="AD27" s="2"/>
      <c r="AE27" s="2"/>
      <c r="AF27" s="2"/>
      <c r="AG27" s="2"/>
      <c r="AH27" s="2"/>
    </row>
    <row r="28" spans="2:54" x14ac:dyDescent="0.25">
      <c r="N28" s="72"/>
      <c r="O28" s="73"/>
      <c r="P28" s="7">
        <f t="shared" si="11"/>
        <v>-0.11138301089958536</v>
      </c>
      <c r="AB28" s="2"/>
      <c r="AC28" s="2"/>
      <c r="AD28" s="2"/>
      <c r="AE28" s="2"/>
      <c r="AF28" s="2"/>
      <c r="AG28" s="2"/>
      <c r="AH28" s="2"/>
    </row>
    <row r="29" spans="2:54" x14ac:dyDescent="0.25">
      <c r="N29" s="72"/>
      <c r="O29" s="73"/>
      <c r="P29" s="7">
        <f t="shared" si="11"/>
        <v>3.9899616999619407E-2</v>
      </c>
      <c r="AB29" s="2"/>
      <c r="AC29" s="2"/>
      <c r="AD29" s="2"/>
      <c r="AE29" s="2"/>
      <c r="AF29" s="2"/>
      <c r="AG29" s="2"/>
      <c r="AH29" s="2"/>
    </row>
    <row r="30" spans="2:54" x14ac:dyDescent="0.25">
      <c r="N30" s="72"/>
      <c r="O30" s="73"/>
      <c r="P30" s="7">
        <f t="shared" si="11"/>
        <v>5.0760497374970924E-2</v>
      </c>
      <c r="AB30" s="2"/>
      <c r="AC30" s="2"/>
      <c r="AD30" s="2"/>
      <c r="AE30" s="2"/>
      <c r="AF30" s="2"/>
      <c r="AG30" s="2"/>
      <c r="AH30" s="2"/>
    </row>
    <row r="31" spans="2:54" x14ac:dyDescent="0.25">
      <c r="N31" s="72"/>
      <c r="O31" s="73"/>
      <c r="P31" s="7">
        <f t="shared" si="11"/>
        <v>-0.11702388961255408</v>
      </c>
      <c r="AB31" s="2"/>
      <c r="AC31" s="2"/>
      <c r="AD31" s="2"/>
      <c r="AE31" s="2"/>
      <c r="AF31" s="2"/>
      <c r="AG31" s="2"/>
      <c r="AH31" s="2"/>
    </row>
    <row r="32" spans="2:54" x14ac:dyDescent="0.25">
      <c r="AB32" s="2"/>
      <c r="AC32" s="2"/>
      <c r="AD32" s="2"/>
      <c r="AE32" s="2"/>
      <c r="AF32" s="2"/>
      <c r="AG32" s="2"/>
      <c r="AH32" s="2"/>
    </row>
    <row r="33" spans="28:34" x14ac:dyDescent="0.25">
      <c r="AB33" s="2"/>
      <c r="AC33" s="2"/>
      <c r="AD33" s="2"/>
      <c r="AE33" s="2"/>
      <c r="AF33" s="2"/>
      <c r="AG33" s="2"/>
      <c r="AH33" s="2"/>
    </row>
    <row r="34" spans="28:34" x14ac:dyDescent="0.25">
      <c r="AB34" s="2"/>
      <c r="AC34" s="2"/>
      <c r="AD34" s="2"/>
      <c r="AE34" s="2"/>
      <c r="AF34" s="2"/>
      <c r="AG34" s="2"/>
      <c r="AH34" s="2"/>
    </row>
    <row r="35" spans="28:34" x14ac:dyDescent="0.25">
      <c r="AB35" s="2"/>
      <c r="AC35" s="2"/>
      <c r="AD35" s="2"/>
      <c r="AE35" s="2"/>
      <c r="AF35" s="2"/>
      <c r="AG35" s="2"/>
      <c r="AH35" s="2"/>
    </row>
    <row r="36" spans="28:34" x14ac:dyDescent="0.25">
      <c r="AB36" s="2"/>
      <c r="AC36" s="2"/>
      <c r="AD36" s="2"/>
      <c r="AE36" s="2"/>
      <c r="AF36" s="2"/>
      <c r="AG36" s="2"/>
      <c r="AH36" s="2"/>
    </row>
    <row r="37" spans="28:34" x14ac:dyDescent="0.25">
      <c r="AB37" s="2"/>
      <c r="AC37" s="2"/>
      <c r="AD37" s="2"/>
      <c r="AE37" s="2"/>
      <c r="AF37" s="2"/>
      <c r="AG37" s="2"/>
      <c r="AH37" s="2"/>
    </row>
    <row r="38" spans="28:34" x14ac:dyDescent="0.25">
      <c r="AB38" s="2"/>
      <c r="AC38" s="2"/>
      <c r="AD38" s="2"/>
      <c r="AE38" s="2"/>
      <c r="AF38" s="2"/>
      <c r="AG38" s="2"/>
      <c r="AH38" s="2"/>
    </row>
    <row r="39" spans="28:34" x14ac:dyDescent="0.25">
      <c r="AB39" s="2"/>
      <c r="AC39" s="2"/>
      <c r="AD39" s="2"/>
      <c r="AE39" s="2"/>
      <c r="AF39" s="2"/>
      <c r="AG39" s="2"/>
      <c r="AH39" s="2"/>
    </row>
    <row r="40" spans="28:34" x14ac:dyDescent="0.25">
      <c r="AB40" s="2"/>
      <c r="AC40" s="2"/>
      <c r="AD40" s="2"/>
      <c r="AE40" s="2"/>
      <c r="AF40" s="2"/>
      <c r="AG40" s="2"/>
      <c r="AH40" s="2"/>
    </row>
    <row r="41" spans="28:34" x14ac:dyDescent="0.25">
      <c r="AB41" s="2"/>
      <c r="AC41" s="2"/>
      <c r="AD41" s="2"/>
      <c r="AE41" s="2"/>
      <c r="AF41" s="2"/>
      <c r="AG41" s="2"/>
      <c r="AH41" s="2"/>
    </row>
    <row r="42" spans="28:34" x14ac:dyDescent="0.25">
      <c r="AB42" s="2"/>
      <c r="AC42" s="2"/>
      <c r="AD42" s="2"/>
      <c r="AE42" s="2"/>
      <c r="AF42" s="2"/>
      <c r="AG42" s="2"/>
      <c r="AH42" s="2"/>
    </row>
    <row r="43" spans="28:34" x14ac:dyDescent="0.25">
      <c r="AD43" s="2"/>
      <c r="AE43" s="2"/>
      <c r="AF43" s="2"/>
      <c r="AG43" s="2"/>
      <c r="AH43" s="2"/>
    </row>
  </sheetData>
  <mergeCells count="31">
    <mergeCell ref="N24:O24"/>
    <mergeCell ref="N25:O31"/>
    <mergeCell ref="N13:O13"/>
    <mergeCell ref="N14:O14"/>
    <mergeCell ref="N23:O23"/>
    <mergeCell ref="N15:O15"/>
    <mergeCell ref="N16:O16"/>
    <mergeCell ref="N17:O17"/>
    <mergeCell ref="N18:O18"/>
    <mergeCell ref="G19:H19"/>
    <mergeCell ref="G20:H20"/>
    <mergeCell ref="G21:H21"/>
    <mergeCell ref="N20:O20"/>
    <mergeCell ref="N21:O21"/>
    <mergeCell ref="N19:O19"/>
    <mergeCell ref="D13:E13"/>
    <mergeCell ref="H13:I13"/>
    <mergeCell ref="J2:J3"/>
    <mergeCell ref="I2:I3"/>
    <mergeCell ref="H2:H3"/>
    <mergeCell ref="G2:G3"/>
    <mergeCell ref="E2:E3"/>
    <mergeCell ref="D2:D3"/>
    <mergeCell ref="C2:C3"/>
    <mergeCell ref="F2:F3"/>
    <mergeCell ref="V3:Y3"/>
    <mergeCell ref="AE3:AH3"/>
    <mergeCell ref="D12:I12"/>
    <mergeCell ref="K2:N2"/>
    <mergeCell ref="O2:R2"/>
    <mergeCell ref="N12:O1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3CDE-9CF4-4F05-BBBE-4DD7F81AF31A}">
  <sheetPr>
    <tabColor rgb="FFCC99FF"/>
  </sheetPr>
  <dimension ref="C2:M8"/>
  <sheetViews>
    <sheetView topLeftCell="B1" zoomScale="115" zoomScaleNormal="115" workbookViewId="0">
      <selection activeCell="F8" sqref="F8"/>
    </sheetView>
  </sheetViews>
  <sheetFormatPr defaultColWidth="8.85546875" defaultRowHeight="15" x14ac:dyDescent="0.25"/>
  <cols>
    <col min="1" max="1" width="8.85546875" style="2"/>
    <col min="2" max="2" width="8.85546875" style="2" customWidth="1"/>
    <col min="3" max="3" width="11.140625" style="2" bestFit="1" customWidth="1"/>
    <col min="4" max="10" width="11.140625" style="2" customWidth="1"/>
    <col min="11" max="11" width="11.28515625" style="2" customWidth="1"/>
    <col min="12" max="12" width="11.140625" style="2" customWidth="1"/>
    <col min="13" max="13" width="11.28515625" style="2" customWidth="1"/>
    <col min="14" max="16384" width="8.85546875" style="2"/>
  </cols>
  <sheetData>
    <row r="2" spans="3:13" ht="18" x14ac:dyDescent="0.25">
      <c r="D2" s="48" t="s">
        <v>54</v>
      </c>
      <c r="E2" s="48"/>
      <c r="F2" s="48"/>
      <c r="G2" s="48"/>
      <c r="H2" s="48"/>
      <c r="I2" s="74">
        <f>4*PI()*10^-7</f>
        <v>1.2566370614359173E-6</v>
      </c>
      <c r="J2" s="74"/>
      <c r="K2" s="74"/>
      <c r="L2" s="74"/>
      <c r="M2" s="74"/>
    </row>
    <row r="3" spans="3:13" ht="18" x14ac:dyDescent="0.25">
      <c r="D3" s="75" t="s">
        <v>50</v>
      </c>
      <c r="E3" s="75"/>
      <c r="F3" s="75" t="s">
        <v>51</v>
      </c>
      <c r="G3" s="75"/>
      <c r="H3" s="75" t="s">
        <v>11</v>
      </c>
      <c r="I3" s="75"/>
      <c r="J3" s="75" t="s">
        <v>52</v>
      </c>
      <c r="K3" s="75"/>
      <c r="L3" s="75" t="s">
        <v>29</v>
      </c>
      <c r="M3" s="75"/>
    </row>
    <row r="4" spans="3:13" x14ac:dyDescent="0.25">
      <c r="D4" s="35" t="s">
        <v>31</v>
      </c>
      <c r="E4" s="34" t="s">
        <v>14</v>
      </c>
      <c r="F4" s="35" t="s">
        <v>31</v>
      </c>
      <c r="G4" s="34" t="s">
        <v>14</v>
      </c>
      <c r="H4" s="35" t="s">
        <v>31</v>
      </c>
      <c r="I4" s="34" t="s">
        <v>14</v>
      </c>
      <c r="J4" s="35" t="s">
        <v>31</v>
      </c>
      <c r="K4" s="34" t="s">
        <v>14</v>
      </c>
      <c r="L4" s="35" t="s">
        <v>31</v>
      </c>
      <c r="M4" s="34" t="s">
        <v>14</v>
      </c>
    </row>
    <row r="5" spans="3:13" ht="18" x14ac:dyDescent="0.25">
      <c r="C5" s="33" t="s">
        <v>53</v>
      </c>
      <c r="D5" s="30">
        <f>ω!Q50</f>
        <v>1.0917999077141359E-6</v>
      </c>
      <c r="E5" s="30">
        <f>ω!T50</f>
        <v>1.1003553416476577E-6</v>
      </c>
      <c r="F5" s="30">
        <f>i0!J141</f>
        <v>1.2197581109194996E-6</v>
      </c>
      <c r="G5" s="30">
        <f>i0!M141</f>
        <v>1.2021754391057407E-6</v>
      </c>
      <c r="H5" s="30">
        <f>n!D14</f>
        <v>1.1039450756471434E-6</v>
      </c>
      <c r="I5" s="30">
        <f>n!G14</f>
        <v>1.0841764570105434E-6</v>
      </c>
      <c r="J5" s="30">
        <f>S!AC7</f>
        <v>1.410612322348944E-6</v>
      </c>
      <c r="K5" s="30">
        <f>S!AF7</f>
        <v>1.3821329595651333E-6</v>
      </c>
      <c r="L5" s="30">
        <f>'cos(θ)'!E15</f>
        <v>9.5435300249692829E-7</v>
      </c>
      <c r="M5" s="30">
        <f>'cos(θ)'!I15</f>
        <v>9.0609108661400154E-7</v>
      </c>
    </row>
    <row r="6" spans="3:13" ht="18" x14ac:dyDescent="0.25">
      <c r="C6" s="33" t="s">
        <v>55</v>
      </c>
      <c r="D6" s="30">
        <f>ω!Q51</f>
        <v>4.4000000000000005E-9</v>
      </c>
      <c r="E6" s="30">
        <f>ω!T51</f>
        <v>4.4000000000000005E-9</v>
      </c>
      <c r="F6" s="30">
        <f>i0!J142</f>
        <v>8.4000000000000008E-9</v>
      </c>
      <c r="G6" s="30">
        <f>i0!M142</f>
        <v>1.4499999999999999E-8</v>
      </c>
      <c r="H6" s="30">
        <f>n!D15</f>
        <v>8.3000000000000015E-9</v>
      </c>
      <c r="I6" s="30">
        <f>n!G15</f>
        <v>2.1000000000000002E-9</v>
      </c>
      <c r="J6" s="30">
        <f>S!AC8</f>
        <v>2.297E-7</v>
      </c>
      <c r="K6" s="30">
        <f>S!AF8</f>
        <v>2.1789999999999999E-7</v>
      </c>
      <c r="L6" s="30">
        <f>'cos(θ)'!E16</f>
        <v>1.3400000000000001E-8</v>
      </c>
      <c r="M6" s="30">
        <f>'cos(θ)'!I16</f>
        <v>3.25E-8</v>
      </c>
    </row>
    <row r="7" spans="3:13" ht="18" x14ac:dyDescent="0.25">
      <c r="C7" s="33" t="s">
        <v>56</v>
      </c>
      <c r="D7" s="32">
        <f>D6/D5</f>
        <v>4.0300424729034189E-3</v>
      </c>
      <c r="E7" s="32">
        <f>E6/E5</f>
        <v>3.9987082658330154E-3</v>
      </c>
      <c r="F7" s="32">
        <f t="shared" ref="F7:M7" si="0">F6/F5</f>
        <v>6.886611308259934E-3</v>
      </c>
      <c r="G7" s="32">
        <f t="shared" si="0"/>
        <v>1.2061467509921911E-2</v>
      </c>
      <c r="H7" s="32">
        <f t="shared" si="0"/>
        <v>7.5184899893089886E-3</v>
      </c>
      <c r="I7" s="32">
        <f t="shared" si="0"/>
        <v>1.936954069073258E-3</v>
      </c>
      <c r="J7" s="32">
        <f t="shared" si="0"/>
        <v>0.16283708596668489</v>
      </c>
      <c r="K7" s="32">
        <f t="shared" si="0"/>
        <v>0.15765487574260501</v>
      </c>
      <c r="L7" s="32">
        <f t="shared" si="0"/>
        <v>1.4040926119518475E-2</v>
      </c>
      <c r="M7" s="32">
        <f t="shared" si="0"/>
        <v>3.5868358579102907E-2</v>
      </c>
    </row>
    <row r="8" spans="3:13" x14ac:dyDescent="0.25">
      <c r="C8" s="33" t="s">
        <v>57</v>
      </c>
      <c r="D8" s="32">
        <f>ABS(D5-I$2)/I$2</f>
        <v>0.13117323910010062</v>
      </c>
      <c r="E8" s="32">
        <f>ABS(E5-I$2)/I$2</f>
        <v>0.12436504109601997</v>
      </c>
      <c r="F8" s="32">
        <f>ABS(F5-I$2)/I$2</f>
        <v>2.9347336353646392E-2</v>
      </c>
      <c r="G8" s="32">
        <f>ABS(G5-I$2)/I$2</f>
        <v>4.3339182013257767E-2</v>
      </c>
      <c r="H8" s="32">
        <f>ABS(H5-I$2)/I$2</f>
        <v>0.121508421544004</v>
      </c>
      <c r="I8" s="32">
        <f>ABS(I5-I$2)/I$2</f>
        <v>0.13723978841457127</v>
      </c>
      <c r="J8" s="32">
        <f>ABS(J5-I$2)/I$2</f>
        <v>0.12252961944086253</v>
      </c>
      <c r="K8" s="32">
        <f>ABS(K5-I$2)/I$2</f>
        <v>9.9866462625108329E-2</v>
      </c>
      <c r="L8" s="32">
        <f>ABS(L5-I$2)/I$2</f>
        <v>0.24055001099010964</v>
      </c>
      <c r="M8" s="32">
        <f>ABS(M5-I$2)/I$2</f>
        <v>0.27895562336937491</v>
      </c>
    </row>
  </sheetData>
  <mergeCells count="7">
    <mergeCell ref="D2:H2"/>
    <mergeCell ref="I2:M2"/>
    <mergeCell ref="D3:E3"/>
    <mergeCell ref="F3:G3"/>
    <mergeCell ref="H3:I3"/>
    <mergeCell ref="J3:K3"/>
    <mergeCell ref="L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ω</vt:lpstr>
      <vt:lpstr>i0</vt:lpstr>
      <vt:lpstr>n</vt:lpstr>
      <vt:lpstr>S</vt:lpstr>
      <vt:lpstr>cos(θ)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Sérgio Sousa</cp:lastModifiedBy>
  <dcterms:created xsi:type="dcterms:W3CDTF">2023-02-28T15:52:19Z</dcterms:created>
  <dcterms:modified xsi:type="dcterms:W3CDTF">2023-03-06T19:27:43Z</dcterms:modified>
</cp:coreProperties>
</file>