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9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.xml" ContentType="application/vnd.openxmlformats-officedocument.drawing+xml"/>
  <Override PartName="/xl/charts/chart40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1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pilarteixeira/Documents/UNI/2ºANO/2ºSEMESTRE/LABS II/016/T4/"/>
    </mc:Choice>
  </mc:AlternateContent>
  <xr:revisionPtr revIDLastSave="0" documentId="13_ncr:1_{E4D01992-4E65-0A4A-AB4B-FEED5D516D5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arte 1" sheetId="1" r:id="rId1"/>
    <sheet name="Parte 2" sheetId="3" r:id="rId2"/>
    <sheet name="Parte 3" sheetId="4" r:id="rId3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'Parte 1'!$K$167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5" i="3" l="1"/>
  <c r="AS6" i="3"/>
  <c r="AS7" i="3"/>
  <c r="AS8" i="3"/>
  <c r="AS9" i="3"/>
  <c r="AS10" i="3"/>
  <c r="AS11" i="3"/>
  <c r="M34" i="4"/>
  <c r="M33" i="4"/>
  <c r="M36" i="4"/>
  <c r="H5" i="4"/>
  <c r="H6" i="4"/>
  <c r="H7" i="4"/>
  <c r="H8" i="4"/>
  <c r="H9" i="4"/>
  <c r="H10" i="4"/>
  <c r="H4" i="4"/>
  <c r="L20" i="4" a="1"/>
  <c r="L20" i="4" s="1"/>
  <c r="G5" i="4"/>
  <c r="G6" i="4"/>
  <c r="G7" i="4"/>
  <c r="G8" i="4"/>
  <c r="G9" i="4"/>
  <c r="G10" i="4"/>
  <c r="G4" i="4"/>
  <c r="D5" i="4"/>
  <c r="D6" i="4"/>
  <c r="D7" i="4"/>
  <c r="D8" i="4"/>
  <c r="D9" i="4"/>
  <c r="D10" i="4"/>
  <c r="D4" i="4"/>
  <c r="E10" i="4"/>
  <c r="E5" i="4"/>
  <c r="E6" i="4"/>
  <c r="E7" i="4"/>
  <c r="E8" i="4"/>
  <c r="E9" i="4"/>
  <c r="E4" i="4"/>
  <c r="AV6" i="3"/>
  <c r="AV7" i="3"/>
  <c r="AV8" i="3"/>
  <c r="AV9" i="3"/>
  <c r="AV5" i="3"/>
  <c r="AU6" i="3"/>
  <c r="AU7" i="3"/>
  <c r="AU8" i="3"/>
  <c r="AU9" i="3"/>
  <c r="AU5" i="3"/>
  <c r="AS42" i="3"/>
  <c r="AS32" i="3" a="1"/>
  <c r="AS32" i="3" s="1"/>
  <c r="S100" i="3"/>
  <c r="R100" i="3"/>
  <c r="Q100" i="3"/>
  <c r="P100" i="3"/>
  <c r="O101" i="3"/>
  <c r="O102" i="3"/>
  <c r="O103" i="3"/>
  <c r="O104" i="3"/>
  <c r="O105" i="3"/>
  <c r="O106" i="3"/>
  <c r="O100" i="3"/>
  <c r="N101" i="3"/>
  <c r="N102" i="3"/>
  <c r="N103" i="3"/>
  <c r="N104" i="3"/>
  <c r="N105" i="3"/>
  <c r="N106" i="3"/>
  <c r="N100" i="3"/>
  <c r="M101" i="3"/>
  <c r="M102" i="3"/>
  <c r="M103" i="3"/>
  <c r="M104" i="3"/>
  <c r="M105" i="3"/>
  <c r="M106" i="3"/>
  <c r="M100" i="3"/>
  <c r="L100" i="3"/>
  <c r="K101" i="3"/>
  <c r="K102" i="3"/>
  <c r="K103" i="3"/>
  <c r="K104" i="3"/>
  <c r="K105" i="3"/>
  <c r="K106" i="3"/>
  <c r="K100" i="3"/>
  <c r="AR6" i="3"/>
  <c r="AR7" i="3"/>
  <c r="AR8" i="3"/>
  <c r="AR9" i="3"/>
  <c r="AR10" i="3"/>
  <c r="AR11" i="3"/>
  <c r="AR5" i="3"/>
  <c r="AQ11" i="3"/>
  <c r="AQ7" i="3"/>
  <c r="AQ8" i="3"/>
  <c r="AQ9" i="3"/>
  <c r="AQ10" i="3"/>
  <c r="AQ6" i="3"/>
  <c r="C17" i="3"/>
  <c r="AN168" i="1"/>
  <c r="AN164" i="1"/>
  <c r="AN167" i="1"/>
  <c r="AN163" i="1"/>
  <c r="AN169" i="1"/>
  <c r="AN165" i="1"/>
  <c r="R161" i="1"/>
  <c r="R159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132" i="1"/>
  <c r="M35" i="4" l="1"/>
  <c r="M22" i="4"/>
  <c r="M21" i="4"/>
  <c r="M20" i="4"/>
  <c r="L22" i="4"/>
  <c r="L21" i="4"/>
  <c r="AT34" i="3"/>
  <c r="AS34" i="3"/>
  <c r="AT32" i="3"/>
  <c r="AT33" i="3"/>
  <c r="AS33" i="3"/>
  <c r="AH173" i="1" a="1"/>
  <c r="AH173" i="1" s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132" i="1"/>
  <c r="AP194" i="1"/>
  <c r="AP195" i="1"/>
  <c r="AP196" i="1"/>
  <c r="AP197" i="1"/>
  <c r="AP198" i="1"/>
  <c r="AP199" i="1"/>
  <c r="AP200" i="1"/>
  <c r="AP184" i="1"/>
  <c r="AP185" i="1"/>
  <c r="AP186" i="1"/>
  <c r="AP187" i="1"/>
  <c r="AP188" i="1"/>
  <c r="AP189" i="1"/>
  <c r="AP190" i="1"/>
  <c r="AP191" i="1"/>
  <c r="AP192" i="1"/>
  <c r="AP193" i="1"/>
  <c r="AP177" i="1"/>
  <c r="AP178" i="1"/>
  <c r="AP179" i="1"/>
  <c r="AP180" i="1"/>
  <c r="AP181" i="1"/>
  <c r="AP182" i="1"/>
  <c r="AP183" i="1"/>
  <c r="AP166" i="1"/>
  <c r="AP167" i="1"/>
  <c r="AP168" i="1"/>
  <c r="AP169" i="1"/>
  <c r="AP170" i="1"/>
  <c r="AP171" i="1"/>
  <c r="AP172" i="1"/>
  <c r="AP173" i="1"/>
  <c r="AP174" i="1"/>
  <c r="AP175" i="1"/>
  <c r="AP176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32" i="1"/>
  <c r="AH157" i="1" a="1"/>
  <c r="AH157" i="1" s="1"/>
  <c r="H133" i="1"/>
  <c r="H134" i="1"/>
  <c r="H135" i="1"/>
  <c r="I135" i="1" s="1"/>
  <c r="H136" i="1"/>
  <c r="I136" i="1" s="1"/>
  <c r="H137" i="1"/>
  <c r="I137" i="1" s="1"/>
  <c r="H138" i="1"/>
  <c r="H139" i="1"/>
  <c r="H140" i="1"/>
  <c r="H141" i="1"/>
  <c r="H142" i="1"/>
  <c r="H143" i="1"/>
  <c r="I143" i="1" s="1"/>
  <c r="H144" i="1"/>
  <c r="I144" i="1" s="1"/>
  <c r="H145" i="1"/>
  <c r="I145" i="1" s="1"/>
  <c r="H146" i="1"/>
  <c r="H147" i="1"/>
  <c r="H148" i="1"/>
  <c r="I148" i="1" s="1"/>
  <c r="H149" i="1"/>
  <c r="H150" i="1"/>
  <c r="H151" i="1"/>
  <c r="I151" i="1" s="1"/>
  <c r="H152" i="1"/>
  <c r="I152" i="1" s="1"/>
  <c r="H153" i="1"/>
  <c r="I153" i="1" s="1"/>
  <c r="H154" i="1"/>
  <c r="H155" i="1"/>
  <c r="H156" i="1"/>
  <c r="H157" i="1"/>
  <c r="H158" i="1"/>
  <c r="H159" i="1"/>
  <c r="I159" i="1" s="1"/>
  <c r="H160" i="1"/>
  <c r="I160" i="1" s="1"/>
  <c r="H161" i="1"/>
  <c r="I161" i="1" s="1"/>
  <c r="H162" i="1"/>
  <c r="H163" i="1"/>
  <c r="H164" i="1"/>
  <c r="H165" i="1"/>
  <c r="H166" i="1"/>
  <c r="H167" i="1"/>
  <c r="I167" i="1" s="1"/>
  <c r="H168" i="1"/>
  <c r="I168" i="1" s="1"/>
  <c r="H169" i="1"/>
  <c r="I169" i="1" s="1"/>
  <c r="H170" i="1"/>
  <c r="H171" i="1"/>
  <c r="H172" i="1"/>
  <c r="H173" i="1"/>
  <c r="H174" i="1"/>
  <c r="H175" i="1"/>
  <c r="I175" i="1" s="1"/>
  <c r="H176" i="1"/>
  <c r="I176" i="1" s="1"/>
  <c r="H177" i="1"/>
  <c r="I177" i="1" s="1"/>
  <c r="H178" i="1"/>
  <c r="I178" i="1" s="1"/>
  <c r="H179" i="1"/>
  <c r="H180" i="1"/>
  <c r="H181" i="1"/>
  <c r="H182" i="1"/>
  <c r="H183" i="1"/>
  <c r="I183" i="1" s="1"/>
  <c r="H184" i="1"/>
  <c r="I184" i="1" s="1"/>
  <c r="H185" i="1"/>
  <c r="I185" i="1" s="1"/>
  <c r="H186" i="1"/>
  <c r="I186" i="1" s="1"/>
  <c r="H187" i="1"/>
  <c r="H188" i="1"/>
  <c r="H189" i="1"/>
  <c r="H190" i="1"/>
  <c r="H191" i="1"/>
  <c r="I191" i="1" s="1"/>
  <c r="H192" i="1"/>
  <c r="I192" i="1" s="1"/>
  <c r="H193" i="1"/>
  <c r="I193" i="1" s="1"/>
  <c r="H194" i="1"/>
  <c r="I194" i="1" s="1"/>
  <c r="H195" i="1"/>
  <c r="H196" i="1"/>
  <c r="H197" i="1"/>
  <c r="H198" i="1"/>
  <c r="H199" i="1"/>
  <c r="I199" i="1" s="1"/>
  <c r="H200" i="1"/>
  <c r="I200" i="1" s="1"/>
  <c r="H132" i="1"/>
  <c r="L173" i="1" a="1"/>
  <c r="L173" i="1" s="1"/>
  <c r="I133" i="1"/>
  <c r="I134" i="1"/>
  <c r="I138" i="1"/>
  <c r="I139" i="1"/>
  <c r="I140" i="1"/>
  <c r="I141" i="1"/>
  <c r="I142" i="1"/>
  <c r="I146" i="1"/>
  <c r="I147" i="1"/>
  <c r="I149" i="1"/>
  <c r="I150" i="1"/>
  <c r="I154" i="1"/>
  <c r="I155" i="1"/>
  <c r="I156" i="1"/>
  <c r="I157" i="1"/>
  <c r="I158" i="1"/>
  <c r="I162" i="1"/>
  <c r="I163" i="1"/>
  <c r="I164" i="1"/>
  <c r="I165" i="1"/>
  <c r="I166" i="1"/>
  <c r="I170" i="1"/>
  <c r="I171" i="1"/>
  <c r="I172" i="1"/>
  <c r="I173" i="1"/>
  <c r="I174" i="1"/>
  <c r="I179" i="1"/>
  <c r="I180" i="1"/>
  <c r="I181" i="1"/>
  <c r="I182" i="1"/>
  <c r="I187" i="1"/>
  <c r="I188" i="1"/>
  <c r="I189" i="1"/>
  <c r="I190" i="1"/>
  <c r="I195" i="1"/>
  <c r="I196" i="1"/>
  <c r="I197" i="1"/>
  <c r="I198" i="1"/>
  <c r="I132" i="1"/>
  <c r="C200" i="1"/>
  <c r="E200" i="1" s="1"/>
  <c r="C199" i="1"/>
  <c r="E199" i="1" s="1"/>
  <c r="C198" i="1"/>
  <c r="E198" i="1" s="1"/>
  <c r="C197" i="1"/>
  <c r="E197" i="1" s="1"/>
  <c r="C196" i="1"/>
  <c r="E196" i="1" s="1"/>
  <c r="C195" i="1"/>
  <c r="E195" i="1" s="1"/>
  <c r="D194" i="1"/>
  <c r="C194" i="1"/>
  <c r="D193" i="1"/>
  <c r="C193" i="1"/>
  <c r="E193" i="1" s="1"/>
  <c r="D192" i="1"/>
  <c r="C192" i="1"/>
  <c r="D191" i="1"/>
  <c r="E191" i="1" s="1"/>
  <c r="C191" i="1"/>
  <c r="C190" i="1"/>
  <c r="E190" i="1" s="1"/>
  <c r="C189" i="1"/>
  <c r="E189" i="1" s="1"/>
  <c r="C188" i="1"/>
  <c r="E188" i="1" s="1"/>
  <c r="C187" i="1"/>
  <c r="E187" i="1" s="1"/>
  <c r="D186" i="1"/>
  <c r="C186" i="1"/>
  <c r="D185" i="1"/>
  <c r="E185" i="1" s="1"/>
  <c r="C185" i="1"/>
  <c r="D184" i="1"/>
  <c r="E184" i="1" s="1"/>
  <c r="C184" i="1"/>
  <c r="D183" i="1"/>
  <c r="C183" i="1"/>
  <c r="D182" i="1"/>
  <c r="C182" i="1"/>
  <c r="D181" i="1"/>
  <c r="C181" i="1"/>
  <c r="E181" i="1" s="1"/>
  <c r="C180" i="1"/>
  <c r="E180" i="1" s="1"/>
  <c r="D179" i="1"/>
  <c r="C179" i="1"/>
  <c r="D178" i="1"/>
  <c r="E178" i="1" s="1"/>
  <c r="C178" i="1"/>
  <c r="D177" i="1"/>
  <c r="C177" i="1"/>
  <c r="D176" i="1"/>
  <c r="E176" i="1" s="1"/>
  <c r="C176" i="1"/>
  <c r="D175" i="1"/>
  <c r="E175" i="1" s="1"/>
  <c r="C175" i="1"/>
  <c r="D174" i="1"/>
  <c r="C174" i="1"/>
  <c r="D173" i="1"/>
  <c r="C173" i="1"/>
  <c r="D172" i="1"/>
  <c r="E172" i="1" s="1"/>
  <c r="C172" i="1"/>
  <c r="D171" i="1"/>
  <c r="E171" i="1" s="1"/>
  <c r="C171" i="1"/>
  <c r="D170" i="1"/>
  <c r="E170" i="1" s="1"/>
  <c r="C170" i="1"/>
  <c r="D169" i="1"/>
  <c r="E169" i="1" s="1"/>
  <c r="C169" i="1"/>
  <c r="D168" i="1"/>
  <c r="C168" i="1"/>
  <c r="D167" i="1"/>
  <c r="C167" i="1"/>
  <c r="D166" i="1"/>
  <c r="E166" i="1" s="1"/>
  <c r="C166" i="1"/>
  <c r="D165" i="1"/>
  <c r="E165" i="1" s="1"/>
  <c r="C165" i="1"/>
  <c r="D164" i="1"/>
  <c r="C164" i="1"/>
  <c r="D163" i="1"/>
  <c r="C163" i="1"/>
  <c r="D162" i="1"/>
  <c r="C162" i="1"/>
  <c r="E162" i="1" s="1"/>
  <c r="D161" i="1"/>
  <c r="E161" i="1" s="1"/>
  <c r="C161" i="1"/>
  <c r="D160" i="1"/>
  <c r="E160" i="1" s="1"/>
  <c r="C160" i="1"/>
  <c r="D159" i="1"/>
  <c r="C159" i="1"/>
  <c r="D158" i="1"/>
  <c r="C158" i="1"/>
  <c r="D157" i="1"/>
  <c r="E157" i="1" s="1"/>
  <c r="C157" i="1"/>
  <c r="D156" i="1"/>
  <c r="E156" i="1" s="1"/>
  <c r="C156" i="1"/>
  <c r="D155" i="1"/>
  <c r="C155" i="1"/>
  <c r="D154" i="1"/>
  <c r="E154" i="1" s="1"/>
  <c r="C154" i="1"/>
  <c r="D153" i="1"/>
  <c r="C153" i="1"/>
  <c r="D152" i="1"/>
  <c r="C152" i="1"/>
  <c r="D151" i="1"/>
  <c r="E151" i="1" s="1"/>
  <c r="C151" i="1"/>
  <c r="D150" i="1"/>
  <c r="E150" i="1" s="1"/>
  <c r="C150" i="1"/>
  <c r="D149" i="1"/>
  <c r="C149" i="1"/>
  <c r="D148" i="1"/>
  <c r="C148" i="1"/>
  <c r="D147" i="1"/>
  <c r="E147" i="1" s="1"/>
  <c r="C147" i="1"/>
  <c r="E146" i="1"/>
  <c r="D146" i="1"/>
  <c r="C146" i="1"/>
  <c r="D145" i="1"/>
  <c r="E145" i="1" s="1"/>
  <c r="C145" i="1"/>
  <c r="D144" i="1"/>
  <c r="C144" i="1"/>
  <c r="D143" i="1"/>
  <c r="C143" i="1"/>
  <c r="D142" i="1"/>
  <c r="E142" i="1" s="1"/>
  <c r="C142" i="1"/>
  <c r="D141" i="1"/>
  <c r="E141" i="1" s="1"/>
  <c r="C141" i="1"/>
  <c r="D140" i="1"/>
  <c r="C140" i="1"/>
  <c r="D139" i="1"/>
  <c r="C139" i="1"/>
  <c r="D138" i="1"/>
  <c r="C138" i="1"/>
  <c r="E138" i="1" s="1"/>
  <c r="D137" i="1"/>
  <c r="C137" i="1"/>
  <c r="D136" i="1"/>
  <c r="E136" i="1" s="1"/>
  <c r="C136" i="1"/>
  <c r="D135" i="1"/>
  <c r="E135" i="1" s="1"/>
  <c r="C135" i="1"/>
  <c r="D134" i="1"/>
  <c r="C134" i="1"/>
  <c r="D133" i="1"/>
  <c r="C133" i="1"/>
  <c r="D132" i="1"/>
  <c r="E132" i="1" s="1"/>
  <c r="E140" i="1" l="1"/>
  <c r="E144" i="1"/>
  <c r="E155" i="1"/>
  <c r="E159" i="1"/>
  <c r="E174" i="1"/>
  <c r="E133" i="1"/>
  <c r="E137" i="1"/>
  <c r="E148" i="1"/>
  <c r="E152" i="1"/>
  <c r="E163" i="1"/>
  <c r="E167" i="1"/>
  <c r="E182" i="1"/>
  <c r="E186" i="1"/>
  <c r="E192" i="1"/>
  <c r="E134" i="1"/>
  <c r="E149" i="1"/>
  <c r="E153" i="1"/>
  <c r="E164" i="1"/>
  <c r="E168" i="1"/>
  <c r="E179" i="1"/>
  <c r="E183" i="1"/>
  <c r="E139" i="1"/>
  <c r="E143" i="1"/>
  <c r="E158" i="1"/>
  <c r="E173" i="1"/>
  <c r="E177" i="1"/>
  <c r="E194" i="1"/>
  <c r="L159" i="1" l="1" a="1"/>
  <c r="L159" i="1" s="1"/>
  <c r="L5" i="4"/>
  <c r="L6" i="4"/>
  <c r="L7" i="4"/>
  <c r="L8" i="4"/>
  <c r="L9" i="4"/>
  <c r="L10" i="4"/>
  <c r="L4" i="4"/>
  <c r="K4" i="4"/>
  <c r="H105" i="3"/>
  <c r="H106" i="3"/>
  <c r="J106" i="3" s="1"/>
  <c r="G106" i="3"/>
  <c r="E106" i="3"/>
  <c r="D106" i="3"/>
  <c r="G105" i="3"/>
  <c r="E105" i="3"/>
  <c r="D105" i="3"/>
  <c r="J104" i="3"/>
  <c r="G104" i="3"/>
  <c r="E104" i="3"/>
  <c r="D104" i="3"/>
  <c r="J103" i="3"/>
  <c r="G103" i="3"/>
  <c r="E103" i="3"/>
  <c r="D103" i="3"/>
  <c r="J102" i="3"/>
  <c r="G102" i="3"/>
  <c r="E102" i="3"/>
  <c r="D102" i="3"/>
  <c r="J101" i="3"/>
  <c r="G101" i="3"/>
  <c r="U101" i="3" s="1"/>
  <c r="E101" i="3"/>
  <c r="D101" i="3"/>
  <c r="J100" i="3"/>
  <c r="E100" i="3"/>
  <c r="D100" i="3"/>
  <c r="J4" i="4" l="1"/>
  <c r="T106" i="3"/>
  <c r="U104" i="3"/>
  <c r="J105" i="3"/>
  <c r="T103" i="3"/>
  <c r="T105" i="3"/>
  <c r="D113" i="3" a="1"/>
  <c r="D113" i="3" s="1"/>
  <c r="R114" i="3" a="1"/>
  <c r="R114" i="3" s="1"/>
  <c r="U103" i="3"/>
  <c r="T104" i="3"/>
  <c r="V104" i="3" s="1"/>
  <c r="T102" i="3"/>
  <c r="U106" i="3"/>
  <c r="V106" i="3" s="1"/>
  <c r="U102" i="3"/>
  <c r="U105" i="3"/>
  <c r="V105" i="3" s="1"/>
  <c r="F137" i="1"/>
  <c r="G137" i="1" s="1"/>
  <c r="F145" i="1"/>
  <c r="G145" i="1" s="1"/>
  <c r="F153" i="1"/>
  <c r="G153" i="1" s="1"/>
  <c r="F161" i="1"/>
  <c r="G161" i="1" s="1"/>
  <c r="F169" i="1"/>
  <c r="G169" i="1" s="1"/>
  <c r="F177" i="1"/>
  <c r="G177" i="1" s="1"/>
  <c r="F185" i="1"/>
  <c r="G185" i="1" s="1"/>
  <c r="F193" i="1"/>
  <c r="G193" i="1" s="1"/>
  <c r="F132" i="1"/>
  <c r="G132" i="1" s="1"/>
  <c r="F138" i="1"/>
  <c r="G138" i="1" s="1"/>
  <c r="F146" i="1"/>
  <c r="G146" i="1" s="1"/>
  <c r="F154" i="1"/>
  <c r="G154" i="1" s="1"/>
  <c r="F162" i="1"/>
  <c r="G162" i="1" s="1"/>
  <c r="F170" i="1"/>
  <c r="G170" i="1" s="1"/>
  <c r="F178" i="1"/>
  <c r="G178" i="1" s="1"/>
  <c r="F186" i="1"/>
  <c r="G186" i="1" s="1"/>
  <c r="F194" i="1"/>
  <c r="G194" i="1" s="1"/>
  <c r="F139" i="1"/>
  <c r="G139" i="1" s="1"/>
  <c r="F147" i="1"/>
  <c r="G147" i="1" s="1"/>
  <c r="F155" i="1"/>
  <c r="G155" i="1" s="1"/>
  <c r="F163" i="1"/>
  <c r="G163" i="1" s="1"/>
  <c r="F171" i="1"/>
  <c r="G171" i="1" s="1"/>
  <c r="F179" i="1"/>
  <c r="G179" i="1" s="1"/>
  <c r="F187" i="1"/>
  <c r="G187" i="1" s="1"/>
  <c r="F195" i="1"/>
  <c r="G195" i="1" s="1"/>
  <c r="F140" i="1"/>
  <c r="G140" i="1" s="1"/>
  <c r="F148" i="1"/>
  <c r="G148" i="1" s="1"/>
  <c r="F156" i="1"/>
  <c r="G156" i="1" s="1"/>
  <c r="F164" i="1"/>
  <c r="G164" i="1" s="1"/>
  <c r="F172" i="1"/>
  <c r="G172" i="1" s="1"/>
  <c r="F180" i="1"/>
  <c r="G180" i="1" s="1"/>
  <c r="F188" i="1"/>
  <c r="G188" i="1" s="1"/>
  <c r="F196" i="1"/>
  <c r="G196" i="1" s="1"/>
  <c r="F133" i="1"/>
  <c r="G133" i="1" s="1"/>
  <c r="F141" i="1"/>
  <c r="G141" i="1" s="1"/>
  <c r="F149" i="1"/>
  <c r="G149" i="1" s="1"/>
  <c r="F157" i="1"/>
  <c r="G157" i="1" s="1"/>
  <c r="F165" i="1"/>
  <c r="G165" i="1" s="1"/>
  <c r="F173" i="1"/>
  <c r="G173" i="1" s="1"/>
  <c r="F181" i="1"/>
  <c r="G181" i="1" s="1"/>
  <c r="F189" i="1"/>
  <c r="G189" i="1" s="1"/>
  <c r="F197" i="1"/>
  <c r="G197" i="1" s="1"/>
  <c r="F134" i="1"/>
  <c r="G134" i="1" s="1"/>
  <c r="F142" i="1"/>
  <c r="G142" i="1" s="1"/>
  <c r="F150" i="1"/>
  <c r="G150" i="1" s="1"/>
  <c r="F158" i="1"/>
  <c r="G158" i="1" s="1"/>
  <c r="F166" i="1"/>
  <c r="G166" i="1" s="1"/>
  <c r="F174" i="1"/>
  <c r="G174" i="1" s="1"/>
  <c r="F182" i="1"/>
  <c r="G182" i="1" s="1"/>
  <c r="F190" i="1"/>
  <c r="G190" i="1" s="1"/>
  <c r="F198" i="1"/>
  <c r="G198" i="1" s="1"/>
  <c r="F135" i="1"/>
  <c r="G135" i="1" s="1"/>
  <c r="F143" i="1"/>
  <c r="G143" i="1" s="1"/>
  <c r="F151" i="1"/>
  <c r="G151" i="1" s="1"/>
  <c r="F159" i="1"/>
  <c r="G159" i="1" s="1"/>
  <c r="F167" i="1"/>
  <c r="G167" i="1" s="1"/>
  <c r="F175" i="1"/>
  <c r="G175" i="1" s="1"/>
  <c r="F183" i="1"/>
  <c r="G183" i="1" s="1"/>
  <c r="F191" i="1"/>
  <c r="G191" i="1" s="1"/>
  <c r="F199" i="1"/>
  <c r="G199" i="1" s="1"/>
  <c r="F136" i="1"/>
  <c r="G136" i="1" s="1"/>
  <c r="F144" i="1"/>
  <c r="G144" i="1" s="1"/>
  <c r="F152" i="1"/>
  <c r="G152" i="1" s="1"/>
  <c r="F160" i="1"/>
  <c r="G160" i="1" s="1"/>
  <c r="F168" i="1"/>
  <c r="G168" i="1" s="1"/>
  <c r="F176" i="1"/>
  <c r="G176" i="1" s="1"/>
  <c r="F184" i="1"/>
  <c r="G184" i="1" s="1"/>
  <c r="F192" i="1"/>
  <c r="G192" i="1" s="1"/>
  <c r="F200" i="1"/>
  <c r="G200" i="1" s="1"/>
  <c r="T101" i="3"/>
  <c r="V101" i="3" s="1"/>
  <c r="V103" i="3" l="1"/>
  <c r="S116" i="3"/>
  <c r="S114" i="3"/>
  <c r="L101" i="3" s="1"/>
  <c r="R116" i="3"/>
  <c r="E113" i="3"/>
  <c r="D114" i="3"/>
  <c r="E114" i="3"/>
  <c r="D115" i="3"/>
  <c r="V102" i="3"/>
  <c r="E115" i="3"/>
  <c r="R115" i="3"/>
  <c r="S115" i="3"/>
  <c r="L103" i="3"/>
  <c r="L104" i="3"/>
  <c r="L105" i="3"/>
  <c r="L106" i="3"/>
  <c r="P106" i="3" l="1"/>
  <c r="R106" i="3" s="1"/>
  <c r="S106" i="3" s="1"/>
  <c r="P105" i="3"/>
  <c r="Q105" i="3" s="1"/>
  <c r="P103" i="3"/>
  <c r="Q103" i="3" s="1"/>
  <c r="P102" i="3"/>
  <c r="R102" i="3" s="1"/>
  <c r="S102" i="3" s="1"/>
  <c r="P101" i="3"/>
  <c r="R101" i="3" s="1"/>
  <c r="S101" i="3" s="1"/>
  <c r="L102" i="3"/>
  <c r="R105" i="3"/>
  <c r="S105" i="3" s="1"/>
  <c r="P104" i="3"/>
  <c r="H10" i="3"/>
  <c r="H11" i="3"/>
  <c r="C114" i="1"/>
  <c r="C115" i="1"/>
  <c r="C113" i="1"/>
  <c r="C112" i="1"/>
  <c r="C111" i="1"/>
  <c r="C110" i="1"/>
  <c r="C109" i="1"/>
  <c r="C108" i="1"/>
  <c r="C107" i="1"/>
  <c r="C106" i="1"/>
  <c r="C105" i="1"/>
  <c r="C104" i="1"/>
  <c r="D103" i="1"/>
  <c r="C103" i="1"/>
  <c r="C102" i="1"/>
  <c r="C101" i="1"/>
  <c r="C100" i="1"/>
  <c r="C99" i="1"/>
  <c r="C98" i="1"/>
  <c r="C97" i="1"/>
  <c r="D96" i="1"/>
  <c r="C96" i="1"/>
  <c r="D95" i="1"/>
  <c r="C95" i="1"/>
  <c r="D94" i="1"/>
  <c r="C94" i="1"/>
  <c r="D93" i="1"/>
  <c r="C93" i="1"/>
  <c r="C92" i="1"/>
  <c r="C91" i="1"/>
  <c r="C90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C55" i="1"/>
  <c r="D54" i="1"/>
  <c r="C54" i="1"/>
  <c r="D53" i="1"/>
  <c r="C53" i="1"/>
  <c r="C62" i="1"/>
  <c r="D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C35" i="1"/>
  <c r="C34" i="1"/>
  <c r="D36" i="1"/>
  <c r="C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R103" i="3" l="1"/>
  <c r="S103" i="3" s="1"/>
  <c r="Q102" i="3"/>
  <c r="Q106" i="3"/>
  <c r="Q101" i="3"/>
  <c r="R104" i="3"/>
  <c r="S104" i="3" s="1"/>
  <c r="Q104" i="3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7" i="1"/>
  <c r="D6" i="1"/>
  <c r="D3" i="1"/>
  <c r="D5" i="1"/>
  <c r="M8" i="4" l="1"/>
  <c r="M5" i="4"/>
  <c r="M6" i="4"/>
  <c r="M7" i="4"/>
  <c r="M9" i="4"/>
  <c r="M10" i="4"/>
  <c r="M4" i="4"/>
  <c r="M27" i="4"/>
  <c r="M26" i="4"/>
  <c r="K5" i="3"/>
  <c r="K10" i="4"/>
  <c r="K9" i="4"/>
  <c r="K8" i="4"/>
  <c r="K7" i="4"/>
  <c r="M29" i="4"/>
  <c r="K6" i="4"/>
  <c r="M28" i="4"/>
  <c r="K5" i="4"/>
  <c r="O4" i="4"/>
  <c r="C19" i="3"/>
  <c r="K11" i="3"/>
  <c r="J11" i="3"/>
  <c r="G11" i="3"/>
  <c r="E11" i="3"/>
  <c r="D11" i="3"/>
  <c r="K10" i="3"/>
  <c r="J10" i="3"/>
  <c r="G10" i="3"/>
  <c r="E10" i="3"/>
  <c r="D10" i="3"/>
  <c r="K9" i="3"/>
  <c r="J9" i="3"/>
  <c r="G9" i="3"/>
  <c r="E9" i="3"/>
  <c r="D9" i="3"/>
  <c r="K8" i="3"/>
  <c r="J8" i="3"/>
  <c r="G8" i="3"/>
  <c r="E8" i="3"/>
  <c r="D8" i="3"/>
  <c r="K7" i="3"/>
  <c r="J7" i="3"/>
  <c r="G7" i="3"/>
  <c r="E7" i="3"/>
  <c r="D7" i="3"/>
  <c r="K6" i="3"/>
  <c r="J6" i="3"/>
  <c r="G6" i="3"/>
  <c r="E6" i="3"/>
  <c r="D6" i="3"/>
  <c r="J5" i="3"/>
  <c r="E5" i="3"/>
  <c r="D5" i="3"/>
  <c r="F15" i="3" s="1" a="1"/>
  <c r="F15" i="3" s="1"/>
  <c r="S6" i="1"/>
  <c r="S9" i="1"/>
  <c r="S7" i="1"/>
  <c r="O8" i="4" l="1"/>
  <c r="J8" i="4"/>
  <c r="O6" i="4"/>
  <c r="J6" i="4"/>
  <c r="O7" i="4"/>
  <c r="J7" i="4"/>
  <c r="O9" i="4"/>
  <c r="J9" i="4"/>
  <c r="O10" i="4"/>
  <c r="J10" i="4"/>
  <c r="P5" i="3"/>
  <c r="O5" i="4"/>
  <c r="J5" i="4"/>
  <c r="M30" i="4"/>
  <c r="V21" i="3" a="1"/>
  <c r="U6" i="3"/>
  <c r="AS18" i="3" a="1"/>
  <c r="T8" i="3"/>
  <c r="U11" i="3"/>
  <c r="U9" i="3"/>
  <c r="T10" i="3"/>
  <c r="T11" i="3"/>
  <c r="V11" i="3" s="1"/>
  <c r="T6" i="3"/>
  <c r="V6" i="3" s="1"/>
  <c r="U8" i="3"/>
  <c r="T7" i="3"/>
  <c r="U7" i="3"/>
  <c r="U10" i="3"/>
  <c r="T9" i="3"/>
  <c r="K13" i="4" l="1" a="1"/>
  <c r="F21" i="3"/>
  <c r="AS18" i="3"/>
  <c r="AT20" i="3"/>
  <c r="AT19" i="3"/>
  <c r="AT18" i="3"/>
  <c r="AS20" i="3"/>
  <c r="AS19" i="3"/>
  <c r="AS27" i="3" s="1"/>
  <c r="V21" i="3"/>
  <c r="W21" i="3"/>
  <c r="W23" i="3"/>
  <c r="V23" i="3"/>
  <c r="W22" i="3"/>
  <c r="V22" i="3"/>
  <c r="V8" i="3"/>
  <c r="F22" i="3"/>
  <c r="F23" i="3" s="1"/>
  <c r="V9" i="3"/>
  <c r="V10" i="3"/>
  <c r="V7" i="3"/>
  <c r="P10" i="3"/>
  <c r="Q10" i="3" s="1"/>
  <c r="P8" i="3"/>
  <c r="Q8" i="3" s="1"/>
  <c r="P6" i="3"/>
  <c r="Q6" i="3" s="1"/>
  <c r="P9" i="3"/>
  <c r="Q9" i="3" s="1"/>
  <c r="Q5" i="3"/>
  <c r="P11" i="3"/>
  <c r="Q11" i="3" s="1"/>
  <c r="P7" i="3"/>
  <c r="Q7" i="3" s="1"/>
  <c r="K13" i="4" l="1"/>
  <c r="L14" i="4"/>
  <c r="L13" i="4"/>
  <c r="L15" i="4"/>
  <c r="K15" i="4"/>
  <c r="K14" i="4"/>
  <c r="AT5" i="3"/>
  <c r="AT11" i="3"/>
  <c r="AT6" i="3"/>
  <c r="AT7" i="3"/>
  <c r="AT8" i="3"/>
  <c r="AT9" i="3"/>
  <c r="AT10" i="3"/>
  <c r="L5" i="3"/>
  <c r="L7" i="3"/>
  <c r="L11" i="3"/>
  <c r="L6" i="3"/>
  <c r="L8" i="3"/>
  <c r="L9" i="3"/>
  <c r="L10" i="3"/>
  <c r="V28" i="3"/>
  <c r="V30" i="3" s="1"/>
  <c r="R5" i="3"/>
  <c r="S5" i="3" s="1"/>
  <c r="R10" i="3"/>
  <c r="S10" i="3" s="1"/>
  <c r="R6" i="3"/>
  <c r="S6" i="3" s="1"/>
  <c r="R11" i="3"/>
  <c r="S11" i="3" s="1"/>
  <c r="R9" i="3"/>
  <c r="S9" i="3" s="1"/>
  <c r="R8" i="3"/>
  <c r="S8" i="3" s="1"/>
  <c r="R7" i="3"/>
  <c r="S7" i="3" s="1"/>
  <c r="N8" i="3" l="1"/>
  <c r="O8" i="3" s="1"/>
  <c r="M8" i="3"/>
  <c r="N10" i="3"/>
  <c r="O10" i="3" s="1"/>
  <c r="M10" i="3"/>
  <c r="N6" i="3"/>
  <c r="O6" i="3" s="1"/>
  <c r="M6" i="3"/>
  <c r="N9" i="3"/>
  <c r="O9" i="3" s="1"/>
  <c r="M9" i="3"/>
  <c r="N11" i="3"/>
  <c r="O11" i="3" s="1"/>
  <c r="M11" i="3"/>
  <c r="N7" i="3"/>
  <c r="O7" i="3" s="1"/>
  <c r="M7" i="3"/>
  <c r="N5" i="3"/>
  <c r="O5" i="3" s="1"/>
  <c r="M5" i="3"/>
  <c r="I4" i="4"/>
  <c r="I5" i="4"/>
  <c r="I10" i="4"/>
  <c r="I8" i="4"/>
  <c r="I6" i="4"/>
  <c r="I9" i="4"/>
  <c r="I7" i="4"/>
  <c r="E5" i="1" l="1"/>
  <c r="AA59" i="1" s="1" a="1"/>
  <c r="AA59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AT26" i="1" s="1" a="1"/>
  <c r="AT26" i="1" s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G103" i="1" l="1"/>
  <c r="G46" i="1"/>
  <c r="K46" i="1" s="1"/>
  <c r="G47" i="1"/>
  <c r="K47" i="1" s="1"/>
  <c r="G64" i="1"/>
  <c r="K64" i="1" s="1"/>
  <c r="G90" i="1"/>
  <c r="K90" i="1" s="1"/>
  <c r="G49" i="1"/>
  <c r="K49" i="1" s="1"/>
  <c r="G43" i="1"/>
  <c r="K43" i="1" s="1"/>
  <c r="G36" i="1"/>
  <c r="K36" i="1" s="1"/>
  <c r="G100" i="1"/>
  <c r="K100" i="1" s="1"/>
  <c r="G93" i="1"/>
  <c r="K93" i="1" s="1"/>
  <c r="G55" i="1"/>
  <c r="K55" i="1" s="1"/>
  <c r="G80" i="1"/>
  <c r="K80" i="1" s="1"/>
  <c r="G65" i="1"/>
  <c r="K65" i="1" s="1"/>
  <c r="G51" i="1"/>
  <c r="K51" i="1" s="1"/>
  <c r="G37" i="1"/>
  <c r="K37" i="1" s="1"/>
  <c r="G34" i="1"/>
  <c r="K34" i="1" s="1"/>
  <c r="G70" i="1"/>
  <c r="K70" i="1" s="1"/>
  <c r="G67" i="1"/>
  <c r="K67" i="1" s="1"/>
  <c r="G58" i="1"/>
  <c r="K58" i="1" s="1"/>
  <c r="G78" i="1"/>
  <c r="K78" i="1" s="1"/>
  <c r="G75" i="1"/>
  <c r="K75" i="1" s="1"/>
  <c r="G82" i="1"/>
  <c r="K82" i="1" s="1"/>
  <c r="G89" i="1"/>
  <c r="K89" i="1" s="1"/>
  <c r="G69" i="1"/>
  <c r="K69" i="1" s="1"/>
  <c r="G42" i="1"/>
  <c r="K42" i="1" s="1"/>
  <c r="G84" i="1"/>
  <c r="K84" i="1" s="1"/>
  <c r="G54" i="1"/>
  <c r="K54" i="1" s="1"/>
  <c r="G39" i="1"/>
  <c r="K39" i="1" s="1"/>
  <c r="G44" i="1"/>
  <c r="K44" i="1" s="1"/>
  <c r="G101" i="1"/>
  <c r="K101" i="1" s="1"/>
  <c r="G79" i="1"/>
  <c r="K79" i="1" s="1"/>
  <c r="G95" i="1"/>
  <c r="K95" i="1" s="1"/>
  <c r="G60" i="1"/>
  <c r="K60" i="1" s="1"/>
  <c r="G73" i="1"/>
  <c r="K73" i="1" s="1"/>
  <c r="G50" i="1"/>
  <c r="K50" i="1" s="1"/>
  <c r="G61" i="1"/>
  <c r="K61" i="1" s="1"/>
  <c r="G86" i="1"/>
  <c r="K86" i="1" s="1"/>
  <c r="G76" i="1"/>
  <c r="K76" i="1" s="1"/>
  <c r="G94" i="1"/>
  <c r="K94" i="1" s="1"/>
  <c r="G98" i="1"/>
  <c r="K98" i="1" s="1"/>
  <c r="G77" i="1"/>
  <c r="K77" i="1" s="1"/>
  <c r="G62" i="1"/>
  <c r="K62" i="1" s="1"/>
  <c r="G63" i="1"/>
  <c r="K63" i="1" s="1"/>
  <c r="G96" i="1"/>
  <c r="K96" i="1" s="1"/>
  <c r="G71" i="1"/>
  <c r="K71" i="1" s="1"/>
  <c r="G81" i="1"/>
  <c r="K81" i="1" s="1"/>
  <c r="G59" i="1"/>
  <c r="K59" i="1" s="1"/>
  <c r="G52" i="1"/>
  <c r="K52" i="1" s="1"/>
  <c r="G45" i="1"/>
  <c r="K45" i="1" s="1"/>
  <c r="G57" i="1"/>
  <c r="K57" i="1" s="1"/>
  <c r="G97" i="1"/>
  <c r="K97" i="1" s="1"/>
  <c r="G53" i="1"/>
  <c r="K53" i="1" s="1"/>
  <c r="G87" i="1"/>
  <c r="K87" i="1" s="1"/>
  <c r="G48" i="1"/>
  <c r="K48" i="1" s="1"/>
  <c r="G68" i="1"/>
  <c r="K68" i="1" s="1"/>
  <c r="G72" i="1"/>
  <c r="K72" i="1" s="1"/>
  <c r="G83" i="1"/>
  <c r="K83" i="1" s="1"/>
  <c r="G40" i="1"/>
  <c r="K40" i="1" s="1"/>
  <c r="G91" i="1"/>
  <c r="K91" i="1" s="1"/>
  <c r="G38" i="1"/>
  <c r="K38" i="1" s="1"/>
  <c r="G102" i="1"/>
  <c r="K102" i="1" s="1"/>
  <c r="G56" i="1"/>
  <c r="K56" i="1" s="1"/>
  <c r="G66" i="1"/>
  <c r="K66" i="1" s="1"/>
  <c r="G41" i="1"/>
  <c r="K41" i="1" s="1"/>
  <c r="G35" i="1"/>
  <c r="K35" i="1" s="1"/>
  <c r="G99" i="1"/>
  <c r="K99" i="1" s="1"/>
  <c r="G92" i="1"/>
  <c r="K92" i="1" s="1"/>
  <c r="G85" i="1"/>
  <c r="K85" i="1" s="1"/>
  <c r="G33" i="1"/>
  <c r="K33" i="1" s="1"/>
  <c r="G74" i="1"/>
  <c r="K74" i="1" s="1"/>
  <c r="G88" i="1"/>
  <c r="K88" i="1" s="1"/>
  <c r="K103" i="1"/>
  <c r="H4" i="1"/>
  <c r="L4" i="1" s="1"/>
  <c r="H49" i="1"/>
  <c r="L49" i="1" s="1"/>
  <c r="H27" i="1"/>
  <c r="L27" i="1" s="1"/>
  <c r="H47" i="1"/>
  <c r="L47" i="1" s="1"/>
  <c r="H10" i="1"/>
  <c r="L10" i="1" s="1"/>
  <c r="H74" i="1"/>
  <c r="L74" i="1" s="1"/>
  <c r="H99" i="1"/>
  <c r="L99" i="1" s="1"/>
  <c r="H28" i="1"/>
  <c r="L28" i="1" s="1"/>
  <c r="H92" i="1"/>
  <c r="L92" i="1" s="1"/>
  <c r="H7" i="1"/>
  <c r="L7" i="1" s="1"/>
  <c r="H21" i="1"/>
  <c r="L21" i="1" s="1"/>
  <c r="H85" i="1"/>
  <c r="L85" i="1" s="1"/>
  <c r="H94" i="1"/>
  <c r="L94" i="1" s="1"/>
  <c r="H57" i="1"/>
  <c r="L57" i="1" s="1"/>
  <c r="H43" i="1"/>
  <c r="L43" i="1" s="1"/>
  <c r="H18" i="1"/>
  <c r="L18" i="1" s="1"/>
  <c r="H82" i="1"/>
  <c r="L82" i="1" s="1"/>
  <c r="H55" i="1"/>
  <c r="L55" i="1" s="1"/>
  <c r="H36" i="1"/>
  <c r="L36" i="1" s="1"/>
  <c r="H100" i="1"/>
  <c r="L100" i="1" s="1"/>
  <c r="H29" i="1"/>
  <c r="L29" i="1" s="1"/>
  <c r="H93" i="1"/>
  <c r="L93" i="1" s="1"/>
  <c r="H102" i="1"/>
  <c r="L102" i="1" s="1"/>
  <c r="H9" i="1"/>
  <c r="L9" i="1" s="1"/>
  <c r="H95" i="1"/>
  <c r="L95" i="1" s="1"/>
  <c r="H48" i="1"/>
  <c r="L48" i="1" s="1"/>
  <c r="H8" i="1"/>
  <c r="L8" i="1" s="1"/>
  <c r="H17" i="1"/>
  <c r="L17" i="1" s="1"/>
  <c r="H81" i="1"/>
  <c r="L81" i="1" s="1"/>
  <c r="H42" i="1"/>
  <c r="L42" i="1" s="1"/>
  <c r="H60" i="1"/>
  <c r="L60" i="1" s="1"/>
  <c r="H53" i="1"/>
  <c r="L53" i="1" s="1"/>
  <c r="H89" i="1"/>
  <c r="L89" i="1" s="1"/>
  <c r="H35" i="1"/>
  <c r="L35" i="1" s="1"/>
  <c r="H61" i="1"/>
  <c r="L61" i="1" s="1"/>
  <c r="H97" i="1"/>
  <c r="L97" i="1" s="1"/>
  <c r="H51" i="1"/>
  <c r="L51" i="1" s="1"/>
  <c r="H70" i="1"/>
  <c r="L70" i="1" s="1"/>
  <c r="H88" i="1"/>
  <c r="L88" i="1" s="1"/>
  <c r="H63" i="1"/>
  <c r="L63" i="1" s="1"/>
  <c r="H23" i="1"/>
  <c r="L23" i="1" s="1"/>
  <c r="H67" i="1"/>
  <c r="L67" i="1" s="1"/>
  <c r="H98" i="1"/>
  <c r="L98" i="1" s="1"/>
  <c r="H22" i="1"/>
  <c r="L22" i="1" s="1"/>
  <c r="H45" i="1"/>
  <c r="L45" i="1" s="1"/>
  <c r="H87" i="1"/>
  <c r="L87" i="1" s="1"/>
  <c r="H103" i="1"/>
  <c r="L103" i="1" s="1"/>
  <c r="H80" i="1"/>
  <c r="L80" i="1" s="1"/>
  <c r="H40" i="1"/>
  <c r="L40" i="1" s="1"/>
  <c r="H24" i="1"/>
  <c r="L24" i="1" s="1"/>
  <c r="H91" i="1"/>
  <c r="L91" i="1" s="1"/>
  <c r="H58" i="1"/>
  <c r="L58" i="1" s="1"/>
  <c r="H5" i="1"/>
  <c r="L5" i="1" s="1"/>
  <c r="H65" i="1"/>
  <c r="L65" i="1" s="1"/>
  <c r="H59" i="1"/>
  <c r="L59" i="1" s="1"/>
  <c r="H79" i="1"/>
  <c r="L79" i="1" s="1"/>
  <c r="H26" i="1"/>
  <c r="L26" i="1" s="1"/>
  <c r="H90" i="1"/>
  <c r="L90" i="1" s="1"/>
  <c r="H16" i="1"/>
  <c r="L16" i="1" s="1"/>
  <c r="H44" i="1"/>
  <c r="L44" i="1" s="1"/>
  <c r="H6" i="1"/>
  <c r="L6" i="1" s="1"/>
  <c r="H71" i="1"/>
  <c r="L71" i="1" s="1"/>
  <c r="H37" i="1"/>
  <c r="L37" i="1" s="1"/>
  <c r="H101" i="1"/>
  <c r="L101" i="1" s="1"/>
  <c r="H39" i="1"/>
  <c r="L39" i="1" s="1"/>
  <c r="H73" i="1"/>
  <c r="L73" i="1" s="1"/>
  <c r="H34" i="1"/>
  <c r="L34" i="1" s="1"/>
  <c r="H52" i="1"/>
  <c r="L52" i="1" s="1"/>
  <c r="H14" i="1"/>
  <c r="L14" i="1" s="1"/>
  <c r="H83" i="1"/>
  <c r="L83" i="1" s="1"/>
  <c r="H19" i="1"/>
  <c r="L19" i="1" s="1"/>
  <c r="H38" i="1"/>
  <c r="L38" i="1" s="1"/>
  <c r="H30" i="1"/>
  <c r="L30" i="1" s="1"/>
  <c r="H25" i="1"/>
  <c r="L25" i="1" s="1"/>
  <c r="H50" i="1"/>
  <c r="L50" i="1" s="1"/>
  <c r="H54" i="1"/>
  <c r="L54" i="1" s="1"/>
  <c r="H56" i="1"/>
  <c r="L56" i="1" s="1"/>
  <c r="H15" i="1"/>
  <c r="L15" i="1" s="1"/>
  <c r="H12" i="1"/>
  <c r="L12" i="1" s="1"/>
  <c r="H69" i="1"/>
  <c r="L69" i="1" s="1"/>
  <c r="H41" i="1"/>
  <c r="L41" i="1" s="1"/>
  <c r="H11" i="1"/>
  <c r="L11" i="1" s="1"/>
  <c r="H31" i="1"/>
  <c r="L31" i="1" s="1"/>
  <c r="H96" i="1"/>
  <c r="L96" i="1" s="1"/>
  <c r="H66" i="1"/>
  <c r="L66" i="1" s="1"/>
  <c r="H75" i="1"/>
  <c r="L75" i="1" s="1"/>
  <c r="H20" i="1"/>
  <c r="L20" i="1" s="1"/>
  <c r="H84" i="1"/>
  <c r="L84" i="1" s="1"/>
  <c r="H86" i="1"/>
  <c r="L86" i="1" s="1"/>
  <c r="H13" i="1"/>
  <c r="L13" i="1" s="1"/>
  <c r="H77" i="1"/>
  <c r="L77" i="1" s="1"/>
  <c r="H78" i="1"/>
  <c r="L78" i="1" s="1"/>
  <c r="H32" i="1"/>
  <c r="L32" i="1" s="1"/>
  <c r="H68" i="1"/>
  <c r="L68" i="1" s="1"/>
  <c r="H72" i="1"/>
  <c r="L72" i="1" s="1"/>
  <c r="H46" i="1"/>
  <c r="L46" i="1" s="1"/>
  <c r="H33" i="1"/>
  <c r="L33" i="1" s="1"/>
  <c r="H64" i="1"/>
  <c r="L64" i="1" s="1"/>
  <c r="H76" i="1"/>
  <c r="L76" i="1" s="1"/>
  <c r="H62" i="1"/>
  <c r="L62" i="1" s="1"/>
  <c r="AA26" i="1" a="1"/>
  <c r="O14" i="1" a="1"/>
  <c r="O14" i="1" l="1"/>
  <c r="O16" i="1"/>
  <c r="Q15" i="1"/>
  <c r="P15" i="1"/>
  <c r="Q14" i="1"/>
  <c r="P14" i="1"/>
  <c r="P16" i="1"/>
  <c r="O15" i="1"/>
  <c r="Q16" i="1"/>
  <c r="AA26" i="1"/>
  <c r="AD29" i="1"/>
  <c r="AD30" i="1"/>
  <c r="AB26" i="1"/>
  <c r="AA30" i="1"/>
  <c r="AC29" i="1"/>
  <c r="AD26" i="1"/>
  <c r="AA28" i="1"/>
  <c r="AC27" i="1"/>
  <c r="AC30" i="1"/>
  <c r="AC28" i="1"/>
  <c r="AC26" i="1"/>
  <c r="AA29" i="1"/>
  <c r="AB28" i="1"/>
  <c r="AD27" i="1"/>
  <c r="AD28" i="1"/>
  <c r="AB29" i="1"/>
  <c r="AB27" i="1"/>
  <c r="AB30" i="1"/>
  <c r="AA27" i="1"/>
  <c r="J111" i="1"/>
  <c r="J109" i="1"/>
  <c r="J113" i="1"/>
  <c r="J105" i="1"/>
  <c r="J112" i="1"/>
  <c r="J115" i="1"/>
  <c r="J110" i="1"/>
  <c r="J108" i="1"/>
  <c r="J114" i="1"/>
  <c r="J107" i="1"/>
  <c r="J106" i="1"/>
  <c r="J104" i="1"/>
  <c r="F5" i="1" l="1"/>
  <c r="J5" i="1" s="1"/>
  <c r="F13" i="1"/>
  <c r="J13" i="1" s="1"/>
  <c r="F21" i="1"/>
  <c r="J21" i="1" s="1"/>
  <c r="F29" i="1"/>
  <c r="J29" i="1" s="1"/>
  <c r="F37" i="1"/>
  <c r="J37" i="1" s="1"/>
  <c r="F45" i="1"/>
  <c r="J45" i="1" s="1"/>
  <c r="F53" i="1"/>
  <c r="J53" i="1" s="1"/>
  <c r="F61" i="1"/>
  <c r="J61" i="1" s="1"/>
  <c r="F69" i="1"/>
  <c r="J69" i="1" s="1"/>
  <c r="F77" i="1"/>
  <c r="J77" i="1" s="1"/>
  <c r="F85" i="1"/>
  <c r="J85" i="1" s="1"/>
  <c r="F93" i="1"/>
  <c r="J93" i="1" s="1"/>
  <c r="F101" i="1"/>
  <c r="J101" i="1" s="1"/>
  <c r="F50" i="1"/>
  <c r="J50" i="1" s="1"/>
  <c r="F66" i="1"/>
  <c r="J66" i="1" s="1"/>
  <c r="F82" i="1"/>
  <c r="J82" i="1" s="1"/>
  <c r="F98" i="1"/>
  <c r="J98" i="1" s="1"/>
  <c r="F11" i="1"/>
  <c r="J11" i="1" s="1"/>
  <c r="F35" i="1"/>
  <c r="J35" i="1" s="1"/>
  <c r="F59" i="1"/>
  <c r="J59" i="1" s="1"/>
  <c r="F75" i="1"/>
  <c r="J75" i="1" s="1"/>
  <c r="F91" i="1"/>
  <c r="J91" i="1" s="1"/>
  <c r="F12" i="1"/>
  <c r="J12" i="1" s="1"/>
  <c r="F28" i="1"/>
  <c r="J28" i="1" s="1"/>
  <c r="F44" i="1"/>
  <c r="J44" i="1" s="1"/>
  <c r="F60" i="1"/>
  <c r="J60" i="1" s="1"/>
  <c r="F76" i="1"/>
  <c r="J76" i="1" s="1"/>
  <c r="F100" i="1"/>
  <c r="J100" i="1" s="1"/>
  <c r="F6" i="1"/>
  <c r="J6" i="1" s="1"/>
  <c r="F14" i="1"/>
  <c r="J14" i="1" s="1"/>
  <c r="F22" i="1"/>
  <c r="J22" i="1" s="1"/>
  <c r="F30" i="1"/>
  <c r="J30" i="1" s="1"/>
  <c r="F38" i="1"/>
  <c r="J38" i="1" s="1"/>
  <c r="F46" i="1"/>
  <c r="J46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7" i="1"/>
  <c r="J7" i="1" s="1"/>
  <c r="F15" i="1"/>
  <c r="J15" i="1" s="1"/>
  <c r="F23" i="1"/>
  <c r="J23" i="1" s="1"/>
  <c r="F31" i="1"/>
  <c r="J31" i="1" s="1"/>
  <c r="F39" i="1"/>
  <c r="J39" i="1" s="1"/>
  <c r="F47" i="1"/>
  <c r="J47" i="1" s="1"/>
  <c r="F55" i="1"/>
  <c r="J55" i="1" s="1"/>
  <c r="F63" i="1"/>
  <c r="J63" i="1" s="1"/>
  <c r="F71" i="1"/>
  <c r="J71" i="1" s="1"/>
  <c r="F79" i="1"/>
  <c r="J79" i="1" s="1"/>
  <c r="F87" i="1"/>
  <c r="J87" i="1" s="1"/>
  <c r="F95" i="1"/>
  <c r="J95" i="1" s="1"/>
  <c r="F103" i="1"/>
  <c r="J103" i="1" s="1"/>
  <c r="F8" i="1"/>
  <c r="J8" i="1" s="1"/>
  <c r="F16" i="1"/>
  <c r="J16" i="1" s="1"/>
  <c r="F24" i="1"/>
  <c r="J24" i="1" s="1"/>
  <c r="F32" i="1"/>
  <c r="J32" i="1" s="1"/>
  <c r="F40" i="1"/>
  <c r="J40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4" i="1"/>
  <c r="J4" i="1" s="1"/>
  <c r="F9" i="1"/>
  <c r="J9" i="1" s="1"/>
  <c r="F17" i="1"/>
  <c r="J17" i="1" s="1"/>
  <c r="F25" i="1"/>
  <c r="J25" i="1" s="1"/>
  <c r="F33" i="1"/>
  <c r="J33" i="1" s="1"/>
  <c r="F41" i="1"/>
  <c r="J41" i="1" s="1"/>
  <c r="F49" i="1"/>
  <c r="J49" i="1" s="1"/>
  <c r="F57" i="1"/>
  <c r="J57" i="1" s="1"/>
  <c r="F65" i="1"/>
  <c r="J65" i="1" s="1"/>
  <c r="F73" i="1"/>
  <c r="J73" i="1" s="1"/>
  <c r="F81" i="1"/>
  <c r="J81" i="1" s="1"/>
  <c r="F89" i="1"/>
  <c r="J89" i="1" s="1"/>
  <c r="F97" i="1"/>
  <c r="J97" i="1" s="1"/>
  <c r="F10" i="1"/>
  <c r="J10" i="1" s="1"/>
  <c r="F18" i="1"/>
  <c r="J18" i="1" s="1"/>
  <c r="F26" i="1"/>
  <c r="J26" i="1" s="1"/>
  <c r="F34" i="1"/>
  <c r="J34" i="1" s="1"/>
  <c r="F42" i="1"/>
  <c r="J42" i="1" s="1"/>
  <c r="F58" i="1"/>
  <c r="J58" i="1" s="1"/>
  <c r="F74" i="1"/>
  <c r="J74" i="1" s="1"/>
  <c r="F90" i="1"/>
  <c r="J90" i="1" s="1"/>
  <c r="F19" i="1"/>
  <c r="J19" i="1" s="1"/>
  <c r="F27" i="1"/>
  <c r="J27" i="1" s="1"/>
  <c r="F51" i="1"/>
  <c r="J51" i="1" s="1"/>
  <c r="F67" i="1"/>
  <c r="J67" i="1" s="1"/>
  <c r="F83" i="1"/>
  <c r="J83" i="1" s="1"/>
  <c r="F99" i="1"/>
  <c r="J99" i="1" s="1"/>
  <c r="F20" i="1"/>
  <c r="J20" i="1" s="1"/>
  <c r="F36" i="1"/>
  <c r="J36" i="1" s="1"/>
  <c r="F52" i="1"/>
  <c r="J52" i="1" s="1"/>
  <c r="F68" i="1"/>
  <c r="J68" i="1" s="1"/>
  <c r="F84" i="1"/>
  <c r="J84" i="1" s="1"/>
  <c r="F43" i="1"/>
  <c r="J43" i="1" s="1"/>
  <c r="F92" i="1"/>
  <c r="J9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<sst xmlns="http://schemas.openxmlformats.org/spreadsheetml/2006/main" count="271" uniqueCount="142">
  <si>
    <t>s(m)</t>
  </si>
  <si>
    <t>m</t>
  </si>
  <si>
    <t>Coeficiente</t>
  </si>
  <si>
    <t>x</t>
  </si>
  <si>
    <t>c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</si>
  <si>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</si>
  <si>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</si>
  <si>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s ( )</t>
  </si>
  <si>
    <t>u(Amp.Impulso) :</t>
  </si>
  <si>
    <r>
      <t>Z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ref. (</t>
    </r>
    <r>
      <rPr>
        <b/>
        <sz val="11"/>
        <color theme="1"/>
        <rFont val="Calibri"/>
        <family val="2"/>
      </rPr>
      <t>Ω)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</si>
  <si>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exp. (</t>
    </r>
    <r>
      <rPr>
        <b/>
        <sz val="11"/>
        <color theme="1"/>
        <rFont val="Calibri"/>
        <family val="2"/>
      </rPr>
      <t>Ω)</t>
    </r>
  </si>
  <si>
    <r>
      <t>u(Z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 exp. (</t>
    </r>
    <r>
      <rPr>
        <b/>
        <sz val="11"/>
        <color theme="1"/>
        <rFont val="Calibri"/>
        <family val="2"/>
      </rPr>
      <t>Ω)</t>
    </r>
  </si>
  <si>
    <r>
      <t>u(Z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 exp. (%</t>
    </r>
    <r>
      <rPr>
        <b/>
        <sz val="11"/>
        <color theme="1"/>
        <rFont val="Calibri"/>
        <family val="2"/>
      </rPr>
      <t>)</t>
    </r>
  </si>
  <si>
    <t>erro (%)</t>
  </si>
  <si>
    <t>Zc aj. (Ω)</t>
  </si>
  <si>
    <t xml:space="preserve">Er(%) Zc aj. </t>
  </si>
  <si>
    <t>Impulso</t>
  </si>
  <si>
    <t>n</t>
  </si>
  <si>
    <t>d (m)</t>
  </si>
  <si>
    <t>u(d) (m)</t>
  </si>
  <si>
    <t>t (ns)</t>
  </si>
  <si>
    <t>t(s)</t>
  </si>
  <si>
    <t>ln(Vn)</t>
  </si>
  <si>
    <t>∆d</t>
  </si>
  <si>
    <t>∆t(s)</t>
  </si>
  <si>
    <r>
      <t>v(m/</t>
    </r>
    <r>
      <rPr>
        <b/>
        <sz val="11"/>
        <color theme="1"/>
        <rFont val="Calibri"/>
        <family val="2"/>
      </rPr>
      <t>s)</t>
    </r>
  </si>
  <si>
    <t>-</t>
  </si>
  <si>
    <t>b</t>
  </si>
  <si>
    <t>v (m/s)</t>
  </si>
  <si>
    <t>s(b)</t>
  </si>
  <si>
    <t>u(v) (m/s)</t>
  </si>
  <si>
    <t>r²</t>
  </si>
  <si>
    <t>s(y)</t>
  </si>
  <si>
    <t>u(α) (%)</t>
  </si>
  <si>
    <t>u(v) (%)</t>
  </si>
  <si>
    <t>Regressão Linear Ln(Vn)[d]</t>
  </si>
  <si>
    <r>
      <t>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 (V)</t>
    </r>
  </si>
  <si>
    <r>
      <t>u(V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 (V)</t>
    </r>
  </si>
  <si>
    <r>
      <t>u(ln(V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))</t>
    </r>
  </si>
  <si>
    <t>f (Hz)</t>
  </si>
  <si>
    <t>φ (°)</t>
  </si>
  <si>
    <t>μ (H/m)</t>
  </si>
  <si>
    <r>
      <t>ε</t>
    </r>
    <r>
      <rPr>
        <b/>
        <vertAlign val="subscript"/>
        <sz val="11"/>
        <color theme="1"/>
        <rFont val="Calibri"/>
        <family val="2"/>
      </rPr>
      <t>0</t>
    </r>
    <r>
      <rPr>
        <b/>
        <sz val="11"/>
        <color theme="1"/>
        <rFont val="Calibri"/>
        <family val="2"/>
      </rPr>
      <t xml:space="preserve"> (F/m)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</si>
  <si>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 xml:space="preserve">ref </t>
    </r>
    <r>
      <rPr>
        <b/>
        <sz val="11"/>
        <color theme="1"/>
        <rFont val="Calibri"/>
        <family val="2"/>
        <scheme val="minor"/>
      </rPr>
      <t>(m/s)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</si>
  <si>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 xml:space="preserve"> (m/s)</t>
    </r>
  </si>
  <si>
    <r>
      <t>u(v</t>
    </r>
    <r>
      <rPr>
        <b/>
        <vertAlign val="subscript"/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>) (m/s)</t>
    </r>
  </si>
  <si>
    <r>
      <t>u(v</t>
    </r>
    <r>
      <rPr>
        <b/>
        <vertAlign val="subscript"/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>) (%)</t>
    </r>
  </si>
  <si>
    <t>Er (%)</t>
  </si>
  <si>
    <t>f ajst. (Hz)</t>
  </si>
  <si>
    <t>resíduos (Hz)</t>
  </si>
  <si>
    <t>Ajuste Linear de f[φ]</t>
  </si>
  <si>
    <t>ln(f)</t>
  </si>
  <si>
    <t>ln(φ)</t>
  </si>
  <si>
    <t>ajst.lin</t>
  </si>
  <si>
    <t>res</t>
  </si>
  <si>
    <t>u(ln(f))</t>
  </si>
  <si>
    <t>u(ln(φ))</t>
  </si>
  <si>
    <t>Regressão Linear d[t]</t>
  </si>
  <si>
    <r>
      <t>ln(V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 ajst. (n)</t>
    </r>
  </si>
  <si>
    <t>Regressão Linear ln(Vn)[n]</t>
  </si>
  <si>
    <t>mudamos de escala no n = 1</t>
  </si>
  <si>
    <t>f (MHz)</t>
  </si>
  <si>
    <r>
      <t>V</t>
    </r>
    <r>
      <rPr>
        <vertAlign val="subscript"/>
        <sz val="11"/>
        <color theme="1"/>
        <rFont val="Calibri (Body)"/>
      </rPr>
      <t>r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</si>
  <si>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 (Body)"/>
      </rPr>
      <t>min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</si>
  <si>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 (Body)"/>
      </rPr>
      <t>máx</t>
    </r>
    <r>
      <rPr>
        <sz val="11"/>
        <color theme="1"/>
        <rFont val="Calibri"/>
        <family val="2"/>
        <scheme val="minor"/>
      </rPr>
      <t xml:space="preserve"> (V)</t>
    </r>
  </si>
  <si>
    <r>
      <t>Z</t>
    </r>
    <r>
      <rPr>
        <vertAlign val="subscript"/>
        <sz val="11"/>
        <color theme="1"/>
        <rFont val="Calibri (Body)"/>
      </rPr>
      <t>L</t>
    </r>
  </si>
  <si>
    <t>Ajuste Polinomial 3˚</t>
  </si>
  <si>
    <t>m3</t>
  </si>
  <si>
    <t>m2</t>
  </si>
  <si>
    <t>m1</t>
  </si>
  <si>
    <r>
      <t>r</t>
    </r>
    <r>
      <rPr>
        <vertAlign val="superscript"/>
        <sz val="11"/>
        <color theme="1"/>
        <rFont val="Calibri (Body)"/>
      </rPr>
      <t>2</t>
    </r>
  </si>
  <si>
    <t>Aj. Polinomial 3º (V)</t>
  </si>
  <si>
    <t>Aj. Polinomial 4º (V)</t>
  </si>
  <si>
    <t>Resíduos 3º (V)</t>
  </si>
  <si>
    <t>Resíduos 4º (V)</t>
  </si>
  <si>
    <t>Resíduos 3º (V) 2</t>
  </si>
  <si>
    <t>Aj. Polinomial 3º (V) 2</t>
  </si>
  <si>
    <t>Ajuste Polinomial 3˚ (2)</t>
  </si>
  <si>
    <t>Aj. Polinomial 3º (V) 3</t>
  </si>
  <si>
    <t>Resíduos 3º (V) 3</t>
  </si>
  <si>
    <t>Ajuste Polinomial 3˚ (3)</t>
  </si>
  <si>
    <t>m4</t>
  </si>
  <si>
    <t>Ajuste Polinomial 4˚</t>
  </si>
  <si>
    <t>Aj. Polinomial 4º (V) 2</t>
  </si>
  <si>
    <t>Resíduos 4º (V) 2</t>
  </si>
  <si>
    <t>Ajuste Polinomial 3˚ (inverso)</t>
  </si>
  <si>
    <t>Ajuste Polinomial 4˚ (inverso)</t>
  </si>
  <si>
    <t>Aj. Polinomial 3º (V) INV</t>
  </si>
  <si>
    <t>Aj. Polinomial 4º (V) INV</t>
  </si>
  <si>
    <t xml:space="preserve">Resíduos 4º (V) </t>
  </si>
  <si>
    <t>AJUSTE  INVERSO</t>
  </si>
  <si>
    <t>AJUSTES  GAMA  SEM  DUVIDOSOS</t>
  </si>
  <si>
    <t xml:space="preserve">ESTES DOIS GRÁFICOS NÃO SÃO ÚTEIS PARA A ANÁLISE (SÓ FAZER PARA GAMA 1-100) </t>
  </si>
  <si>
    <t xml:space="preserve">GRÁFICO GERAL </t>
  </si>
  <si>
    <r>
      <t>Z</t>
    </r>
    <r>
      <rPr>
        <vertAlign val="subscript"/>
        <sz val="11"/>
        <color theme="1"/>
        <rFont val="Calibri (Body)"/>
      </rPr>
      <t>L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</si>
  <si>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Zc aj. 3º(Ω)</t>
  </si>
  <si>
    <t>Er(%) Zc aj. 3º</t>
  </si>
  <si>
    <t>Zc aj. 4º(Ω)</t>
  </si>
  <si>
    <t>Er(%) Zc aj. 4º</t>
  </si>
  <si>
    <t>CONTAS FIZ NO WOLFRAM</t>
  </si>
  <si>
    <r>
      <t>b = Z</t>
    </r>
    <r>
      <rPr>
        <b/>
        <vertAlign val="subscript"/>
        <sz val="14"/>
        <color theme="1"/>
        <rFont val="Calibri (Body)"/>
      </rPr>
      <t>c</t>
    </r>
  </si>
  <si>
    <t>u(Zc aj. 3º) (Ω)</t>
  </si>
  <si>
    <t>u(Zc aj. 3º) (%)</t>
  </si>
  <si>
    <t>u(Zc aj. 4º) (Ω)</t>
  </si>
  <si>
    <t>u(Zc aj. 4º) (%)</t>
  </si>
  <si>
    <t>Zc aj. 4º (Ω)</t>
  </si>
  <si>
    <t>Zc aj. 3º (Ω)</t>
  </si>
  <si>
    <t>ESTE AJUSTE É INÚTIL!!!  EU FUI SÓ BURRA PK DÁ PARA VER OS DUVIDOSOS (31 E 100) NO DA GAMA TODA!!!</t>
  </si>
  <si>
    <t>MUDANÇA DE ESCALA</t>
  </si>
  <si>
    <t>PRIMEIRO REGISTO: COM ESCALA QUE PERMITE MENOS PRECISÃO EM TODOS OS PONTOS</t>
  </si>
  <si>
    <t>𝓁 (m)</t>
  </si>
  <si>
    <t>u(𝓁) (m)</t>
  </si>
  <si>
    <t>u(𝓁) (%)</t>
  </si>
  <si>
    <t>SEGUNDO REGISTO: COM ESCALA QUE PERMITE MAIS PRECISÃO NOS PONTOS n = 2 → 6</t>
  </si>
  <si>
    <t>V(d) ajst.</t>
  </si>
  <si>
    <t>𝛤</t>
  </si>
  <si>
    <t>ln(𝛤)</t>
  </si>
  <si>
    <t>u(𝛂) (%)</t>
  </si>
  <si>
    <t>&lt; 0,02</t>
  </si>
  <si>
    <t>𝛂 (dB/m)</t>
  </si>
  <si>
    <r>
      <t>𝛂</t>
    </r>
    <r>
      <rPr>
        <b/>
        <vertAlign val="subscript"/>
        <sz val="11"/>
        <color theme="1"/>
        <rFont val="Calibri"/>
        <family val="2"/>
      </rPr>
      <t>ref</t>
    </r>
    <r>
      <rPr>
        <b/>
        <sz val="11"/>
        <color theme="1"/>
        <rFont val="Calibri"/>
        <family val="2"/>
      </rPr>
      <t xml:space="preserve"> (dB/m)</t>
    </r>
  </si>
  <si>
    <t>V(n) ajst.</t>
  </si>
  <si>
    <r>
      <t>Resíduos (ln(V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)) (n)</t>
    </r>
  </si>
  <si>
    <r>
      <t>Resíduos (ln(V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)) (d)</t>
    </r>
  </si>
  <si>
    <r>
      <t>ln(V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 ajst. (d)</t>
    </r>
  </si>
  <si>
    <t>Resíduos (V) (d)</t>
  </si>
  <si>
    <t>Resíduos (V) (n)</t>
  </si>
  <si>
    <t>u(𝛂) (dB/m)</t>
  </si>
  <si>
    <t>INÚTIL</t>
  </si>
  <si>
    <t>d (ajuste) (m)</t>
  </si>
  <si>
    <t>Resíduos (d)</t>
  </si>
  <si>
    <t>Regressão Linear d[t] 2</t>
  </si>
  <si>
    <t>d (ajuste) (m) 2</t>
  </si>
  <si>
    <t>Resíduos (d) 2</t>
  </si>
  <si>
    <t>u(f) (MHz)</t>
  </si>
  <si>
    <t>u(f) (Hz)</t>
  </si>
  <si>
    <t>ACHO QUE ESTA PARTE NÃO É ÚTIL!</t>
  </si>
  <si>
    <t>φ (rad)</t>
  </si>
  <si>
    <t>JÁ TEM BARRAS DE INC. = u(f)</t>
  </si>
  <si>
    <r>
      <t>BARRAS DE INC. = u(ln(V</t>
    </r>
    <r>
      <rPr>
        <b/>
        <vertAlign val="subscript"/>
        <sz val="14"/>
        <color theme="1"/>
        <rFont val="Calibri (Body)"/>
      </rPr>
      <t>n</t>
    </r>
    <r>
      <rPr>
        <b/>
        <sz val="14"/>
        <color theme="1"/>
        <rFont val="Calibri"/>
        <family val="2"/>
        <scheme val="minor"/>
      </rPr>
      <t>))</t>
    </r>
  </si>
  <si>
    <r>
      <t>BARRAS DE INC. = u(V</t>
    </r>
    <r>
      <rPr>
        <b/>
        <vertAlign val="subscript"/>
        <sz val="14"/>
        <color theme="1"/>
        <rFont val="Calibri (Body)"/>
      </rPr>
      <t>n</t>
    </r>
    <r>
      <rPr>
        <b/>
        <sz val="14"/>
        <color theme="1"/>
        <rFont val="Calibri"/>
        <family val="2"/>
        <scheme val="minor"/>
      </rPr>
      <t>)</t>
    </r>
  </si>
  <si>
    <t>BARRAS DE INC. = u(d)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</si>
</sst>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E+00"/>
    <numFmt numFmtId="165" formatCode="0.0"/>
    <numFmt numFmtId="166" formatCode="0.000"/>
    <numFmt numFmtId="167" formatCode="0.00000000"/>
    <numFmt numFmtId="168" formatCode="0.0000"/>
    <numFmt numFmtId="169" formatCode="0E+00"/>
    <numFmt numFmtId="170" formatCode="0.00000"/>
    <numFmt numFmtId="171" formatCode="0.0E+00"/>
    <numFmt numFmtId="172" formatCode="0.00000E+00"/>
    <numFmt numFmtId="177" formatCode="0.0000E+00"/>
    <numFmt numFmtId="179" formatCode="0.0%"/>
    <numFmt numFmtId="185" formatCode="0.0000000E+00"/>
    <numFmt numFmtId="230" formatCode="0.00000000000000%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 (Body)"/>
    </font>
    <font>
      <vertAlign val="superscript"/>
      <sz val="11"/>
      <color theme="1"/>
      <name val="Calibri (Body)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4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9" fontId="15" fillId="0" borderId="0" applyFont="0" applyFill="0" applyBorder="0" applyAlignment="0" applyProtection="0"/>
  </cellStyleXfs>
  <cellXfs count="1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2" xfId="0" applyFont="1" applyBorder="1"/>
    <xf numFmtId="0" fontId="0" fillId="0" borderId="1" xfId="0" applyBorder="1" applyAlignment="1">
      <alignment horizontal="center"/>
    </xf>
    <xf numFmtId="0" fontId="10" fillId="0" borderId="0" xfId="1"/>
    <xf numFmtId="0" fontId="10" fillId="0" borderId="1" xfId="1" applyBorder="1" applyAlignment="1">
      <alignment horizontal="center" vertical="center"/>
    </xf>
    <xf numFmtId="165" fontId="10" fillId="0" borderId="1" xfId="1" applyNumberFormat="1" applyBorder="1" applyAlignment="1">
      <alignment horizontal="center" vertical="center"/>
    </xf>
    <xf numFmtId="166" fontId="10" fillId="0" borderId="1" xfId="1" applyNumberFormat="1" applyBorder="1" applyAlignment="1">
      <alignment horizontal="center" vertical="center"/>
    </xf>
    <xf numFmtId="2" fontId="10" fillId="0" borderId="1" xfId="1" applyNumberFormat="1" applyBorder="1" applyAlignment="1">
      <alignment horizontal="center" vertical="center"/>
    </xf>
    <xf numFmtId="0" fontId="11" fillId="0" borderId="0" xfId="1" applyFont="1" applyAlignment="1">
      <alignment horizontal="center"/>
    </xf>
    <xf numFmtId="2" fontId="10" fillId="0" borderId="0" xfId="1" applyNumberFormat="1"/>
    <xf numFmtId="164" fontId="10" fillId="0" borderId="1" xfId="1" applyNumberFormat="1" applyBorder="1" applyAlignment="1">
      <alignment horizontal="center" vertical="center"/>
    </xf>
    <xf numFmtId="164" fontId="10" fillId="0" borderId="1" xfId="1" applyNumberFormat="1" applyBorder="1"/>
    <xf numFmtId="166" fontId="10" fillId="0" borderId="0" xfId="1" applyNumberFormat="1"/>
    <xf numFmtId="0" fontId="12" fillId="0" borderId="0" xfId="1" applyFont="1"/>
    <xf numFmtId="11" fontId="10" fillId="0" borderId="1" xfId="1" applyNumberForma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168" fontId="10" fillId="0" borderId="0" xfId="1" applyNumberFormat="1"/>
    <xf numFmtId="169" fontId="10" fillId="0" borderId="1" xfId="1" applyNumberFormat="1" applyBorder="1" applyAlignment="1">
      <alignment horizontal="center" vertical="center"/>
    </xf>
    <xf numFmtId="164" fontId="10" fillId="0" borderId="0" xfId="1" applyNumberFormat="1"/>
    <xf numFmtId="1" fontId="10" fillId="0" borderId="1" xfId="1" applyNumberFormat="1" applyBorder="1" applyAlignment="1">
      <alignment horizontal="center" vertical="center"/>
    </xf>
    <xf numFmtId="168" fontId="10" fillId="0" borderId="1" xfId="1" applyNumberFormat="1" applyBorder="1" applyAlignment="1">
      <alignment horizontal="center" vertical="center"/>
    </xf>
    <xf numFmtId="170" fontId="10" fillId="0" borderId="0" xfId="1" applyNumberFormat="1"/>
    <xf numFmtId="165" fontId="10" fillId="0" borderId="0" xfId="1" applyNumberFormat="1"/>
    <xf numFmtId="0" fontId="10" fillId="2" borderId="1" xfId="1" applyFill="1" applyBorder="1" applyAlignment="1">
      <alignment horizontal="center" vertical="center"/>
    </xf>
    <xf numFmtId="172" fontId="10" fillId="0" borderId="1" xfId="1" applyNumberFormat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1" xfId="1" applyBorder="1" applyAlignment="1">
      <alignment horizontal="center"/>
    </xf>
    <xf numFmtId="169" fontId="10" fillId="0" borderId="1" xfId="1" applyNumberFormat="1" applyBorder="1" applyAlignment="1">
      <alignment horizontal="center"/>
    </xf>
    <xf numFmtId="11" fontId="10" fillId="0" borderId="1" xfId="1" applyNumberForma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/>
    <xf numFmtId="11" fontId="10" fillId="0" borderId="0" xfId="1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4" fillId="0" borderId="0" xfId="0" applyFont="1"/>
    <xf numFmtId="166" fontId="0" fillId="0" borderId="1" xfId="0" applyNumberFormat="1" applyBorder="1"/>
    <xf numFmtId="2" fontId="0" fillId="0" borderId="1" xfId="0" applyNumberFormat="1" applyBorder="1"/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8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79" fontId="0" fillId="0" borderId="1" xfId="2" applyNumberFormat="1" applyFon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6" borderId="0" xfId="0" applyFill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1" fillId="6" borderId="1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11" fontId="11" fillId="6" borderId="1" xfId="1" applyNumberFormat="1" applyFont="1" applyFill="1" applyBorder="1" applyAlignment="1">
      <alignment horizontal="center" vertical="center"/>
    </xf>
    <xf numFmtId="0" fontId="10" fillId="5" borderId="1" xfId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10" fillId="0" borderId="0" xfId="1" applyFill="1"/>
    <xf numFmtId="0" fontId="1" fillId="0" borderId="0" xfId="1" applyFont="1"/>
    <xf numFmtId="0" fontId="20" fillId="5" borderId="0" xfId="1" applyFont="1" applyFill="1" applyAlignment="1">
      <alignment horizontal="center" vertical="center"/>
    </xf>
    <xf numFmtId="10" fontId="10" fillId="0" borderId="1" xfId="2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71" fontId="10" fillId="0" borderId="1" xfId="1" applyNumberFormat="1" applyBorder="1" applyAlignment="1">
      <alignment horizontal="center" vertical="center"/>
    </xf>
    <xf numFmtId="170" fontId="10" fillId="0" borderId="1" xfId="1" applyNumberFormat="1" applyBorder="1" applyAlignment="1">
      <alignment horizontal="center" vertical="center"/>
    </xf>
    <xf numFmtId="9" fontId="10" fillId="0" borderId="1" xfId="2" applyFont="1" applyBorder="1" applyAlignment="1">
      <alignment horizontal="center" vertical="center"/>
    </xf>
    <xf numFmtId="179" fontId="10" fillId="0" borderId="1" xfId="2" applyNumberFormat="1" applyFont="1" applyBorder="1" applyAlignment="1">
      <alignment horizontal="center" vertical="center"/>
    </xf>
    <xf numFmtId="0" fontId="9" fillId="5" borderId="6" xfId="1" applyFont="1" applyFill="1" applyBorder="1" applyAlignment="1">
      <alignment horizontal="center" vertical="center"/>
    </xf>
    <xf numFmtId="9" fontId="10" fillId="0" borderId="6" xfId="2" applyNumberFormat="1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0" fillId="0" borderId="0" xfId="1" applyFill="1" applyBorder="1"/>
    <xf numFmtId="0" fontId="11" fillId="0" borderId="7" xfId="1" applyFont="1" applyFill="1" applyBorder="1" applyAlignment="1">
      <alignment horizontal="center" vertical="center"/>
    </xf>
    <xf numFmtId="0" fontId="10" fillId="0" borderId="7" xfId="1" applyFill="1" applyBorder="1"/>
    <xf numFmtId="0" fontId="11" fillId="5" borderId="3" xfId="1" applyFont="1" applyFill="1" applyBorder="1" applyAlignment="1">
      <alignment horizontal="center" vertical="center"/>
    </xf>
    <xf numFmtId="0" fontId="11" fillId="5" borderId="8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168" fontId="10" fillId="0" borderId="0" xfId="1" applyNumberFormat="1" applyBorder="1" applyAlignment="1">
      <alignment horizontal="center" vertical="center"/>
    </xf>
    <xf numFmtId="2" fontId="10" fillId="0" borderId="0" xfId="1" applyNumberFormat="1" applyBorder="1" applyAlignment="1">
      <alignment horizontal="center" vertical="center"/>
    </xf>
    <xf numFmtId="0" fontId="20" fillId="0" borderId="0" xfId="1" applyFont="1" applyFill="1" applyAlignment="1">
      <alignment vertical="center"/>
    </xf>
    <xf numFmtId="0" fontId="1" fillId="7" borderId="4" xfId="1" applyFont="1" applyFill="1" applyBorder="1" applyAlignment="1">
      <alignment horizontal="center"/>
    </xf>
    <xf numFmtId="0" fontId="10" fillId="7" borderId="4" xfId="1" applyFill="1" applyBorder="1" applyAlignment="1">
      <alignment horizontal="center"/>
    </xf>
    <xf numFmtId="0" fontId="11" fillId="8" borderId="1" xfId="1" applyFont="1" applyFill="1" applyBorder="1" applyAlignment="1">
      <alignment horizontal="center" vertical="center"/>
    </xf>
    <xf numFmtId="0" fontId="10" fillId="8" borderId="1" xfId="1" applyFill="1" applyBorder="1" applyAlignment="1">
      <alignment horizontal="center" vertical="center"/>
    </xf>
    <xf numFmtId="167" fontId="10" fillId="8" borderId="1" xfId="1" applyNumberFormat="1" applyFill="1" applyBorder="1" applyAlignment="1">
      <alignment horizontal="center" vertical="center"/>
    </xf>
    <xf numFmtId="165" fontId="10" fillId="8" borderId="1" xfId="1" applyNumberFormat="1" applyFill="1" applyBorder="1" applyAlignment="1">
      <alignment horizontal="center" vertical="center"/>
    </xf>
    <xf numFmtId="164" fontId="10" fillId="8" borderId="1" xfId="1" applyNumberFormat="1" applyFill="1" applyBorder="1" applyAlignment="1">
      <alignment horizontal="center" vertical="center"/>
    </xf>
    <xf numFmtId="11" fontId="10" fillId="8" borderId="1" xfId="1" applyNumberFormat="1" applyFill="1" applyBorder="1" applyAlignment="1">
      <alignment horizontal="center" vertical="center"/>
    </xf>
    <xf numFmtId="177" fontId="10" fillId="0" borderId="1" xfId="1" applyNumberForma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185" fontId="10" fillId="0" borderId="1" xfId="1" applyNumberFormat="1" applyBorder="1" applyAlignment="1">
      <alignment horizontal="center" vertical="center"/>
    </xf>
    <xf numFmtId="230" fontId="10" fillId="0" borderId="1" xfId="2" applyNumberFormat="1" applyFont="1" applyBorder="1" applyAlignment="1">
      <alignment horizontal="center" vertical="center"/>
    </xf>
    <xf numFmtId="2" fontId="10" fillId="4" borderId="1" xfId="1" applyNumberForma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/>
    </xf>
    <xf numFmtId="0" fontId="10" fillId="5" borderId="1" xfId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10" fillId="5" borderId="1" xfId="1" applyFill="1" applyBorder="1" applyAlignment="1">
      <alignment horizontal="center" vertical="center"/>
    </xf>
    <xf numFmtId="170" fontId="10" fillId="0" borderId="1" xfId="1" applyNumberFormat="1" applyBorder="1" applyAlignment="1">
      <alignment horizontal="center"/>
    </xf>
    <xf numFmtId="0" fontId="10" fillId="0" borderId="5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8" borderId="1" xfId="1" applyFill="1" applyBorder="1" applyAlignment="1">
      <alignment horizontal="center"/>
    </xf>
    <xf numFmtId="168" fontId="10" fillId="8" borderId="1" xfId="1" applyNumberFormat="1" applyFill="1" applyBorder="1" applyAlignment="1">
      <alignment horizontal="center"/>
    </xf>
    <xf numFmtId="166" fontId="10" fillId="8" borderId="1" xfId="1" applyNumberFormat="1" applyFill="1" applyBorder="1" applyAlignment="1">
      <alignment horizontal="center"/>
    </xf>
    <xf numFmtId="0" fontId="11" fillId="3" borderId="4" xfId="1" applyFont="1" applyFill="1" applyBorder="1" applyAlignment="1">
      <alignment horizontal="center" vertical="center"/>
    </xf>
    <xf numFmtId="0" fontId="10" fillId="0" borderId="0" xfId="1" applyFill="1" applyBorder="1" applyAlignment="1">
      <alignment horizontal="center" vertical="center"/>
    </xf>
    <xf numFmtId="0" fontId="10" fillId="8" borderId="1" xfId="1" applyFill="1" applyBorder="1" applyAlignment="1">
      <alignment horizontal="center" vertical="center"/>
    </xf>
    <xf numFmtId="0" fontId="10" fillId="8" borderId="1" xfId="1" applyFill="1" applyBorder="1"/>
    <xf numFmtId="2" fontId="10" fillId="0" borderId="1" xfId="1" applyNumberFormat="1" applyBorder="1" applyAlignment="1">
      <alignment horizontal="center"/>
    </xf>
    <xf numFmtId="0" fontId="19" fillId="9" borderId="0" xfId="1" applyFont="1" applyFill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19" fillId="0" borderId="0" xfId="1" applyFont="1" applyFill="1" applyAlignment="1"/>
  </cellXfs>
  <cellStyles count="3">
    <cellStyle name="Normal" xfId="0" builtinId="0"/>
    <cellStyle name="Normal 2" xfId="1" xr:uid="{CC7365FC-5CE6-4C46-BE68-04759038F1BB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40" b="0" i="0" u="none" strike="noStrike" baseline="0">
                <a:effectLst/>
              </a:rPr>
              <a:t>V</a:t>
            </a:r>
            <a:r>
              <a:rPr lang="en-GB" sz="1440" b="0" i="0" u="none" strike="noStrike" baseline="-25000">
                <a:effectLst/>
              </a:rPr>
              <a:t>r</a:t>
            </a:r>
            <a:r>
              <a:rPr lang="en-GB" sz="1440" b="0" i="0" u="none" strike="noStrike" baseline="0">
                <a:effectLst/>
              </a:rPr>
              <a:t> (Z</a:t>
            </a:r>
            <a:r>
              <a:rPr lang="en-GB" sz="1440" b="0" i="0" u="none" strike="noStrike" baseline="-25000">
                <a:effectLst/>
              </a:rPr>
              <a:t>L</a:t>
            </a:r>
            <a:r>
              <a:rPr lang="en-GB" sz="1440" b="0" i="0" u="none" strike="noStrike" baseline="0"/>
              <a:t> </a:t>
            </a:r>
            <a:r>
              <a:rPr lang="en-GB" sz="1440" b="0" i="0" u="none" strike="noStrike" baseline="0">
                <a:effectLst/>
              </a:rPr>
              <a:t>)</a:t>
            </a:r>
            <a:r>
              <a:rPr lang="en-GB" sz="144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4977264071013826E-2"/>
          <c:y val="0.15222845654824049"/>
          <c:w val="0.86529914264172059"/>
          <c:h val="0.6778959519474804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1'!$O$2</c:f>
                <c:numCache>
                  <c:formatCode>General</c:formatCode>
                  <c:ptCount val="1"/>
                </c:numCache>
              </c:numRef>
            </c:plus>
            <c:minus>
              <c:numRef>
                <c:f>'Parte 1'!$O$2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1'!$B$4:$B$115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150</c:v>
                </c:pt>
                <c:pt idx="101">
                  <c:v>200</c:v>
                </c:pt>
                <c:pt idx="102">
                  <c:v>250</c:v>
                </c:pt>
                <c:pt idx="103">
                  <c:v>300</c:v>
                </c:pt>
                <c:pt idx="104">
                  <c:v>350</c:v>
                </c:pt>
                <c:pt idx="105">
                  <c:v>400</c:v>
                </c:pt>
                <c:pt idx="106">
                  <c:v>450</c:v>
                </c:pt>
                <c:pt idx="107">
                  <c:v>500</c:v>
                </c:pt>
                <c:pt idx="108">
                  <c:v>550</c:v>
                </c:pt>
                <c:pt idx="109">
                  <c:v>600</c:v>
                </c:pt>
                <c:pt idx="110">
                  <c:v>650</c:v>
                </c:pt>
                <c:pt idx="111">
                  <c:v>700</c:v>
                </c:pt>
              </c:numCache>
            </c:numRef>
          </c:xVal>
          <c:yVal>
            <c:numRef>
              <c:f>'Parte 1'!$E$4:$E$115</c:f>
              <c:numCache>
                <c:formatCode>General</c:formatCode>
                <c:ptCount val="112"/>
                <c:pt idx="0">
                  <c:v>-2.2400000000000002</c:v>
                </c:pt>
                <c:pt idx="1">
                  <c:v>-2.2000000000000002</c:v>
                </c:pt>
                <c:pt idx="2">
                  <c:v>-2.14</c:v>
                </c:pt>
                <c:pt idx="3">
                  <c:v>-2.06</c:v>
                </c:pt>
                <c:pt idx="4">
                  <c:v>-1.96</c:v>
                </c:pt>
                <c:pt idx="5">
                  <c:v>-1.88</c:v>
                </c:pt>
                <c:pt idx="6">
                  <c:v>-1.8199999999999998</c:v>
                </c:pt>
                <c:pt idx="7">
                  <c:v>-1.7599999999999998</c:v>
                </c:pt>
                <c:pt idx="8">
                  <c:v>-1.6800000000000002</c:v>
                </c:pt>
                <c:pt idx="9">
                  <c:v>-1.6199999999999999</c:v>
                </c:pt>
                <c:pt idx="10">
                  <c:v>-1.5599999999999998</c:v>
                </c:pt>
                <c:pt idx="11">
                  <c:v>-1.52</c:v>
                </c:pt>
                <c:pt idx="12">
                  <c:v>-1.46</c:v>
                </c:pt>
                <c:pt idx="13">
                  <c:v>-1.4000000000000001</c:v>
                </c:pt>
                <c:pt idx="14">
                  <c:v>-1.36</c:v>
                </c:pt>
                <c:pt idx="15">
                  <c:v>-1.3</c:v>
                </c:pt>
                <c:pt idx="16">
                  <c:v>-1.28</c:v>
                </c:pt>
                <c:pt idx="17">
                  <c:v>-1.22</c:v>
                </c:pt>
                <c:pt idx="18">
                  <c:v>-1.1599999999999999</c:v>
                </c:pt>
                <c:pt idx="19">
                  <c:v>-1.1400000000000001</c:v>
                </c:pt>
                <c:pt idx="20">
                  <c:v>-1.08</c:v>
                </c:pt>
                <c:pt idx="21">
                  <c:v>-1.04</c:v>
                </c:pt>
                <c:pt idx="22" formatCode="0.00">
                  <c:v>-1</c:v>
                </c:pt>
                <c:pt idx="23">
                  <c:v>-0.98</c:v>
                </c:pt>
                <c:pt idx="24">
                  <c:v>-0.94</c:v>
                </c:pt>
                <c:pt idx="25">
                  <c:v>-0.9</c:v>
                </c:pt>
                <c:pt idx="26">
                  <c:v>-0.84</c:v>
                </c:pt>
                <c:pt idx="27">
                  <c:v>-0.82000000000000006</c:v>
                </c:pt>
                <c:pt idx="28">
                  <c:v>-0.76</c:v>
                </c:pt>
                <c:pt idx="29">
                  <c:v>-0.60000000000000009</c:v>
                </c:pt>
                <c:pt idx="30">
                  <c:v>-0.48</c:v>
                </c:pt>
                <c:pt idx="31">
                  <c:v>-0.52800000000000002</c:v>
                </c:pt>
                <c:pt idx="32">
                  <c:v>-0.504</c:v>
                </c:pt>
                <c:pt idx="33">
                  <c:v>-0.46400000000000008</c:v>
                </c:pt>
                <c:pt idx="34">
                  <c:v>-0.42400000000000004</c:v>
                </c:pt>
                <c:pt idx="35">
                  <c:v>-0.4</c:v>
                </c:pt>
                <c:pt idx="36">
                  <c:v>-0.34399999999999997</c:v>
                </c:pt>
                <c:pt idx="37">
                  <c:v>-0.32000000000000006</c:v>
                </c:pt>
                <c:pt idx="38">
                  <c:v>-0.28000000000000003</c:v>
                </c:pt>
                <c:pt idx="39">
                  <c:v>-0.32000000000000006</c:v>
                </c:pt>
                <c:pt idx="40">
                  <c:v>-0.28000000000000003</c:v>
                </c:pt>
                <c:pt idx="41">
                  <c:v>-0.248</c:v>
                </c:pt>
                <c:pt idx="42">
                  <c:v>-0.21599999999999997</c:v>
                </c:pt>
                <c:pt idx="43">
                  <c:v>-0.19200000000000006</c:v>
                </c:pt>
                <c:pt idx="44">
                  <c:v>-0.14400000000000002</c:v>
                </c:pt>
                <c:pt idx="45">
                  <c:v>-0.12</c:v>
                </c:pt>
                <c:pt idx="46">
                  <c:v>-7.999999999999996E-2</c:v>
                </c:pt>
                <c:pt idx="47">
                  <c:v>-4.8000000000000043E-2</c:v>
                </c:pt>
                <c:pt idx="48">
                  <c:v>-8.0000000000000071E-3</c:v>
                </c:pt>
                <c:pt idx="49">
                  <c:v>-4.8000000000000043E-2</c:v>
                </c:pt>
                <c:pt idx="50">
                  <c:v>-1.6000000000000014E-2</c:v>
                </c:pt>
                <c:pt idx="51" formatCode="0.000">
                  <c:v>8.0000000000000071E-3</c:v>
                </c:pt>
                <c:pt idx="52" formatCode="0.000">
                  <c:v>3.9999999999999925E-2</c:v>
                </c:pt>
                <c:pt idx="53">
                  <c:v>8.7999999999999967E-2</c:v>
                </c:pt>
                <c:pt idx="54">
                  <c:v>0.128</c:v>
                </c:pt>
                <c:pt idx="55">
                  <c:v>0.16800000000000004</c:v>
                </c:pt>
                <c:pt idx="56">
                  <c:v>0.18400000000000005</c:v>
                </c:pt>
                <c:pt idx="57">
                  <c:v>0.21599999999999997</c:v>
                </c:pt>
                <c:pt idx="58">
                  <c:v>0.248</c:v>
                </c:pt>
                <c:pt idx="59">
                  <c:v>0.19999999999999996</c:v>
                </c:pt>
                <c:pt idx="60">
                  <c:v>0.22399999999999998</c:v>
                </c:pt>
                <c:pt idx="61">
                  <c:v>0.25600000000000001</c:v>
                </c:pt>
                <c:pt idx="62">
                  <c:v>0.27999999999999992</c:v>
                </c:pt>
                <c:pt idx="63">
                  <c:v>0.30399999999999994</c:v>
                </c:pt>
                <c:pt idx="64">
                  <c:v>0.32799999999999996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0.40800000000000003</c:v>
                </c:pt>
                <c:pt idx="68">
                  <c:v>0.43199999999999994</c:v>
                </c:pt>
                <c:pt idx="69">
                  <c:v>0.37600000000000006</c:v>
                </c:pt>
                <c:pt idx="70">
                  <c:v>0.39199999999999996</c:v>
                </c:pt>
                <c:pt idx="71">
                  <c:v>0.41599999999999998</c:v>
                </c:pt>
                <c:pt idx="72">
                  <c:v>0.44</c:v>
                </c:pt>
                <c:pt idx="73">
                  <c:v>0.45600000000000002</c:v>
                </c:pt>
                <c:pt idx="74">
                  <c:v>0.48800000000000004</c:v>
                </c:pt>
                <c:pt idx="75">
                  <c:v>0.52</c:v>
                </c:pt>
                <c:pt idx="76">
                  <c:v>0.53600000000000003</c:v>
                </c:pt>
                <c:pt idx="77">
                  <c:v>0.55200000000000005</c:v>
                </c:pt>
                <c:pt idx="78">
                  <c:v>0.57000000000000006</c:v>
                </c:pt>
                <c:pt idx="79">
                  <c:v>0.53600000000000003</c:v>
                </c:pt>
                <c:pt idx="80">
                  <c:v>0.55200000000000005</c:v>
                </c:pt>
                <c:pt idx="81">
                  <c:v>0.57600000000000007</c:v>
                </c:pt>
                <c:pt idx="82">
                  <c:v>0.59200000000000008</c:v>
                </c:pt>
                <c:pt idx="83">
                  <c:v>0.60799999999999998</c:v>
                </c:pt>
                <c:pt idx="84">
                  <c:v>0.63200000000000001</c:v>
                </c:pt>
                <c:pt idx="85">
                  <c:v>0.64800000000000002</c:v>
                </c:pt>
                <c:pt idx="86">
                  <c:v>0.66800000000000004</c:v>
                </c:pt>
                <c:pt idx="87">
                  <c:v>0.68800000000000006</c:v>
                </c:pt>
                <c:pt idx="88">
                  <c:v>0.70800000000000007</c:v>
                </c:pt>
                <c:pt idx="89">
                  <c:v>0.68</c:v>
                </c:pt>
                <c:pt idx="90">
                  <c:v>0.69599999999999995</c:v>
                </c:pt>
                <c:pt idx="91">
                  <c:v>0.72399999999999998</c:v>
                </c:pt>
                <c:pt idx="92">
                  <c:v>0.74</c:v>
                </c:pt>
                <c:pt idx="93">
                  <c:v>0.748</c:v>
                </c:pt>
                <c:pt idx="94">
                  <c:v>0.75800000000000001</c:v>
                </c:pt>
                <c:pt idx="95">
                  <c:v>0.77800000000000002</c:v>
                </c:pt>
                <c:pt idx="96">
                  <c:v>0.79</c:v>
                </c:pt>
                <c:pt idx="97">
                  <c:v>0.8</c:v>
                </c:pt>
                <c:pt idx="98">
                  <c:v>0.82000000000000006</c:v>
                </c:pt>
                <c:pt idx="99">
                  <c:v>0.72799999999999998</c:v>
                </c:pt>
                <c:pt idx="100">
                  <c:v>1.202</c:v>
                </c:pt>
                <c:pt idx="101">
                  <c:v>1.3220000000000001</c:v>
                </c:pt>
                <c:pt idx="102">
                  <c:v>1.532</c:v>
                </c:pt>
                <c:pt idx="103">
                  <c:v>1.5920000000000001</c:v>
                </c:pt>
                <c:pt idx="104">
                  <c:v>1.74</c:v>
                </c:pt>
                <c:pt idx="105">
                  <c:v>1.76</c:v>
                </c:pt>
                <c:pt idx="106">
                  <c:v>1.84</c:v>
                </c:pt>
                <c:pt idx="107">
                  <c:v>1.8800000000000001</c:v>
                </c:pt>
                <c:pt idx="108">
                  <c:v>1.92</c:v>
                </c:pt>
                <c:pt idx="109">
                  <c:v>1.94</c:v>
                </c:pt>
                <c:pt idx="110">
                  <c:v>2</c:v>
                </c:pt>
                <c:pt idx="111">
                  <c:v>1.98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7-4366-B00E-88B210307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529664"/>
        <c:axId val="712293328"/>
      </c:scatterChart>
      <c:valAx>
        <c:axId val="12265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u="none" strike="noStrike" baseline="0">
                    <a:effectLst/>
                  </a:rPr>
                  <a:t>Z</a:t>
                </a:r>
                <a:r>
                  <a:rPr lang="en-GB" sz="1200" b="0" i="0" u="none" strike="noStrike" baseline="-25000">
                    <a:effectLst/>
                  </a:rPr>
                  <a:t>L</a:t>
                </a:r>
                <a:r>
                  <a:rPr lang="en-GB" sz="1200" b="0" i="0" u="none" strike="noStrike" baseline="0"/>
                  <a:t> </a:t>
                </a:r>
                <a:r>
                  <a:rPr lang="pt-PT"/>
                  <a:t>(</a:t>
                </a:r>
                <a:r>
                  <a:rPr lang="el-GR"/>
                  <a:t>Ω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712293328"/>
        <c:crossesAt val="-100"/>
        <c:crossBetween val="midCat"/>
      </c:valAx>
      <c:valAx>
        <c:axId val="7122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u="none" strike="noStrike" baseline="0">
                    <a:effectLst/>
                  </a:rPr>
                  <a:t>V</a:t>
                </a:r>
                <a:r>
                  <a:rPr lang="en-GB" sz="1200" b="0" i="0" u="none" strike="noStrike" baseline="-25000">
                    <a:effectLst/>
                  </a:rPr>
                  <a:t>r</a:t>
                </a:r>
                <a:r>
                  <a:rPr lang="en-GB" sz="1200" b="0" i="0" u="none" strike="noStrike" baseline="0">
                    <a:effectLst/>
                  </a:rPr>
                  <a:t> (V)</a:t>
                </a:r>
                <a:r>
                  <a:rPr lang="en-GB" sz="1200" b="0" i="0" u="none" strike="noStrike" baseline="0"/>
                  <a:t>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8.4019556785411703E-3"/>
              <c:y val="0.43810637277681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26529664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81471578145525"/>
          <c:y val="0.75758031454037389"/>
          <c:w val="0.15105129381038626"/>
          <c:h val="7.1219642071346609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Amp.</a:t>
            </a:r>
            <a:r>
              <a:rPr lang="pt-PT" baseline="0"/>
              <a:t> Impulso VS Amp. Ajuste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Amp. Impulso [R]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1'!$O$2</c:f>
                <c:numCache>
                  <c:formatCode>General</c:formatCode>
                  <c:ptCount val="1"/>
                </c:numCache>
              </c:numRef>
            </c:plus>
            <c:minus>
              <c:numRef>
                <c:f>'Parte 1'!$O$2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1'!$B$4:$B$115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150</c:v>
                </c:pt>
                <c:pt idx="101">
                  <c:v>200</c:v>
                </c:pt>
                <c:pt idx="102">
                  <c:v>250</c:v>
                </c:pt>
                <c:pt idx="103">
                  <c:v>300</c:v>
                </c:pt>
                <c:pt idx="104">
                  <c:v>350</c:v>
                </c:pt>
                <c:pt idx="105">
                  <c:v>400</c:v>
                </c:pt>
                <c:pt idx="106">
                  <c:v>450</c:v>
                </c:pt>
                <c:pt idx="107">
                  <c:v>500</c:v>
                </c:pt>
                <c:pt idx="108">
                  <c:v>550</c:v>
                </c:pt>
                <c:pt idx="109">
                  <c:v>600</c:v>
                </c:pt>
                <c:pt idx="110">
                  <c:v>650</c:v>
                </c:pt>
                <c:pt idx="111">
                  <c:v>700</c:v>
                </c:pt>
              </c:numCache>
            </c:numRef>
          </c:xVal>
          <c:yVal>
            <c:numRef>
              <c:f>'Parte 1'!$E$4:$E$115</c:f>
              <c:numCache>
                <c:formatCode>General</c:formatCode>
                <c:ptCount val="112"/>
                <c:pt idx="0">
                  <c:v>-2.2400000000000002</c:v>
                </c:pt>
                <c:pt idx="1">
                  <c:v>-2.2000000000000002</c:v>
                </c:pt>
                <c:pt idx="2">
                  <c:v>-2.14</c:v>
                </c:pt>
                <c:pt idx="3">
                  <c:v>-2.06</c:v>
                </c:pt>
                <c:pt idx="4">
                  <c:v>-1.96</c:v>
                </c:pt>
                <c:pt idx="5">
                  <c:v>-1.88</c:v>
                </c:pt>
                <c:pt idx="6">
                  <c:v>-1.8199999999999998</c:v>
                </c:pt>
                <c:pt idx="7">
                  <c:v>-1.7599999999999998</c:v>
                </c:pt>
                <c:pt idx="8">
                  <c:v>-1.6800000000000002</c:v>
                </c:pt>
                <c:pt idx="9">
                  <c:v>-1.6199999999999999</c:v>
                </c:pt>
                <c:pt idx="10">
                  <c:v>-1.5599999999999998</c:v>
                </c:pt>
                <c:pt idx="11">
                  <c:v>-1.52</c:v>
                </c:pt>
                <c:pt idx="12">
                  <c:v>-1.46</c:v>
                </c:pt>
                <c:pt idx="13">
                  <c:v>-1.4000000000000001</c:v>
                </c:pt>
                <c:pt idx="14">
                  <c:v>-1.36</c:v>
                </c:pt>
                <c:pt idx="15">
                  <c:v>-1.3</c:v>
                </c:pt>
                <c:pt idx="16">
                  <c:v>-1.28</c:v>
                </c:pt>
                <c:pt idx="17">
                  <c:v>-1.22</c:v>
                </c:pt>
                <c:pt idx="18">
                  <c:v>-1.1599999999999999</c:v>
                </c:pt>
                <c:pt idx="19">
                  <c:v>-1.1400000000000001</c:v>
                </c:pt>
                <c:pt idx="20">
                  <c:v>-1.08</c:v>
                </c:pt>
                <c:pt idx="21">
                  <c:v>-1.04</c:v>
                </c:pt>
                <c:pt idx="22" formatCode="0.00">
                  <c:v>-1</c:v>
                </c:pt>
                <c:pt idx="23">
                  <c:v>-0.98</c:v>
                </c:pt>
                <c:pt idx="24">
                  <c:v>-0.94</c:v>
                </c:pt>
                <c:pt idx="25">
                  <c:v>-0.9</c:v>
                </c:pt>
                <c:pt idx="26">
                  <c:v>-0.84</c:v>
                </c:pt>
                <c:pt idx="27">
                  <c:v>-0.82000000000000006</c:v>
                </c:pt>
                <c:pt idx="28">
                  <c:v>-0.76</c:v>
                </c:pt>
                <c:pt idx="29">
                  <c:v>-0.60000000000000009</c:v>
                </c:pt>
                <c:pt idx="30">
                  <c:v>-0.48</c:v>
                </c:pt>
                <c:pt idx="31">
                  <c:v>-0.52800000000000002</c:v>
                </c:pt>
                <c:pt idx="32">
                  <c:v>-0.504</c:v>
                </c:pt>
                <c:pt idx="33">
                  <c:v>-0.46400000000000008</c:v>
                </c:pt>
                <c:pt idx="34">
                  <c:v>-0.42400000000000004</c:v>
                </c:pt>
                <c:pt idx="35">
                  <c:v>-0.4</c:v>
                </c:pt>
                <c:pt idx="36">
                  <c:v>-0.34399999999999997</c:v>
                </c:pt>
                <c:pt idx="37">
                  <c:v>-0.32000000000000006</c:v>
                </c:pt>
                <c:pt idx="38">
                  <c:v>-0.28000000000000003</c:v>
                </c:pt>
                <c:pt idx="39">
                  <c:v>-0.32000000000000006</c:v>
                </c:pt>
                <c:pt idx="40">
                  <c:v>-0.28000000000000003</c:v>
                </c:pt>
                <c:pt idx="41">
                  <c:v>-0.248</c:v>
                </c:pt>
                <c:pt idx="42">
                  <c:v>-0.21599999999999997</c:v>
                </c:pt>
                <c:pt idx="43">
                  <c:v>-0.19200000000000006</c:v>
                </c:pt>
                <c:pt idx="44">
                  <c:v>-0.14400000000000002</c:v>
                </c:pt>
                <c:pt idx="45">
                  <c:v>-0.12</c:v>
                </c:pt>
                <c:pt idx="46">
                  <c:v>-7.999999999999996E-2</c:v>
                </c:pt>
                <c:pt idx="47">
                  <c:v>-4.8000000000000043E-2</c:v>
                </c:pt>
                <c:pt idx="48">
                  <c:v>-8.0000000000000071E-3</c:v>
                </c:pt>
                <c:pt idx="49">
                  <c:v>-4.8000000000000043E-2</c:v>
                </c:pt>
                <c:pt idx="50">
                  <c:v>-1.6000000000000014E-2</c:v>
                </c:pt>
                <c:pt idx="51" formatCode="0.000">
                  <c:v>8.0000000000000071E-3</c:v>
                </c:pt>
                <c:pt idx="52" formatCode="0.000">
                  <c:v>3.9999999999999925E-2</c:v>
                </c:pt>
                <c:pt idx="53">
                  <c:v>8.7999999999999967E-2</c:v>
                </c:pt>
                <c:pt idx="54">
                  <c:v>0.128</c:v>
                </c:pt>
                <c:pt idx="55">
                  <c:v>0.16800000000000004</c:v>
                </c:pt>
                <c:pt idx="56">
                  <c:v>0.18400000000000005</c:v>
                </c:pt>
                <c:pt idx="57">
                  <c:v>0.21599999999999997</c:v>
                </c:pt>
                <c:pt idx="58">
                  <c:v>0.248</c:v>
                </c:pt>
                <c:pt idx="59">
                  <c:v>0.19999999999999996</c:v>
                </c:pt>
                <c:pt idx="60">
                  <c:v>0.22399999999999998</c:v>
                </c:pt>
                <c:pt idx="61">
                  <c:v>0.25600000000000001</c:v>
                </c:pt>
                <c:pt idx="62">
                  <c:v>0.27999999999999992</c:v>
                </c:pt>
                <c:pt idx="63">
                  <c:v>0.30399999999999994</c:v>
                </c:pt>
                <c:pt idx="64">
                  <c:v>0.32799999999999996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0.40800000000000003</c:v>
                </c:pt>
                <c:pt idx="68">
                  <c:v>0.43199999999999994</c:v>
                </c:pt>
                <c:pt idx="69">
                  <c:v>0.37600000000000006</c:v>
                </c:pt>
                <c:pt idx="70">
                  <c:v>0.39199999999999996</c:v>
                </c:pt>
                <c:pt idx="71">
                  <c:v>0.41599999999999998</c:v>
                </c:pt>
                <c:pt idx="72">
                  <c:v>0.44</c:v>
                </c:pt>
                <c:pt idx="73">
                  <c:v>0.45600000000000002</c:v>
                </c:pt>
                <c:pt idx="74">
                  <c:v>0.48800000000000004</c:v>
                </c:pt>
                <c:pt idx="75">
                  <c:v>0.52</c:v>
                </c:pt>
                <c:pt idx="76">
                  <c:v>0.53600000000000003</c:v>
                </c:pt>
                <c:pt idx="77">
                  <c:v>0.55200000000000005</c:v>
                </c:pt>
                <c:pt idx="78">
                  <c:v>0.57000000000000006</c:v>
                </c:pt>
                <c:pt idx="79">
                  <c:v>0.53600000000000003</c:v>
                </c:pt>
                <c:pt idx="80">
                  <c:v>0.55200000000000005</c:v>
                </c:pt>
                <c:pt idx="81">
                  <c:v>0.57600000000000007</c:v>
                </c:pt>
                <c:pt idx="82">
                  <c:v>0.59200000000000008</c:v>
                </c:pt>
                <c:pt idx="83">
                  <c:v>0.60799999999999998</c:v>
                </c:pt>
                <c:pt idx="84">
                  <c:v>0.63200000000000001</c:v>
                </c:pt>
                <c:pt idx="85">
                  <c:v>0.64800000000000002</c:v>
                </c:pt>
                <c:pt idx="86">
                  <c:v>0.66800000000000004</c:v>
                </c:pt>
                <c:pt idx="87">
                  <c:v>0.68800000000000006</c:v>
                </c:pt>
                <c:pt idx="88">
                  <c:v>0.70800000000000007</c:v>
                </c:pt>
                <c:pt idx="89">
                  <c:v>0.68</c:v>
                </c:pt>
                <c:pt idx="90">
                  <c:v>0.69599999999999995</c:v>
                </c:pt>
                <c:pt idx="91">
                  <c:v>0.72399999999999998</c:v>
                </c:pt>
                <c:pt idx="92">
                  <c:v>0.74</c:v>
                </c:pt>
                <c:pt idx="93">
                  <c:v>0.748</c:v>
                </c:pt>
                <c:pt idx="94">
                  <c:v>0.75800000000000001</c:v>
                </c:pt>
                <c:pt idx="95">
                  <c:v>0.77800000000000002</c:v>
                </c:pt>
                <c:pt idx="96">
                  <c:v>0.79</c:v>
                </c:pt>
                <c:pt idx="97">
                  <c:v>0.8</c:v>
                </c:pt>
                <c:pt idx="98">
                  <c:v>0.82000000000000006</c:v>
                </c:pt>
                <c:pt idx="99">
                  <c:v>0.72799999999999998</c:v>
                </c:pt>
                <c:pt idx="100">
                  <c:v>1.202</c:v>
                </c:pt>
                <c:pt idx="101">
                  <c:v>1.3220000000000001</c:v>
                </c:pt>
                <c:pt idx="102">
                  <c:v>1.532</c:v>
                </c:pt>
                <c:pt idx="103">
                  <c:v>1.5920000000000001</c:v>
                </c:pt>
                <c:pt idx="104">
                  <c:v>1.74</c:v>
                </c:pt>
                <c:pt idx="105">
                  <c:v>1.76</c:v>
                </c:pt>
                <c:pt idx="106">
                  <c:v>1.84</c:v>
                </c:pt>
                <c:pt idx="107">
                  <c:v>1.8800000000000001</c:v>
                </c:pt>
                <c:pt idx="108">
                  <c:v>1.92</c:v>
                </c:pt>
                <c:pt idx="109">
                  <c:v>1.94</c:v>
                </c:pt>
                <c:pt idx="110">
                  <c:v>2</c:v>
                </c:pt>
                <c:pt idx="111">
                  <c:v>1.98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D1-431F-99D0-5E69CA6B9D2D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1'!$B$3:$B$115</c:f>
              <c:numCache>
                <c:formatCode>General</c:formatCode>
                <c:ptCount val="1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150</c:v>
                </c:pt>
                <c:pt idx="102">
                  <c:v>200</c:v>
                </c:pt>
                <c:pt idx="103">
                  <c:v>250</c:v>
                </c:pt>
                <c:pt idx="104">
                  <c:v>300</c:v>
                </c:pt>
                <c:pt idx="105">
                  <c:v>350</c:v>
                </c:pt>
                <c:pt idx="106">
                  <c:v>400</c:v>
                </c:pt>
                <c:pt idx="107">
                  <c:v>450</c:v>
                </c:pt>
                <c:pt idx="108">
                  <c:v>500</c:v>
                </c:pt>
                <c:pt idx="109">
                  <c:v>550</c:v>
                </c:pt>
                <c:pt idx="110">
                  <c:v>600</c:v>
                </c:pt>
                <c:pt idx="111">
                  <c:v>650</c:v>
                </c:pt>
                <c:pt idx="112">
                  <c:v>700</c:v>
                </c:pt>
              </c:numCache>
            </c:numRef>
          </c:xVal>
          <c:yVal>
            <c:numRef>
              <c:f>'Parte 1'!$F$3:$F$115</c:f>
              <c:numCache>
                <c:formatCode>General</c:formatCode>
                <c:ptCount val="113"/>
                <c:pt idx="1">
                  <c:v>-2.2402661671124275</c:v>
                </c:pt>
                <c:pt idx="2">
                  <c:v>-2.1704937120599546</c:v>
                </c:pt>
                <c:pt idx="3">
                  <c:v>-2.101924630774386</c:v>
                </c:pt>
                <c:pt idx="4">
                  <c:v>-2.0345462928908962</c:v>
                </c:pt>
                <c:pt idx="5">
                  <c:v>-1.9683460680446607</c:v>
                </c:pt>
                <c:pt idx="6">
                  <c:v>-1.9033113258708549</c:v>
                </c:pt>
                <c:pt idx="7">
                  <c:v>-1.8394294360046541</c:v>
                </c:pt>
                <c:pt idx="8">
                  <c:v>-1.7766877680812336</c:v>
                </c:pt>
                <c:pt idx="9">
                  <c:v>-1.7150736917357685</c:v>
                </c:pt>
                <c:pt idx="10">
                  <c:v>-1.6545745766034341</c:v>
                </c:pt>
                <c:pt idx="11">
                  <c:v>-1.5951777923194055</c:v>
                </c:pt>
                <c:pt idx="12">
                  <c:v>-1.5368707085188582</c:v>
                </c:pt>
                <c:pt idx="13">
                  <c:v>-1.4796406948369678</c:v>
                </c:pt>
                <c:pt idx="14">
                  <c:v>-1.4234751209089089</c:v>
                </c:pt>
                <c:pt idx="15">
                  <c:v>-1.3683613563698573</c:v>
                </c:pt>
                <c:pt idx="16">
                  <c:v>-1.3142867708549879</c:v>
                </c:pt>
                <c:pt idx="17">
                  <c:v>-1.2612387339994759</c:v>
                </c:pt>
                <c:pt idx="18">
                  <c:v>-1.2092046154384972</c:v>
                </c:pt>
                <c:pt idx="19">
                  <c:v>-1.1581717848072264</c:v>
                </c:pt>
                <c:pt idx="20">
                  <c:v>-1.1081276117408392</c:v>
                </c:pt>
                <c:pt idx="21">
                  <c:v>-1.0590594658745105</c:v>
                </c:pt>
                <c:pt idx="22">
                  <c:v>-1.0109547168434159</c:v>
                </c:pt>
                <c:pt idx="23">
                  <c:v>-0.96380073428273061</c:v>
                </c:pt>
                <c:pt idx="24">
                  <c:v>-0.91758488782762937</c:v>
                </c:pt>
                <c:pt idx="25">
                  <c:v>-0.87229454711328813</c:v>
                </c:pt>
                <c:pt idx="26">
                  <c:v>-0.82791708177488221</c:v>
                </c:pt>
                <c:pt idx="27">
                  <c:v>-0.78443986144758648</c:v>
                </c:pt>
                <c:pt idx="28">
                  <c:v>-0.74185025576657626</c:v>
                </c:pt>
                <c:pt idx="29">
                  <c:v>-0.70013563436702664</c:v>
                </c:pt>
                <c:pt idx="30">
                  <c:v>-0.65928336688411382</c:v>
                </c:pt>
                <c:pt idx="31">
                  <c:v>-0.61928082295301179</c:v>
                </c:pt>
                <c:pt idx="32">
                  <c:v>-0.58011537220889653</c:v>
                </c:pt>
                <c:pt idx="33">
                  <c:v>-0.54177438428694313</c:v>
                </c:pt>
                <c:pt idx="34">
                  <c:v>-0.50424522882232692</c:v>
                </c:pt>
                <c:pt idx="35">
                  <c:v>-0.46751527545022364</c:v>
                </c:pt>
                <c:pt idx="36">
                  <c:v>-0.43157189380580774</c:v>
                </c:pt>
                <c:pt idx="37">
                  <c:v>-0.39640245352425474</c:v>
                </c:pt>
                <c:pt idx="38">
                  <c:v>-0.36199432424074018</c:v>
                </c:pt>
                <c:pt idx="39">
                  <c:v>-0.32833487559043872</c:v>
                </c:pt>
                <c:pt idx="40">
                  <c:v>-0.29541147720852701</c:v>
                </c:pt>
                <c:pt idx="41">
                  <c:v>-0.26321149873017857</c:v>
                </c:pt>
                <c:pt idx="42">
                  <c:v>-0.23172230979056962</c:v>
                </c:pt>
                <c:pt idx="43">
                  <c:v>-0.20093128002487548</c:v>
                </c:pt>
                <c:pt idx="44">
                  <c:v>-0.17082577906827101</c:v>
                </c:pt>
                <c:pt idx="45">
                  <c:v>-0.14139317655593153</c:v>
                </c:pt>
                <c:pt idx="46">
                  <c:v>-0.11262084212303325</c:v>
                </c:pt>
                <c:pt idx="47">
                  <c:v>-8.4496145404750145E-2</c:v>
                </c:pt>
                <c:pt idx="48">
                  <c:v>-5.700645603625798E-2</c:v>
                </c:pt>
                <c:pt idx="49">
                  <c:v>-3.0139143652732514E-2</c:v>
                </c:pt>
                <c:pt idx="50">
                  <c:v>-3.8815778893477315E-3</c:v>
                </c:pt>
                <c:pt idx="51">
                  <c:v>2.177887161871972E-2</c:v>
                </c:pt>
                <c:pt idx="52">
                  <c:v>4.6854835236294967E-2</c:v>
                </c:pt>
                <c:pt idx="53">
                  <c:v>7.1358943328203583E-2</c:v>
                </c:pt>
                <c:pt idx="54">
                  <c:v>9.5303826259269364E-2</c:v>
                </c:pt>
                <c:pt idx="55">
                  <c:v>0.11870211439431699</c:v>
                </c:pt>
                <c:pt idx="56">
                  <c:v>0.14156643809817204</c:v>
                </c:pt>
                <c:pt idx="57">
                  <c:v>0.16390942773565831</c:v>
                </c:pt>
                <c:pt idx="58">
                  <c:v>0.18574371367160136</c:v>
                </c:pt>
                <c:pt idx="59">
                  <c:v>0.20708192627082367</c:v>
                </c:pt>
                <c:pt idx="60">
                  <c:v>0.22793669589815346</c:v>
                </c:pt>
                <c:pt idx="61">
                  <c:v>0.24832065291841365</c:v>
                </c:pt>
                <c:pt idx="62">
                  <c:v>0.26824642769642892</c:v>
                </c:pt>
                <c:pt idx="63">
                  <c:v>0.2877266505970244</c:v>
                </c:pt>
                <c:pt idx="64">
                  <c:v>0.30677395198502433</c:v>
                </c:pt>
                <c:pt idx="65">
                  <c:v>0.32540096222525428</c:v>
                </c:pt>
                <c:pt idx="66">
                  <c:v>0.34362031168253759</c:v>
                </c:pt>
                <c:pt idx="67">
                  <c:v>0.3614446307217003</c:v>
                </c:pt>
                <c:pt idx="68">
                  <c:v>0.37888654970756708</c:v>
                </c:pt>
                <c:pt idx="69">
                  <c:v>0.39595869900496172</c:v>
                </c:pt>
                <c:pt idx="70">
                  <c:v>0.41267370897870848</c:v>
                </c:pt>
                <c:pt idx="71">
                  <c:v>0.42904420999363424</c:v>
                </c:pt>
                <c:pt idx="72">
                  <c:v>0.44508283241456237</c:v>
                </c:pt>
                <c:pt idx="73">
                  <c:v>0.46080220660631754</c:v>
                </c:pt>
                <c:pt idx="74">
                  <c:v>0.47621496293372534</c:v>
                </c:pt>
                <c:pt idx="75">
                  <c:v>0.49133373176160955</c:v>
                </c:pt>
                <c:pt idx="76">
                  <c:v>0.5061711434547953</c:v>
                </c:pt>
                <c:pt idx="77">
                  <c:v>0.52073982837810728</c:v>
                </c:pt>
                <c:pt idx="78">
                  <c:v>0.53505241689637062</c:v>
                </c:pt>
                <c:pt idx="79">
                  <c:v>0.54912153937440911</c:v>
                </c:pt>
                <c:pt idx="80">
                  <c:v>0.56295982617704743</c:v>
                </c:pt>
                <c:pt idx="81">
                  <c:v>0.57657990766911116</c:v>
                </c:pt>
                <c:pt idx="82">
                  <c:v>0.58999441421542631</c:v>
                </c:pt>
                <c:pt idx="83">
                  <c:v>0.60321597618081446</c:v>
                </c:pt>
                <c:pt idx="84">
                  <c:v>0.61625722393010207</c:v>
                </c:pt>
                <c:pt idx="85">
                  <c:v>0.62913078782811516</c:v>
                </c:pt>
                <c:pt idx="86">
                  <c:v>0.64184929823967574</c:v>
                </c:pt>
                <c:pt idx="87">
                  <c:v>0.65442538552960983</c:v>
                </c:pt>
                <c:pt idx="88">
                  <c:v>0.66687168006274256</c:v>
                </c:pt>
                <c:pt idx="89">
                  <c:v>0.67920081220389861</c:v>
                </c:pt>
                <c:pt idx="90">
                  <c:v>0.69142541231790222</c:v>
                </c:pt>
                <c:pt idx="91">
                  <c:v>0.70355811076957675</c:v>
                </c:pt>
                <c:pt idx="92">
                  <c:v>0.71561153792375043</c:v>
                </c:pt>
                <c:pt idx="93">
                  <c:v>0.72759832414524528</c:v>
                </c:pt>
                <c:pt idx="94">
                  <c:v>0.73953109979888643</c:v>
                </c:pt>
                <c:pt idx="95">
                  <c:v>0.75142249524949989</c:v>
                </c:pt>
                <c:pt idx="96">
                  <c:v>0.76328514086190902</c:v>
                </c:pt>
                <c:pt idx="97">
                  <c:v>0.77513166700093894</c:v>
                </c:pt>
                <c:pt idx="98">
                  <c:v>0.78697470403141434</c:v>
                </c:pt>
                <c:pt idx="99">
                  <c:v>0.79882688231816035</c:v>
                </c:pt>
                <c:pt idx="100">
                  <c:v>0.81070083222600164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D1-431F-99D0-5E69CA6B9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529664"/>
        <c:axId val="712293328"/>
      </c:scatterChart>
      <c:valAx>
        <c:axId val="12265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R(</a:t>
                </a:r>
                <a:r>
                  <a:rPr lang="el-GR"/>
                  <a:t>Ω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712293328"/>
        <c:crossesAt val="-100"/>
        <c:crossBetween val="midCat"/>
      </c:valAx>
      <c:valAx>
        <c:axId val="7122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Amp. Impulso (V)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48094196558763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26529664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6394512636711"/>
          <c:y val="0.14712136689348049"/>
          <c:w val="0.25627491008068437"/>
          <c:h val="0.15809373183351877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Amp.</a:t>
            </a:r>
            <a:r>
              <a:rPr lang="pt-PT" baseline="0"/>
              <a:t> Impulso VS Amp. Ajuste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Amp.Impulso - Aj. Polinomial(V)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1'!$O$2</c:f>
                <c:numCache>
                  <c:formatCode>General</c:formatCode>
                  <c:ptCount val="1"/>
                </c:numCache>
              </c:numRef>
            </c:plus>
            <c:minus>
              <c:numRef>
                <c:f>'Parte 1'!$O$2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1'!$B$4:$B$115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150</c:v>
                </c:pt>
                <c:pt idx="101">
                  <c:v>200</c:v>
                </c:pt>
                <c:pt idx="102">
                  <c:v>250</c:v>
                </c:pt>
                <c:pt idx="103">
                  <c:v>300</c:v>
                </c:pt>
                <c:pt idx="104">
                  <c:v>350</c:v>
                </c:pt>
                <c:pt idx="105">
                  <c:v>400</c:v>
                </c:pt>
                <c:pt idx="106">
                  <c:v>450</c:v>
                </c:pt>
                <c:pt idx="107">
                  <c:v>500</c:v>
                </c:pt>
                <c:pt idx="108">
                  <c:v>550</c:v>
                </c:pt>
                <c:pt idx="109">
                  <c:v>600</c:v>
                </c:pt>
                <c:pt idx="110">
                  <c:v>650</c:v>
                </c:pt>
                <c:pt idx="111">
                  <c:v>700</c:v>
                </c:pt>
              </c:numCache>
            </c:numRef>
          </c:xVal>
          <c:yVal>
            <c:numRef>
              <c:f>'Parte 1'!$J$4:$J$115</c:f>
              <c:numCache>
                <c:formatCode>General</c:formatCode>
                <c:ptCount val="112"/>
                <c:pt idx="0">
                  <c:v>2.6616711242732904E-4</c:v>
                </c:pt>
                <c:pt idx="1">
                  <c:v>-2.9506287940045617E-2</c:v>
                </c:pt>
                <c:pt idx="2">
                  <c:v>-3.8075369225614164E-2</c:v>
                </c:pt>
                <c:pt idx="3">
                  <c:v>-2.5453707109103885E-2</c:v>
                </c:pt>
                <c:pt idx="4">
                  <c:v>8.3460680446607594E-3</c:v>
                </c:pt>
                <c:pt idx="5">
                  <c:v>2.3311325870855049E-2</c:v>
                </c:pt>
                <c:pt idx="6">
                  <c:v>1.9429436004654299E-2</c:v>
                </c:pt>
                <c:pt idx="7">
                  <c:v>1.6687768081233845E-2</c:v>
                </c:pt>
                <c:pt idx="8">
                  <c:v>3.5073691735768353E-2</c:v>
                </c:pt>
                <c:pt idx="9">
                  <c:v>3.4574576603434215E-2</c:v>
                </c:pt>
                <c:pt idx="10">
                  <c:v>3.5177792319405654E-2</c:v>
                </c:pt>
                <c:pt idx="11">
                  <c:v>1.6870708518858191E-2</c:v>
                </c:pt>
                <c:pt idx="12">
                  <c:v>1.9640694836967842E-2</c:v>
                </c:pt>
                <c:pt idx="13">
                  <c:v>2.3475120908908798E-2</c:v>
                </c:pt>
                <c:pt idx="14">
                  <c:v>8.3613563698572424E-3</c:v>
                </c:pt>
                <c:pt idx="15">
                  <c:v>1.4286770854987862E-2</c:v>
                </c:pt>
                <c:pt idx="16">
                  <c:v>-1.8761266000524079E-2</c:v>
                </c:pt>
                <c:pt idx="17">
                  <c:v>-1.0795384561502752E-2</c:v>
                </c:pt>
                <c:pt idx="18">
                  <c:v>-1.8282151927735413E-3</c:v>
                </c:pt>
                <c:pt idx="19">
                  <c:v>-3.1872388259160944E-2</c:v>
                </c:pt>
                <c:pt idx="20">
                  <c:v>-2.0940534125489574E-2</c:v>
                </c:pt>
                <c:pt idx="21">
                  <c:v>-2.9045283156584167E-2</c:v>
                </c:pt>
                <c:pt idx="22">
                  <c:v>-3.6199265717269391E-2</c:v>
                </c:pt>
                <c:pt idx="23">
                  <c:v>-6.2415112172370613E-2</c:v>
                </c:pt>
                <c:pt idx="24">
                  <c:v>-6.7705452886711814E-2</c:v>
                </c:pt>
                <c:pt idx="25">
                  <c:v>-7.2082918225117809E-2</c:v>
                </c:pt>
                <c:pt idx="26">
                  <c:v>-5.5560138552413485E-2</c:v>
                </c:pt>
                <c:pt idx="27">
                  <c:v>-7.8149744233423801E-2</c:v>
                </c:pt>
                <c:pt idx="28">
                  <c:v>-5.9864365632973371E-2</c:v>
                </c:pt>
                <c:pt idx="29">
                  <c:v>5.9283366884113731E-2</c:v>
                </c:pt>
                <c:pt idx="30">
                  <c:v>0.13928082295301181</c:v>
                </c:pt>
                <c:pt idx="31">
                  <c:v>5.2115372208896504E-2</c:v>
                </c:pt>
                <c:pt idx="32">
                  <c:v>3.777438428694313E-2</c:v>
                </c:pt>
                <c:pt idx="33">
                  <c:v>4.024522882232684E-2</c:v>
                </c:pt>
                <c:pt idx="34">
                  <c:v>4.3515275450223601E-2</c:v>
                </c:pt>
                <c:pt idx="35">
                  <c:v>3.1571893805807716E-2</c:v>
                </c:pt>
                <c:pt idx="36">
                  <c:v>5.2402453524254766E-2</c:v>
                </c:pt>
                <c:pt idx="37">
                  <c:v>4.1994324240740122E-2</c:v>
                </c:pt>
                <c:pt idx="38">
                  <c:v>4.8334875590438697E-2</c:v>
                </c:pt>
                <c:pt idx="39">
                  <c:v>-2.4588522791473055E-2</c:v>
                </c:pt>
                <c:pt idx="40">
                  <c:v>-1.6788501269821454E-2</c:v>
                </c:pt>
                <c:pt idx="41">
                  <c:v>-1.6277690209430373E-2</c:v>
                </c:pt>
                <c:pt idx="42">
                  <c:v>-1.5068719975124489E-2</c:v>
                </c:pt>
                <c:pt idx="43">
                  <c:v>-2.1174220931729049E-2</c:v>
                </c:pt>
                <c:pt idx="44">
                  <c:v>-2.6068234440684845E-3</c:v>
                </c:pt>
                <c:pt idx="45">
                  <c:v>-7.3791578769667465E-3</c:v>
                </c:pt>
                <c:pt idx="46">
                  <c:v>4.4961454047501848E-3</c:v>
                </c:pt>
                <c:pt idx="47">
                  <c:v>9.0064560362579371E-3</c:v>
                </c:pt>
                <c:pt idx="48">
                  <c:v>2.2139143652732507E-2</c:v>
                </c:pt>
                <c:pt idx="49">
                  <c:v>-4.4118422110652311E-2</c:v>
                </c:pt>
                <c:pt idx="50">
                  <c:v>-3.7778871618719734E-2</c:v>
                </c:pt>
                <c:pt idx="51">
                  <c:v>-3.885483523629496E-2</c:v>
                </c:pt>
                <c:pt idx="52">
                  <c:v>-3.1358943328203659E-2</c:v>
                </c:pt>
                <c:pt idx="53">
                  <c:v>-7.303826259269397E-3</c:v>
                </c:pt>
                <c:pt idx="54">
                  <c:v>9.2978856056830095E-3</c:v>
                </c:pt>
                <c:pt idx="55">
                  <c:v>2.6433561901827995E-2</c:v>
                </c:pt>
                <c:pt idx="56">
                  <c:v>2.0090572264341744E-2</c:v>
                </c:pt>
                <c:pt idx="57">
                  <c:v>3.0256286328398607E-2</c:v>
                </c:pt>
                <c:pt idx="58">
                  <c:v>4.091807372917633E-2</c:v>
                </c:pt>
                <c:pt idx="59">
                  <c:v>-2.7936695898153507E-2</c:v>
                </c:pt>
                <c:pt idx="60">
                  <c:v>-2.4320652918413677E-2</c:v>
                </c:pt>
                <c:pt idx="61">
                  <c:v>-1.2246427696428919E-2</c:v>
                </c:pt>
                <c:pt idx="62">
                  <c:v>-7.726650597024487E-3</c:v>
                </c:pt>
                <c:pt idx="63">
                  <c:v>-2.7739519850243921E-3</c:v>
                </c:pt>
                <c:pt idx="64">
                  <c:v>2.5990377747456828E-3</c:v>
                </c:pt>
                <c:pt idx="65">
                  <c:v>1.6379688317462393E-2</c:v>
                </c:pt>
                <c:pt idx="66">
                  <c:v>2.2555369278299708E-2</c:v>
                </c:pt>
                <c:pt idx="67">
                  <c:v>2.9113450292432952E-2</c:v>
                </c:pt>
                <c:pt idx="68">
                  <c:v>3.6041300995038217E-2</c:v>
                </c:pt>
                <c:pt idx="69">
                  <c:v>-3.6673708978708419E-2</c:v>
                </c:pt>
                <c:pt idx="70">
                  <c:v>-3.7044209993634281E-2</c:v>
                </c:pt>
                <c:pt idx="71">
                  <c:v>-2.9082832414562387E-2</c:v>
                </c:pt>
                <c:pt idx="72">
                  <c:v>-2.0802206606317541E-2</c:v>
                </c:pt>
                <c:pt idx="73">
                  <c:v>-2.0214962933725322E-2</c:v>
                </c:pt>
                <c:pt idx="74">
                  <c:v>-3.3337317616095041E-3</c:v>
                </c:pt>
                <c:pt idx="75">
                  <c:v>1.3828856545204715E-2</c:v>
                </c:pt>
                <c:pt idx="76">
                  <c:v>1.5260171621892749E-2</c:v>
                </c:pt>
                <c:pt idx="77">
                  <c:v>1.6947583103629427E-2</c:v>
                </c:pt>
                <c:pt idx="78">
                  <c:v>2.0878460625590956E-2</c:v>
                </c:pt>
                <c:pt idx="79">
                  <c:v>-2.6959826177047397E-2</c:v>
                </c:pt>
                <c:pt idx="80">
                  <c:v>-2.4579907669111112E-2</c:v>
                </c:pt>
                <c:pt idx="81">
                  <c:v>-1.3994414215426243E-2</c:v>
                </c:pt>
                <c:pt idx="82">
                  <c:v>-1.121597618081438E-2</c:v>
                </c:pt>
                <c:pt idx="83">
                  <c:v>-8.2572239301020867E-3</c:v>
                </c:pt>
                <c:pt idx="84">
                  <c:v>2.8692121718848496E-3</c:v>
                </c:pt>
                <c:pt idx="85">
                  <c:v>6.1507017603242842E-3</c:v>
                </c:pt>
                <c:pt idx="86">
                  <c:v>1.3574614470390212E-2</c:v>
                </c:pt>
                <c:pt idx="87">
                  <c:v>2.11283199372575E-2</c:v>
                </c:pt>
                <c:pt idx="88">
                  <c:v>2.8799187796101466E-2</c:v>
                </c:pt>
                <c:pt idx="89">
                  <c:v>-1.1425412317902173E-2</c:v>
                </c:pt>
                <c:pt idx="90">
                  <c:v>-7.5581107695767979E-3</c:v>
                </c:pt>
                <c:pt idx="91">
                  <c:v>8.3884620762495476E-3</c:v>
                </c:pt>
                <c:pt idx="92">
                  <c:v>1.2401675854754712E-2</c:v>
                </c:pt>
                <c:pt idx="93">
                  <c:v>8.4689002011135717E-3</c:v>
                </c:pt>
                <c:pt idx="94">
                  <c:v>6.5775047505001183E-3</c:v>
                </c:pt>
                <c:pt idx="95">
                  <c:v>1.4714859138091008E-2</c:v>
                </c:pt>
                <c:pt idx="96">
                  <c:v>1.4868332999061096E-2</c:v>
                </c:pt>
                <c:pt idx="97">
                  <c:v>1.3025295968585704E-2</c:v>
                </c:pt>
                <c:pt idx="98">
                  <c:v>2.1173117681839715E-2</c:v>
                </c:pt>
                <c:pt idx="99">
                  <c:v>-8.2700832226001664E-2</c:v>
                </c:pt>
                <c:pt idx="100">
                  <c:v>1.202</c:v>
                </c:pt>
                <c:pt idx="101">
                  <c:v>1.3220000000000001</c:v>
                </c:pt>
                <c:pt idx="102">
                  <c:v>1.532</c:v>
                </c:pt>
                <c:pt idx="103">
                  <c:v>1.5920000000000001</c:v>
                </c:pt>
                <c:pt idx="104">
                  <c:v>1.74</c:v>
                </c:pt>
                <c:pt idx="105">
                  <c:v>1.76</c:v>
                </c:pt>
                <c:pt idx="106">
                  <c:v>1.84</c:v>
                </c:pt>
                <c:pt idx="107">
                  <c:v>1.8800000000000001</c:v>
                </c:pt>
                <c:pt idx="108">
                  <c:v>1.92</c:v>
                </c:pt>
                <c:pt idx="109">
                  <c:v>1.94</c:v>
                </c:pt>
                <c:pt idx="110">
                  <c:v>2</c:v>
                </c:pt>
                <c:pt idx="111">
                  <c:v>1.98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4-48FD-8460-C49FB6C9A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529664"/>
        <c:axId val="712293328"/>
      </c:scatterChart>
      <c:valAx>
        <c:axId val="12265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R(</a:t>
                </a:r>
                <a:r>
                  <a:rPr lang="el-GR"/>
                  <a:t>Ω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712293328"/>
        <c:crossesAt val="-100"/>
        <c:crossBetween val="midCat"/>
      </c:valAx>
      <c:valAx>
        <c:axId val="7122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Amp.Impulso</a:t>
                </a:r>
                <a:r>
                  <a:rPr lang="pt-PT" baseline="0"/>
                  <a:t> - Aj. Polinomial</a:t>
                </a:r>
                <a:r>
                  <a:rPr lang="pt-PT"/>
                  <a:t>(V)</a:t>
                </a:r>
              </a:p>
            </c:rich>
          </c:tx>
          <c:layout>
            <c:manualLayout>
              <c:xMode val="edge"/>
              <c:yMode val="edge"/>
              <c:x val="1.7535576067051372E-2"/>
              <c:y val="0.16304093425232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26529664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6394512636711"/>
          <c:y val="0.14712136689348049"/>
          <c:w val="0.2675347918944227"/>
          <c:h val="0.15809373183351877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V</a:t>
            </a:r>
            <a:r>
              <a:rPr lang="en-GB" sz="1800" b="0" i="0" baseline="-25000">
                <a:effectLst/>
              </a:rPr>
              <a:t>r</a:t>
            </a:r>
            <a:r>
              <a:rPr lang="en-GB" sz="1800" b="0" i="0" baseline="0">
                <a:effectLst/>
              </a:rPr>
              <a:t> (Z</a:t>
            </a:r>
            <a:r>
              <a:rPr lang="en-GB" sz="1800" b="0" i="0" baseline="-25000">
                <a:effectLst/>
              </a:rPr>
              <a:t>L</a:t>
            </a:r>
            <a:r>
              <a:rPr lang="en-GB" sz="1800" b="0" i="0" baseline="0">
                <a:effectLst/>
              </a:rPr>
              <a:t> ) - ajuste grau 3 </a:t>
            </a:r>
            <a:endParaRPr lang="en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432114283247707E-2"/>
          <c:y val="0.13320575184981967"/>
          <c:w val="0.86299112199082095"/>
          <c:h val="0.71183839827907625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'Parte 1'!$E$4:$E$103</c:f>
              <c:numCache>
                <c:formatCode>General</c:formatCode>
                <c:ptCount val="100"/>
                <c:pt idx="0">
                  <c:v>-2.2400000000000002</c:v>
                </c:pt>
                <c:pt idx="1">
                  <c:v>-2.2000000000000002</c:v>
                </c:pt>
                <c:pt idx="2">
                  <c:v>-2.14</c:v>
                </c:pt>
                <c:pt idx="3">
                  <c:v>-2.06</c:v>
                </c:pt>
                <c:pt idx="4">
                  <c:v>-1.96</c:v>
                </c:pt>
                <c:pt idx="5">
                  <c:v>-1.88</c:v>
                </c:pt>
                <c:pt idx="6">
                  <c:v>-1.8199999999999998</c:v>
                </c:pt>
                <c:pt idx="7">
                  <c:v>-1.7599999999999998</c:v>
                </c:pt>
                <c:pt idx="8">
                  <c:v>-1.6800000000000002</c:v>
                </c:pt>
                <c:pt idx="9">
                  <c:v>-1.6199999999999999</c:v>
                </c:pt>
                <c:pt idx="10">
                  <c:v>-1.5599999999999998</c:v>
                </c:pt>
                <c:pt idx="11">
                  <c:v>-1.52</c:v>
                </c:pt>
                <c:pt idx="12">
                  <c:v>-1.46</c:v>
                </c:pt>
                <c:pt idx="13">
                  <c:v>-1.4000000000000001</c:v>
                </c:pt>
                <c:pt idx="14">
                  <c:v>-1.36</c:v>
                </c:pt>
                <c:pt idx="15">
                  <c:v>-1.3</c:v>
                </c:pt>
                <c:pt idx="16">
                  <c:v>-1.28</c:v>
                </c:pt>
                <c:pt idx="17">
                  <c:v>-1.22</c:v>
                </c:pt>
                <c:pt idx="18">
                  <c:v>-1.1599999999999999</c:v>
                </c:pt>
                <c:pt idx="19">
                  <c:v>-1.1400000000000001</c:v>
                </c:pt>
                <c:pt idx="20">
                  <c:v>-1.08</c:v>
                </c:pt>
                <c:pt idx="21">
                  <c:v>-1.04</c:v>
                </c:pt>
                <c:pt idx="22" formatCode="0.00">
                  <c:v>-1</c:v>
                </c:pt>
                <c:pt idx="23">
                  <c:v>-0.98</c:v>
                </c:pt>
                <c:pt idx="24">
                  <c:v>-0.94</c:v>
                </c:pt>
                <c:pt idx="25">
                  <c:v>-0.9</c:v>
                </c:pt>
                <c:pt idx="26">
                  <c:v>-0.84</c:v>
                </c:pt>
                <c:pt idx="27">
                  <c:v>-0.82000000000000006</c:v>
                </c:pt>
                <c:pt idx="28">
                  <c:v>-0.76</c:v>
                </c:pt>
                <c:pt idx="29">
                  <c:v>-0.60000000000000009</c:v>
                </c:pt>
                <c:pt idx="30">
                  <c:v>-0.48</c:v>
                </c:pt>
                <c:pt idx="31">
                  <c:v>-0.52800000000000002</c:v>
                </c:pt>
                <c:pt idx="32">
                  <c:v>-0.504</c:v>
                </c:pt>
                <c:pt idx="33">
                  <c:v>-0.46400000000000008</c:v>
                </c:pt>
                <c:pt idx="34">
                  <c:v>-0.42400000000000004</c:v>
                </c:pt>
                <c:pt idx="35">
                  <c:v>-0.4</c:v>
                </c:pt>
                <c:pt idx="36">
                  <c:v>-0.34399999999999997</c:v>
                </c:pt>
                <c:pt idx="37">
                  <c:v>-0.32000000000000006</c:v>
                </c:pt>
                <c:pt idx="38">
                  <c:v>-0.28000000000000003</c:v>
                </c:pt>
                <c:pt idx="39">
                  <c:v>-0.32000000000000006</c:v>
                </c:pt>
                <c:pt idx="40">
                  <c:v>-0.28000000000000003</c:v>
                </c:pt>
                <c:pt idx="41">
                  <c:v>-0.248</c:v>
                </c:pt>
                <c:pt idx="42">
                  <c:v>-0.21599999999999997</c:v>
                </c:pt>
                <c:pt idx="43">
                  <c:v>-0.19200000000000006</c:v>
                </c:pt>
                <c:pt idx="44">
                  <c:v>-0.14400000000000002</c:v>
                </c:pt>
                <c:pt idx="45">
                  <c:v>-0.12</c:v>
                </c:pt>
                <c:pt idx="46">
                  <c:v>-7.999999999999996E-2</c:v>
                </c:pt>
                <c:pt idx="47">
                  <c:v>-4.8000000000000043E-2</c:v>
                </c:pt>
                <c:pt idx="48">
                  <c:v>-8.0000000000000071E-3</c:v>
                </c:pt>
                <c:pt idx="49">
                  <c:v>-4.8000000000000043E-2</c:v>
                </c:pt>
                <c:pt idx="50">
                  <c:v>-1.6000000000000014E-2</c:v>
                </c:pt>
                <c:pt idx="51" formatCode="0.000">
                  <c:v>8.0000000000000071E-3</c:v>
                </c:pt>
                <c:pt idx="52" formatCode="0.000">
                  <c:v>3.9999999999999925E-2</c:v>
                </c:pt>
                <c:pt idx="53">
                  <c:v>8.7999999999999967E-2</c:v>
                </c:pt>
                <c:pt idx="54">
                  <c:v>0.128</c:v>
                </c:pt>
                <c:pt idx="55">
                  <c:v>0.16800000000000004</c:v>
                </c:pt>
                <c:pt idx="56">
                  <c:v>0.18400000000000005</c:v>
                </c:pt>
                <c:pt idx="57">
                  <c:v>0.21599999999999997</c:v>
                </c:pt>
                <c:pt idx="58">
                  <c:v>0.248</c:v>
                </c:pt>
                <c:pt idx="59">
                  <c:v>0.19999999999999996</c:v>
                </c:pt>
                <c:pt idx="60">
                  <c:v>0.22399999999999998</c:v>
                </c:pt>
                <c:pt idx="61">
                  <c:v>0.25600000000000001</c:v>
                </c:pt>
                <c:pt idx="62">
                  <c:v>0.27999999999999992</c:v>
                </c:pt>
                <c:pt idx="63">
                  <c:v>0.30399999999999994</c:v>
                </c:pt>
                <c:pt idx="64">
                  <c:v>0.32799999999999996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0.40800000000000003</c:v>
                </c:pt>
                <c:pt idx="68">
                  <c:v>0.43199999999999994</c:v>
                </c:pt>
                <c:pt idx="69">
                  <c:v>0.37600000000000006</c:v>
                </c:pt>
                <c:pt idx="70">
                  <c:v>0.39199999999999996</c:v>
                </c:pt>
                <c:pt idx="71">
                  <c:v>0.41599999999999998</c:v>
                </c:pt>
                <c:pt idx="72">
                  <c:v>0.44</c:v>
                </c:pt>
                <c:pt idx="73">
                  <c:v>0.45600000000000002</c:v>
                </c:pt>
                <c:pt idx="74">
                  <c:v>0.48800000000000004</c:v>
                </c:pt>
                <c:pt idx="75">
                  <c:v>0.52</c:v>
                </c:pt>
                <c:pt idx="76">
                  <c:v>0.53600000000000003</c:v>
                </c:pt>
                <c:pt idx="77">
                  <c:v>0.55200000000000005</c:v>
                </c:pt>
                <c:pt idx="78">
                  <c:v>0.57000000000000006</c:v>
                </c:pt>
                <c:pt idx="79">
                  <c:v>0.53600000000000003</c:v>
                </c:pt>
                <c:pt idx="80">
                  <c:v>0.55200000000000005</c:v>
                </c:pt>
                <c:pt idx="81">
                  <c:v>0.57600000000000007</c:v>
                </c:pt>
                <c:pt idx="82">
                  <c:v>0.59200000000000008</c:v>
                </c:pt>
                <c:pt idx="83">
                  <c:v>0.60799999999999998</c:v>
                </c:pt>
                <c:pt idx="84">
                  <c:v>0.63200000000000001</c:v>
                </c:pt>
                <c:pt idx="85">
                  <c:v>0.64800000000000002</c:v>
                </c:pt>
                <c:pt idx="86">
                  <c:v>0.66800000000000004</c:v>
                </c:pt>
                <c:pt idx="87">
                  <c:v>0.68800000000000006</c:v>
                </c:pt>
                <c:pt idx="88">
                  <c:v>0.70800000000000007</c:v>
                </c:pt>
                <c:pt idx="89">
                  <c:v>0.68</c:v>
                </c:pt>
                <c:pt idx="90">
                  <c:v>0.69599999999999995</c:v>
                </c:pt>
                <c:pt idx="91">
                  <c:v>0.72399999999999998</c:v>
                </c:pt>
                <c:pt idx="92">
                  <c:v>0.74</c:v>
                </c:pt>
                <c:pt idx="93">
                  <c:v>0.748</c:v>
                </c:pt>
                <c:pt idx="94">
                  <c:v>0.75800000000000001</c:v>
                </c:pt>
                <c:pt idx="95">
                  <c:v>0.77800000000000002</c:v>
                </c:pt>
                <c:pt idx="96">
                  <c:v>0.79</c:v>
                </c:pt>
                <c:pt idx="97">
                  <c:v>0.8</c:v>
                </c:pt>
                <c:pt idx="98">
                  <c:v>0.82000000000000006</c:v>
                </c:pt>
                <c:pt idx="99">
                  <c:v>0.72799999999999998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5-5C44-B535-0782B062BB18}"/>
            </c:ext>
          </c:extLst>
        </c:ser>
        <c:ser>
          <c:idx val="1"/>
          <c:order val="1"/>
          <c:tx>
            <c:v>aj. polinomial(3º)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1'!$B$4:$B$103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'Parte 1'!$F$4:$F$103</c:f>
              <c:numCache>
                <c:formatCode>General</c:formatCode>
                <c:ptCount val="100"/>
                <c:pt idx="0">
                  <c:v>-2.2402661671124275</c:v>
                </c:pt>
                <c:pt idx="1">
                  <c:v>-2.1704937120599546</c:v>
                </c:pt>
                <c:pt idx="2">
                  <c:v>-2.101924630774386</c:v>
                </c:pt>
                <c:pt idx="3">
                  <c:v>-2.0345462928908962</c:v>
                </c:pt>
                <c:pt idx="4">
                  <c:v>-1.9683460680446607</c:v>
                </c:pt>
                <c:pt idx="5">
                  <c:v>-1.9033113258708549</c:v>
                </c:pt>
                <c:pt idx="6">
                  <c:v>-1.8394294360046541</c:v>
                </c:pt>
                <c:pt idx="7">
                  <c:v>-1.7766877680812336</c:v>
                </c:pt>
                <c:pt idx="8">
                  <c:v>-1.7150736917357685</c:v>
                </c:pt>
                <c:pt idx="9">
                  <c:v>-1.6545745766034341</c:v>
                </c:pt>
                <c:pt idx="10">
                  <c:v>-1.5951777923194055</c:v>
                </c:pt>
                <c:pt idx="11">
                  <c:v>-1.5368707085188582</c:v>
                </c:pt>
                <c:pt idx="12">
                  <c:v>-1.4796406948369678</c:v>
                </c:pt>
                <c:pt idx="13">
                  <c:v>-1.4234751209089089</c:v>
                </c:pt>
                <c:pt idx="14">
                  <c:v>-1.3683613563698573</c:v>
                </c:pt>
                <c:pt idx="15">
                  <c:v>-1.3142867708549879</c:v>
                </c:pt>
                <c:pt idx="16">
                  <c:v>-1.2612387339994759</c:v>
                </c:pt>
                <c:pt idx="17">
                  <c:v>-1.2092046154384972</c:v>
                </c:pt>
                <c:pt idx="18">
                  <c:v>-1.1581717848072264</c:v>
                </c:pt>
                <c:pt idx="19">
                  <c:v>-1.1081276117408392</c:v>
                </c:pt>
                <c:pt idx="20">
                  <c:v>-1.0590594658745105</c:v>
                </c:pt>
                <c:pt idx="21">
                  <c:v>-1.0109547168434159</c:v>
                </c:pt>
                <c:pt idx="22">
                  <c:v>-0.96380073428273061</c:v>
                </c:pt>
                <c:pt idx="23">
                  <c:v>-0.91758488782762937</c:v>
                </c:pt>
                <c:pt idx="24">
                  <c:v>-0.87229454711328813</c:v>
                </c:pt>
                <c:pt idx="25">
                  <c:v>-0.82791708177488221</c:v>
                </c:pt>
                <c:pt idx="26">
                  <c:v>-0.78443986144758648</c:v>
                </c:pt>
                <c:pt idx="27">
                  <c:v>-0.74185025576657626</c:v>
                </c:pt>
                <c:pt idx="28">
                  <c:v>-0.70013563436702664</c:v>
                </c:pt>
                <c:pt idx="29">
                  <c:v>-0.65928336688411382</c:v>
                </c:pt>
                <c:pt idx="30">
                  <c:v>-0.61928082295301179</c:v>
                </c:pt>
                <c:pt idx="31">
                  <c:v>-0.58011537220889653</c:v>
                </c:pt>
                <c:pt idx="32">
                  <c:v>-0.54177438428694313</c:v>
                </c:pt>
                <c:pt idx="33">
                  <c:v>-0.50424522882232692</c:v>
                </c:pt>
                <c:pt idx="34">
                  <c:v>-0.46751527545022364</c:v>
                </c:pt>
                <c:pt idx="35">
                  <c:v>-0.43157189380580774</c:v>
                </c:pt>
                <c:pt idx="36">
                  <c:v>-0.39640245352425474</c:v>
                </c:pt>
                <c:pt idx="37">
                  <c:v>-0.36199432424074018</c:v>
                </c:pt>
                <c:pt idx="38">
                  <c:v>-0.32833487559043872</c:v>
                </c:pt>
                <c:pt idx="39">
                  <c:v>-0.29541147720852701</c:v>
                </c:pt>
                <c:pt idx="40">
                  <c:v>-0.26321149873017857</c:v>
                </c:pt>
                <c:pt idx="41">
                  <c:v>-0.23172230979056962</c:v>
                </c:pt>
                <c:pt idx="42">
                  <c:v>-0.20093128002487548</c:v>
                </c:pt>
                <c:pt idx="43">
                  <c:v>-0.17082577906827101</c:v>
                </c:pt>
                <c:pt idx="44">
                  <c:v>-0.14139317655593153</c:v>
                </c:pt>
                <c:pt idx="45">
                  <c:v>-0.11262084212303325</c:v>
                </c:pt>
                <c:pt idx="46">
                  <c:v>-8.4496145404750145E-2</c:v>
                </c:pt>
                <c:pt idx="47">
                  <c:v>-5.700645603625798E-2</c:v>
                </c:pt>
                <c:pt idx="48">
                  <c:v>-3.0139143652732514E-2</c:v>
                </c:pt>
                <c:pt idx="49">
                  <c:v>-3.8815778893477315E-3</c:v>
                </c:pt>
                <c:pt idx="50">
                  <c:v>2.177887161871972E-2</c:v>
                </c:pt>
                <c:pt idx="51">
                  <c:v>4.6854835236294967E-2</c:v>
                </c:pt>
                <c:pt idx="52">
                  <c:v>7.1358943328203583E-2</c:v>
                </c:pt>
                <c:pt idx="53">
                  <c:v>9.5303826259269364E-2</c:v>
                </c:pt>
                <c:pt idx="54">
                  <c:v>0.11870211439431699</c:v>
                </c:pt>
                <c:pt idx="55">
                  <c:v>0.14156643809817204</c:v>
                </c:pt>
                <c:pt idx="56">
                  <c:v>0.16390942773565831</c:v>
                </c:pt>
                <c:pt idx="57">
                  <c:v>0.18574371367160136</c:v>
                </c:pt>
                <c:pt idx="58">
                  <c:v>0.20708192627082367</c:v>
                </c:pt>
                <c:pt idx="59">
                  <c:v>0.22793669589815346</c:v>
                </c:pt>
                <c:pt idx="60">
                  <c:v>0.24832065291841365</c:v>
                </c:pt>
                <c:pt idx="61">
                  <c:v>0.26824642769642892</c:v>
                </c:pt>
                <c:pt idx="62">
                  <c:v>0.2877266505970244</c:v>
                </c:pt>
                <c:pt idx="63">
                  <c:v>0.30677395198502433</c:v>
                </c:pt>
                <c:pt idx="64">
                  <c:v>0.32540096222525428</c:v>
                </c:pt>
                <c:pt idx="65">
                  <c:v>0.34362031168253759</c:v>
                </c:pt>
                <c:pt idx="66">
                  <c:v>0.3614446307217003</c:v>
                </c:pt>
                <c:pt idx="67">
                  <c:v>0.37888654970756708</c:v>
                </c:pt>
                <c:pt idx="68">
                  <c:v>0.39595869900496172</c:v>
                </c:pt>
                <c:pt idx="69">
                  <c:v>0.41267370897870848</c:v>
                </c:pt>
                <c:pt idx="70">
                  <c:v>0.42904420999363424</c:v>
                </c:pt>
                <c:pt idx="71">
                  <c:v>0.44508283241456237</c:v>
                </c:pt>
                <c:pt idx="72">
                  <c:v>0.46080220660631754</c:v>
                </c:pt>
                <c:pt idx="73">
                  <c:v>0.47621496293372534</c:v>
                </c:pt>
                <c:pt idx="74">
                  <c:v>0.49133373176160955</c:v>
                </c:pt>
                <c:pt idx="75">
                  <c:v>0.5061711434547953</c:v>
                </c:pt>
                <c:pt idx="76">
                  <c:v>0.52073982837810728</c:v>
                </c:pt>
                <c:pt idx="77">
                  <c:v>0.53505241689637062</c:v>
                </c:pt>
                <c:pt idx="78">
                  <c:v>0.54912153937440911</c:v>
                </c:pt>
                <c:pt idx="79">
                  <c:v>0.56295982617704743</c:v>
                </c:pt>
                <c:pt idx="80">
                  <c:v>0.57657990766911116</c:v>
                </c:pt>
                <c:pt idx="81">
                  <c:v>0.58999441421542631</c:v>
                </c:pt>
                <c:pt idx="82">
                  <c:v>0.60321597618081446</c:v>
                </c:pt>
                <c:pt idx="83">
                  <c:v>0.61625722393010207</c:v>
                </c:pt>
                <c:pt idx="84">
                  <c:v>0.62913078782811516</c:v>
                </c:pt>
                <c:pt idx="85">
                  <c:v>0.64184929823967574</c:v>
                </c:pt>
                <c:pt idx="86">
                  <c:v>0.65442538552960983</c:v>
                </c:pt>
                <c:pt idx="87">
                  <c:v>0.66687168006274256</c:v>
                </c:pt>
                <c:pt idx="88">
                  <c:v>0.67920081220389861</c:v>
                </c:pt>
                <c:pt idx="89">
                  <c:v>0.69142541231790222</c:v>
                </c:pt>
                <c:pt idx="90">
                  <c:v>0.70355811076957675</c:v>
                </c:pt>
                <c:pt idx="91">
                  <c:v>0.71561153792375043</c:v>
                </c:pt>
                <c:pt idx="92">
                  <c:v>0.72759832414524528</c:v>
                </c:pt>
                <c:pt idx="93">
                  <c:v>0.73953109979888643</c:v>
                </c:pt>
                <c:pt idx="94">
                  <c:v>0.75142249524949989</c:v>
                </c:pt>
                <c:pt idx="95">
                  <c:v>0.76328514086190902</c:v>
                </c:pt>
                <c:pt idx="96">
                  <c:v>0.77513166700093894</c:v>
                </c:pt>
                <c:pt idx="97">
                  <c:v>0.78697470403141434</c:v>
                </c:pt>
                <c:pt idx="98">
                  <c:v>0.79882688231816035</c:v>
                </c:pt>
                <c:pt idx="99">
                  <c:v>0.81070083222600164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45-5C44-B535-0782B062B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812288"/>
        <c:axId val="1586312992"/>
      </c:scatterChart>
      <c:valAx>
        <c:axId val="10428122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86312992"/>
        <c:crossesAt val="-2.5"/>
        <c:crossBetween val="midCat"/>
      </c:valAx>
      <c:valAx>
        <c:axId val="15863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281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185310030473091"/>
          <c:y val="0.65794643309384027"/>
          <c:w val="0.23984512748974646"/>
          <c:h val="0.10523895434449028"/>
        </c:manualLayout>
      </c:layout>
      <c:overlay val="0"/>
      <c:spPr>
        <a:solidFill>
          <a:sysClr val="window" lastClr="FFFFFF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Resíduos associados ao ajuste de 3º grau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'Parte 1'!$J$4:$J$103</c:f>
              <c:numCache>
                <c:formatCode>General</c:formatCode>
                <c:ptCount val="100"/>
                <c:pt idx="0">
                  <c:v>2.6616711242732904E-4</c:v>
                </c:pt>
                <c:pt idx="1">
                  <c:v>-2.9506287940045617E-2</c:v>
                </c:pt>
                <c:pt idx="2">
                  <c:v>-3.8075369225614164E-2</c:v>
                </c:pt>
                <c:pt idx="3">
                  <c:v>-2.5453707109103885E-2</c:v>
                </c:pt>
                <c:pt idx="4">
                  <c:v>8.3460680446607594E-3</c:v>
                </c:pt>
                <c:pt idx="5">
                  <c:v>2.3311325870855049E-2</c:v>
                </c:pt>
                <c:pt idx="6">
                  <c:v>1.9429436004654299E-2</c:v>
                </c:pt>
                <c:pt idx="7">
                  <c:v>1.6687768081233845E-2</c:v>
                </c:pt>
                <c:pt idx="8">
                  <c:v>3.5073691735768353E-2</c:v>
                </c:pt>
                <c:pt idx="9">
                  <c:v>3.4574576603434215E-2</c:v>
                </c:pt>
                <c:pt idx="10">
                  <c:v>3.5177792319405654E-2</c:v>
                </c:pt>
                <c:pt idx="11">
                  <c:v>1.6870708518858191E-2</c:v>
                </c:pt>
                <c:pt idx="12">
                  <c:v>1.9640694836967842E-2</c:v>
                </c:pt>
                <c:pt idx="13">
                  <c:v>2.3475120908908798E-2</c:v>
                </c:pt>
                <c:pt idx="14">
                  <c:v>8.3613563698572424E-3</c:v>
                </c:pt>
                <c:pt idx="15">
                  <c:v>1.4286770854987862E-2</c:v>
                </c:pt>
                <c:pt idx="16">
                  <c:v>-1.8761266000524079E-2</c:v>
                </c:pt>
                <c:pt idx="17">
                  <c:v>-1.0795384561502752E-2</c:v>
                </c:pt>
                <c:pt idx="18">
                  <c:v>-1.8282151927735413E-3</c:v>
                </c:pt>
                <c:pt idx="19">
                  <c:v>-3.1872388259160944E-2</c:v>
                </c:pt>
                <c:pt idx="20">
                  <c:v>-2.0940534125489574E-2</c:v>
                </c:pt>
                <c:pt idx="21">
                  <c:v>-2.9045283156584167E-2</c:v>
                </c:pt>
                <c:pt idx="22">
                  <c:v>-3.6199265717269391E-2</c:v>
                </c:pt>
                <c:pt idx="23">
                  <c:v>-6.2415112172370613E-2</c:v>
                </c:pt>
                <c:pt idx="24">
                  <c:v>-6.7705452886711814E-2</c:v>
                </c:pt>
                <c:pt idx="25">
                  <c:v>-7.2082918225117809E-2</c:v>
                </c:pt>
                <c:pt idx="26">
                  <c:v>-5.5560138552413485E-2</c:v>
                </c:pt>
                <c:pt idx="27">
                  <c:v>-7.8149744233423801E-2</c:v>
                </c:pt>
                <c:pt idx="28">
                  <c:v>-5.9864365632973371E-2</c:v>
                </c:pt>
                <c:pt idx="29">
                  <c:v>5.9283366884113731E-2</c:v>
                </c:pt>
                <c:pt idx="30">
                  <c:v>0.13928082295301181</c:v>
                </c:pt>
                <c:pt idx="31">
                  <c:v>5.2115372208896504E-2</c:v>
                </c:pt>
                <c:pt idx="32">
                  <c:v>3.777438428694313E-2</c:v>
                </c:pt>
                <c:pt idx="33">
                  <c:v>4.024522882232684E-2</c:v>
                </c:pt>
                <c:pt idx="34">
                  <c:v>4.3515275450223601E-2</c:v>
                </c:pt>
                <c:pt idx="35">
                  <c:v>3.1571893805807716E-2</c:v>
                </c:pt>
                <c:pt idx="36">
                  <c:v>5.2402453524254766E-2</c:v>
                </c:pt>
                <c:pt idx="37">
                  <c:v>4.1994324240740122E-2</c:v>
                </c:pt>
                <c:pt idx="38">
                  <c:v>4.8334875590438697E-2</c:v>
                </c:pt>
                <c:pt idx="39">
                  <c:v>-2.4588522791473055E-2</c:v>
                </c:pt>
                <c:pt idx="40">
                  <c:v>-1.6788501269821454E-2</c:v>
                </c:pt>
                <c:pt idx="41">
                  <c:v>-1.6277690209430373E-2</c:v>
                </c:pt>
                <c:pt idx="42">
                  <c:v>-1.5068719975124489E-2</c:v>
                </c:pt>
                <c:pt idx="43">
                  <c:v>-2.1174220931729049E-2</c:v>
                </c:pt>
                <c:pt idx="44">
                  <c:v>-2.6068234440684845E-3</c:v>
                </c:pt>
                <c:pt idx="45">
                  <c:v>-7.3791578769667465E-3</c:v>
                </c:pt>
                <c:pt idx="46">
                  <c:v>4.4961454047501848E-3</c:v>
                </c:pt>
                <c:pt idx="47">
                  <c:v>9.0064560362579371E-3</c:v>
                </c:pt>
                <c:pt idx="48">
                  <c:v>2.2139143652732507E-2</c:v>
                </c:pt>
                <c:pt idx="49">
                  <c:v>-4.4118422110652311E-2</c:v>
                </c:pt>
                <c:pt idx="50">
                  <c:v>-3.7778871618719734E-2</c:v>
                </c:pt>
                <c:pt idx="51">
                  <c:v>-3.885483523629496E-2</c:v>
                </c:pt>
                <c:pt idx="52">
                  <c:v>-3.1358943328203659E-2</c:v>
                </c:pt>
                <c:pt idx="53">
                  <c:v>-7.303826259269397E-3</c:v>
                </c:pt>
                <c:pt idx="54">
                  <c:v>9.2978856056830095E-3</c:v>
                </c:pt>
                <c:pt idx="55">
                  <c:v>2.6433561901827995E-2</c:v>
                </c:pt>
                <c:pt idx="56">
                  <c:v>2.0090572264341744E-2</c:v>
                </c:pt>
                <c:pt idx="57">
                  <c:v>3.0256286328398607E-2</c:v>
                </c:pt>
                <c:pt idx="58">
                  <c:v>4.091807372917633E-2</c:v>
                </c:pt>
                <c:pt idx="59">
                  <c:v>-2.7936695898153507E-2</c:v>
                </c:pt>
                <c:pt idx="60">
                  <c:v>-2.4320652918413677E-2</c:v>
                </c:pt>
                <c:pt idx="61">
                  <c:v>-1.2246427696428919E-2</c:v>
                </c:pt>
                <c:pt idx="62">
                  <c:v>-7.726650597024487E-3</c:v>
                </c:pt>
                <c:pt idx="63">
                  <c:v>-2.7739519850243921E-3</c:v>
                </c:pt>
                <c:pt idx="64">
                  <c:v>2.5990377747456828E-3</c:v>
                </c:pt>
                <c:pt idx="65">
                  <c:v>1.6379688317462393E-2</c:v>
                </c:pt>
                <c:pt idx="66">
                  <c:v>2.2555369278299708E-2</c:v>
                </c:pt>
                <c:pt idx="67">
                  <c:v>2.9113450292432952E-2</c:v>
                </c:pt>
                <c:pt idx="68">
                  <c:v>3.6041300995038217E-2</c:v>
                </c:pt>
                <c:pt idx="69">
                  <c:v>-3.6673708978708419E-2</c:v>
                </c:pt>
                <c:pt idx="70">
                  <c:v>-3.7044209993634281E-2</c:v>
                </c:pt>
                <c:pt idx="71">
                  <c:v>-2.9082832414562387E-2</c:v>
                </c:pt>
                <c:pt idx="72">
                  <c:v>-2.0802206606317541E-2</c:v>
                </c:pt>
                <c:pt idx="73">
                  <c:v>-2.0214962933725322E-2</c:v>
                </c:pt>
                <c:pt idx="74">
                  <c:v>-3.3337317616095041E-3</c:v>
                </c:pt>
                <c:pt idx="75">
                  <c:v>1.3828856545204715E-2</c:v>
                </c:pt>
                <c:pt idx="76">
                  <c:v>1.5260171621892749E-2</c:v>
                </c:pt>
                <c:pt idx="77">
                  <c:v>1.6947583103629427E-2</c:v>
                </c:pt>
                <c:pt idx="78">
                  <c:v>2.0878460625590956E-2</c:v>
                </c:pt>
                <c:pt idx="79">
                  <c:v>-2.6959826177047397E-2</c:v>
                </c:pt>
                <c:pt idx="80">
                  <c:v>-2.4579907669111112E-2</c:v>
                </c:pt>
                <c:pt idx="81">
                  <c:v>-1.3994414215426243E-2</c:v>
                </c:pt>
                <c:pt idx="82">
                  <c:v>-1.121597618081438E-2</c:v>
                </c:pt>
                <c:pt idx="83">
                  <c:v>-8.2572239301020867E-3</c:v>
                </c:pt>
                <c:pt idx="84">
                  <c:v>2.8692121718848496E-3</c:v>
                </c:pt>
                <c:pt idx="85">
                  <c:v>6.1507017603242842E-3</c:v>
                </c:pt>
                <c:pt idx="86">
                  <c:v>1.3574614470390212E-2</c:v>
                </c:pt>
                <c:pt idx="87">
                  <c:v>2.11283199372575E-2</c:v>
                </c:pt>
                <c:pt idx="88">
                  <c:v>2.8799187796101466E-2</c:v>
                </c:pt>
                <c:pt idx="89">
                  <c:v>-1.1425412317902173E-2</c:v>
                </c:pt>
                <c:pt idx="90">
                  <c:v>-7.5581107695767979E-3</c:v>
                </c:pt>
                <c:pt idx="91">
                  <c:v>8.3884620762495476E-3</c:v>
                </c:pt>
                <c:pt idx="92">
                  <c:v>1.2401675854754712E-2</c:v>
                </c:pt>
                <c:pt idx="93">
                  <c:v>8.4689002011135717E-3</c:v>
                </c:pt>
                <c:pt idx="94">
                  <c:v>6.5775047505001183E-3</c:v>
                </c:pt>
                <c:pt idx="95">
                  <c:v>1.4714859138091008E-2</c:v>
                </c:pt>
                <c:pt idx="96">
                  <c:v>1.4868332999061096E-2</c:v>
                </c:pt>
                <c:pt idx="97">
                  <c:v>1.3025295968585704E-2</c:v>
                </c:pt>
                <c:pt idx="98">
                  <c:v>2.1173117681839715E-2</c:v>
                </c:pt>
                <c:pt idx="99">
                  <c:v>-8.2700832226001664E-2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7-5844-983D-BC7742370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151567"/>
        <c:axId val="1857207584"/>
      </c:scatterChart>
      <c:valAx>
        <c:axId val="145815156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57207584"/>
        <c:crossesAt val="-0.1"/>
        <c:crossBetween val="midCat"/>
      </c:valAx>
      <c:valAx>
        <c:axId val="1857207584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Resísuos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5815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Resíduos associados ao ajuste de 3º grau (2)</a:t>
            </a:r>
            <a:endParaRPr lang="en-PT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5733958802628832E-2"/>
          <c:y val="0.13054133846730084"/>
          <c:w val="0.85614477137084599"/>
          <c:h val="0.729996142825963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1'!$B$33:$B$103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'Parte 1'!$K$33:$K$103</c:f>
              <c:numCache>
                <c:formatCode>General</c:formatCode>
                <c:ptCount val="71"/>
                <c:pt idx="0">
                  <c:v>-1.5507374246715333E-2</c:v>
                </c:pt>
                <c:pt idx="1">
                  <c:v>7.1940882366889447E-2</c:v>
                </c:pt>
                <c:pt idx="2">
                  <c:v>-8.1867428837800738E-3</c:v>
                </c:pt>
                <c:pt idx="3">
                  <c:v>-1.5892572235119973E-2</c:v>
                </c:pt>
                <c:pt idx="4">
                  <c:v>-7.1789279235269232E-3</c:v>
                </c:pt>
                <c:pt idx="5">
                  <c:v>1.9518678146036583E-3</c:v>
                </c:pt>
                <c:pt idx="6">
                  <c:v>-4.5025072571246438E-3</c:v>
                </c:pt>
                <c:pt idx="7">
                  <c:v>2.1455624624892367E-2</c:v>
                </c:pt>
                <c:pt idx="8">
                  <c:v>1.5823941224258231E-2</c:v>
                </c:pt>
                <c:pt idx="9">
                  <c:v>2.660012030457759E-2</c:v>
                </c:pt>
                <c:pt idx="10">
                  <c:v>-4.2218160370546265E-2</c:v>
                </c:pt>
                <c:pt idx="11">
                  <c:v>-3.0633223037508817E-2</c:v>
                </c:pt>
                <c:pt idx="12">
                  <c:v>-2.6647389932706655E-2</c:v>
                </c:pt>
                <c:pt idx="13">
                  <c:v>-2.2262983292535399E-2</c:v>
                </c:pt>
                <c:pt idx="14">
                  <c:v>-2.5482325353392121E-2</c:v>
                </c:pt>
                <c:pt idx="15">
                  <c:v>-4.3077383516713086E-3</c:v>
                </c:pt>
                <c:pt idx="16">
                  <c:v>-6.7415445237700711E-3</c:v>
                </c:pt>
                <c:pt idx="17">
                  <c:v>7.2139338939160025E-3</c:v>
                </c:pt>
                <c:pt idx="18">
                  <c:v>1.3556374664990711E-2</c:v>
                </c:pt>
                <c:pt idx="19">
                  <c:v>2.8283455553057335E-2</c:v>
                </c:pt>
                <c:pt idx="20">
                  <c:v>-3.6607145678279052E-2</c:v>
                </c:pt>
                <c:pt idx="21">
                  <c:v>-2.9117751265414826E-2</c:v>
                </c:pt>
                <c:pt idx="22">
                  <c:v>-2.925068344474635E-2</c:v>
                </c:pt>
                <c:pt idx="23">
                  <c:v>-2.1008264452670233E-2</c:v>
                </c:pt>
                <c:pt idx="24">
                  <c:v>3.6071834744190179E-3</c:v>
                </c:pt>
                <c:pt idx="25">
                  <c:v>2.0593338100124314E-2</c:v>
                </c:pt>
                <c:pt idx="26">
                  <c:v>3.7947877188049595E-2</c:v>
                </c:pt>
                <c:pt idx="27">
                  <c:v>3.1668478501798991E-2</c:v>
                </c:pt>
                <c:pt idx="28">
                  <c:v>4.1752819804976138E-2</c:v>
                </c:pt>
                <c:pt idx="29">
                  <c:v>5.2198578861185618E-2</c:v>
                </c:pt>
                <c:pt idx="30">
                  <c:v>-1.699656656596904E-2</c:v>
                </c:pt>
                <c:pt idx="31">
                  <c:v>-1.3834938712883549E-2</c:v>
                </c:pt>
                <c:pt idx="32">
                  <c:v>-2.3188598159551432E-3</c:v>
                </c:pt>
                <c:pt idx="33">
                  <c:v>1.5493478884217593E-3</c:v>
                </c:pt>
                <c:pt idx="34">
                  <c:v>5.7673621638504313E-3</c:v>
                </c:pt>
                <c:pt idx="35">
                  <c:v>1.0332860773934693E-2</c:v>
                </c:pt>
                <c:pt idx="36">
                  <c:v>2.3243521482278484E-2</c:v>
                </c:pt>
                <c:pt idx="37">
                  <c:v>2.8497022052485721E-2</c:v>
                </c:pt>
                <c:pt idx="38">
                  <c:v>3.4091040248160343E-2</c:v>
                </c:pt>
                <c:pt idx="39">
                  <c:v>4.0023253832907058E-2</c:v>
                </c:pt>
                <c:pt idx="40">
                  <c:v>-3.3708659429671661E-2</c:v>
                </c:pt>
                <c:pt idx="41">
                  <c:v>-3.510702177597097E-2</c:v>
                </c:pt>
                <c:pt idx="42">
                  <c:v>-2.8174155442386606E-2</c:v>
                </c:pt>
                <c:pt idx="43">
                  <c:v>-2.0912382665315199E-2</c:v>
                </c:pt>
                <c:pt idx="44">
                  <c:v>-2.1324025681152381E-2</c:v>
                </c:pt>
                <c:pt idx="45">
                  <c:v>-5.411406726294643E-3</c:v>
                </c:pt>
                <c:pt idx="46">
                  <c:v>1.0823151962861877E-2</c:v>
                </c:pt>
                <c:pt idx="47">
                  <c:v>1.1377328149921651E-2</c:v>
                </c:pt>
                <c:pt idx="48">
                  <c:v>1.2248799598488125E-2</c:v>
                </c:pt>
                <c:pt idx="49">
                  <c:v>1.5435244072166121E-2</c:v>
                </c:pt>
                <c:pt idx="50">
                  <c:v>-3.3065660665442254E-2</c:v>
                </c:pt>
                <c:pt idx="51">
                  <c:v>-3.1256236850731201E-2</c:v>
                </c:pt>
                <c:pt idx="52">
                  <c:v>-2.1138806720096825E-2</c:v>
                </c:pt>
                <c:pt idx="53">
                  <c:v>-1.8715692509936543E-2</c:v>
                </c:pt>
                <c:pt idx="54">
                  <c:v>-1.5989216456645194E-2</c:v>
                </c:pt>
                <c:pt idx="55">
                  <c:v>-4.96170079661995E-3</c:v>
                </c:pt>
                <c:pt idx="56">
                  <c:v>-1.6354677662552275E-3</c:v>
                </c:pt>
                <c:pt idx="57">
                  <c:v>5.9871603980506949E-3</c:v>
                </c:pt>
                <c:pt idx="58">
                  <c:v>1.3903861459903522E-2</c:v>
                </c:pt>
                <c:pt idx="59">
                  <c:v>2.2112313182907184E-2</c:v>
                </c:pt>
                <c:pt idx="60">
                  <c:v>-1.7389806669335317E-2</c:v>
                </c:pt>
                <c:pt idx="61">
                  <c:v>-1.2604820333219191E-2</c:v>
                </c:pt>
                <c:pt idx="62">
                  <c:v>4.4649499548583549E-3</c:v>
                </c:pt>
                <c:pt idx="63">
                  <c:v>9.8171819585024522E-3</c:v>
                </c:pt>
                <c:pt idx="64">
                  <c:v>7.449553441316592E-3</c:v>
                </c:pt>
                <c:pt idx="65">
                  <c:v>7.3597421669047147E-3</c:v>
                </c:pt>
                <c:pt idx="66">
                  <c:v>1.7545425898871203E-2</c:v>
                </c:pt>
                <c:pt idx="67">
                  <c:v>2.000428240081864E-2</c:v>
                </c:pt>
                <c:pt idx="68">
                  <c:v>2.0733989436351852E-2</c:v>
                </c:pt>
                <c:pt idx="69">
                  <c:v>3.1732224769076112E-2</c:v>
                </c:pt>
                <c:pt idx="70">
                  <c:v>-6.9003333837406977E-2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6-B447-9636-F79401FB52D6}"/>
            </c:ext>
          </c:extLst>
        </c:ser>
        <c:ser>
          <c:idx val="1"/>
          <c:order val="1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('Parte 1'!$B$34,'Parte 1'!$B$103)</c:f>
              <c:numCache>
                <c:formatCode>General</c:formatCode>
                <c:ptCount val="2"/>
                <c:pt idx="0">
                  <c:v>31</c:v>
                </c:pt>
                <c:pt idx="1">
                  <c:v>100</c:v>
                </c:pt>
              </c:numCache>
            </c:numRef>
          </c:xVal>
          <c:yVal>
            <c:numRef>
              <c:f>('Parte 1'!$K$34,'Parte 1'!$K$103)</c:f>
              <c:numCache>
                <c:formatCode>General</c:formatCode>
                <c:ptCount val="2"/>
                <c:pt idx="0">
                  <c:v>7.1940882366889447E-2</c:v>
                </c:pt>
                <c:pt idx="1">
                  <c:v>-6.9003333837406977E-2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46-B447-9636-F79401FB5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322543"/>
        <c:axId val="1443631215"/>
      </c:scatterChart>
      <c:valAx>
        <c:axId val="1503322543"/>
        <c:scaling>
          <c:orientation val="minMax"/>
          <c:max val="10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43631215"/>
        <c:crossesAt val="-8.0000000000000016E-2"/>
        <c:crossBetween val="midCat"/>
      </c:valAx>
      <c:valAx>
        <c:axId val="144363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03322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17860271338168"/>
          <c:y val="0.13064558946953594"/>
          <c:w val="0.17568246855659056"/>
          <c:h val="7.936761813052274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745938227243468E-2"/>
          <c:y val="6.7676688706218721E-2"/>
          <c:w val="0.87839500178045382"/>
          <c:h val="0.7788674387955683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1'!$B$33:$B$103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'Parte 1'!$E$33:$E$103</c:f>
              <c:numCache>
                <c:formatCode>General</c:formatCode>
                <c:ptCount val="71"/>
                <c:pt idx="0">
                  <c:v>-0.60000000000000009</c:v>
                </c:pt>
                <c:pt idx="1">
                  <c:v>-0.48</c:v>
                </c:pt>
                <c:pt idx="2">
                  <c:v>-0.52800000000000002</c:v>
                </c:pt>
                <c:pt idx="3">
                  <c:v>-0.504</c:v>
                </c:pt>
                <c:pt idx="4">
                  <c:v>-0.46400000000000008</c:v>
                </c:pt>
                <c:pt idx="5">
                  <c:v>-0.42400000000000004</c:v>
                </c:pt>
                <c:pt idx="6">
                  <c:v>-0.4</c:v>
                </c:pt>
                <c:pt idx="7">
                  <c:v>-0.34399999999999997</c:v>
                </c:pt>
                <c:pt idx="8">
                  <c:v>-0.32000000000000006</c:v>
                </c:pt>
                <c:pt idx="9">
                  <c:v>-0.28000000000000003</c:v>
                </c:pt>
                <c:pt idx="10">
                  <c:v>-0.32000000000000006</c:v>
                </c:pt>
                <c:pt idx="11">
                  <c:v>-0.28000000000000003</c:v>
                </c:pt>
                <c:pt idx="12">
                  <c:v>-0.248</c:v>
                </c:pt>
                <c:pt idx="13">
                  <c:v>-0.21599999999999997</c:v>
                </c:pt>
                <c:pt idx="14">
                  <c:v>-0.19200000000000006</c:v>
                </c:pt>
                <c:pt idx="15">
                  <c:v>-0.14400000000000002</c:v>
                </c:pt>
                <c:pt idx="16">
                  <c:v>-0.12</c:v>
                </c:pt>
                <c:pt idx="17">
                  <c:v>-7.999999999999996E-2</c:v>
                </c:pt>
                <c:pt idx="18">
                  <c:v>-4.8000000000000043E-2</c:v>
                </c:pt>
                <c:pt idx="19">
                  <c:v>-8.0000000000000071E-3</c:v>
                </c:pt>
                <c:pt idx="20">
                  <c:v>-4.8000000000000043E-2</c:v>
                </c:pt>
                <c:pt idx="21">
                  <c:v>-1.6000000000000014E-2</c:v>
                </c:pt>
                <c:pt idx="22" formatCode="0.000">
                  <c:v>8.0000000000000071E-3</c:v>
                </c:pt>
                <c:pt idx="23" formatCode="0.000">
                  <c:v>3.9999999999999925E-2</c:v>
                </c:pt>
                <c:pt idx="24">
                  <c:v>8.7999999999999967E-2</c:v>
                </c:pt>
                <c:pt idx="25">
                  <c:v>0.128</c:v>
                </c:pt>
                <c:pt idx="26">
                  <c:v>0.16800000000000004</c:v>
                </c:pt>
                <c:pt idx="27">
                  <c:v>0.18400000000000005</c:v>
                </c:pt>
                <c:pt idx="28">
                  <c:v>0.21599999999999997</c:v>
                </c:pt>
                <c:pt idx="29">
                  <c:v>0.248</c:v>
                </c:pt>
                <c:pt idx="30">
                  <c:v>0.19999999999999996</c:v>
                </c:pt>
                <c:pt idx="31">
                  <c:v>0.22399999999999998</c:v>
                </c:pt>
                <c:pt idx="32">
                  <c:v>0.25600000000000001</c:v>
                </c:pt>
                <c:pt idx="33">
                  <c:v>0.27999999999999992</c:v>
                </c:pt>
                <c:pt idx="34">
                  <c:v>0.30399999999999994</c:v>
                </c:pt>
                <c:pt idx="35">
                  <c:v>0.32799999999999996</c:v>
                </c:pt>
                <c:pt idx="36">
                  <c:v>0.36</c:v>
                </c:pt>
                <c:pt idx="37">
                  <c:v>0.38400000000000001</c:v>
                </c:pt>
                <c:pt idx="38">
                  <c:v>0.40800000000000003</c:v>
                </c:pt>
                <c:pt idx="39">
                  <c:v>0.43199999999999994</c:v>
                </c:pt>
                <c:pt idx="40">
                  <c:v>0.37600000000000006</c:v>
                </c:pt>
                <c:pt idx="41">
                  <c:v>0.39199999999999996</c:v>
                </c:pt>
                <c:pt idx="42">
                  <c:v>0.41599999999999998</c:v>
                </c:pt>
                <c:pt idx="43">
                  <c:v>0.44</c:v>
                </c:pt>
                <c:pt idx="44">
                  <c:v>0.45600000000000002</c:v>
                </c:pt>
                <c:pt idx="45">
                  <c:v>0.48800000000000004</c:v>
                </c:pt>
                <c:pt idx="46">
                  <c:v>0.52</c:v>
                </c:pt>
                <c:pt idx="47">
                  <c:v>0.53600000000000003</c:v>
                </c:pt>
                <c:pt idx="48">
                  <c:v>0.55200000000000005</c:v>
                </c:pt>
                <c:pt idx="49">
                  <c:v>0.57000000000000006</c:v>
                </c:pt>
                <c:pt idx="50">
                  <c:v>0.53600000000000003</c:v>
                </c:pt>
                <c:pt idx="51">
                  <c:v>0.55200000000000005</c:v>
                </c:pt>
                <c:pt idx="52">
                  <c:v>0.57600000000000007</c:v>
                </c:pt>
                <c:pt idx="53">
                  <c:v>0.59200000000000008</c:v>
                </c:pt>
                <c:pt idx="54">
                  <c:v>0.60799999999999998</c:v>
                </c:pt>
                <c:pt idx="55">
                  <c:v>0.63200000000000001</c:v>
                </c:pt>
                <c:pt idx="56">
                  <c:v>0.64800000000000002</c:v>
                </c:pt>
                <c:pt idx="57">
                  <c:v>0.66800000000000004</c:v>
                </c:pt>
                <c:pt idx="58">
                  <c:v>0.68800000000000006</c:v>
                </c:pt>
                <c:pt idx="59">
                  <c:v>0.70800000000000007</c:v>
                </c:pt>
                <c:pt idx="60">
                  <c:v>0.68</c:v>
                </c:pt>
                <c:pt idx="61">
                  <c:v>0.69599999999999995</c:v>
                </c:pt>
                <c:pt idx="62">
                  <c:v>0.72399999999999998</c:v>
                </c:pt>
                <c:pt idx="63">
                  <c:v>0.74</c:v>
                </c:pt>
                <c:pt idx="64">
                  <c:v>0.748</c:v>
                </c:pt>
                <c:pt idx="65">
                  <c:v>0.75800000000000001</c:v>
                </c:pt>
                <c:pt idx="66">
                  <c:v>0.77800000000000002</c:v>
                </c:pt>
                <c:pt idx="67">
                  <c:v>0.79</c:v>
                </c:pt>
                <c:pt idx="68">
                  <c:v>0.8</c:v>
                </c:pt>
                <c:pt idx="69">
                  <c:v>0.82000000000000006</c:v>
                </c:pt>
                <c:pt idx="70">
                  <c:v>0.72799999999999998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C-1649-BF95-1964DD55B7C3}"/>
            </c:ext>
          </c:extLst>
        </c:ser>
        <c:ser>
          <c:idx val="1"/>
          <c:order val="1"/>
          <c:tx>
            <c:v>aj. polinomial(3º)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1'!$B$33:$B$103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'Parte 1'!$G$33:$G$103</c:f>
              <c:numCache>
                <c:formatCode>General</c:formatCode>
                <c:ptCount val="71"/>
                <c:pt idx="0">
                  <c:v>-0.58449262575328476</c:v>
                </c:pt>
                <c:pt idx="1">
                  <c:v>-0.55194088236688943</c:v>
                </c:pt>
                <c:pt idx="2">
                  <c:v>-0.51981325711621995</c:v>
                </c:pt>
                <c:pt idx="3">
                  <c:v>-0.48810742776488003</c:v>
                </c:pt>
                <c:pt idx="4">
                  <c:v>-0.45682107207647316</c:v>
                </c:pt>
                <c:pt idx="5">
                  <c:v>-0.4259518678146037</c:v>
                </c:pt>
                <c:pt idx="6">
                  <c:v>-0.39549749274287538</c:v>
                </c:pt>
                <c:pt idx="7">
                  <c:v>-0.36545562462489234</c:v>
                </c:pt>
                <c:pt idx="8">
                  <c:v>-0.33582394122425829</c:v>
                </c:pt>
                <c:pt idx="9">
                  <c:v>-0.30660012030457762</c:v>
                </c:pt>
                <c:pt idx="10">
                  <c:v>-0.2777818396294538</c:v>
                </c:pt>
                <c:pt idx="11">
                  <c:v>-0.24936677696249121</c:v>
                </c:pt>
                <c:pt idx="12">
                  <c:v>-0.22135261006729334</c:v>
                </c:pt>
                <c:pt idx="13">
                  <c:v>-0.19373701670746457</c:v>
                </c:pt>
                <c:pt idx="14">
                  <c:v>-0.16651767464660794</c:v>
                </c:pt>
                <c:pt idx="15">
                  <c:v>-0.13969226164832871</c:v>
                </c:pt>
                <c:pt idx="16">
                  <c:v>-0.11325845547622992</c:v>
                </c:pt>
                <c:pt idx="17">
                  <c:v>-8.7213933893915963E-2</c:v>
                </c:pt>
                <c:pt idx="18">
                  <c:v>-6.1556374664990754E-2</c:v>
                </c:pt>
                <c:pt idx="19">
                  <c:v>-3.6283455553057342E-2</c:v>
                </c:pt>
                <c:pt idx="20">
                  <c:v>-1.1392854321720991E-2</c:v>
                </c:pt>
                <c:pt idx="21">
                  <c:v>1.3117751265414812E-2</c:v>
                </c:pt>
                <c:pt idx="22">
                  <c:v>3.7250683444746358E-2</c:v>
                </c:pt>
                <c:pt idx="23">
                  <c:v>6.1008264452670158E-2</c:v>
                </c:pt>
                <c:pt idx="24">
                  <c:v>8.4392816525580949E-2</c:v>
                </c:pt>
                <c:pt idx="25">
                  <c:v>0.10740666189987569</c:v>
                </c:pt>
                <c:pt idx="26">
                  <c:v>0.13005212281195044</c:v>
                </c:pt>
                <c:pt idx="27">
                  <c:v>0.15233152149820106</c:v>
                </c:pt>
                <c:pt idx="28">
                  <c:v>0.17424718019502383</c:v>
                </c:pt>
                <c:pt idx="29">
                  <c:v>0.19580142113881438</c:v>
                </c:pt>
                <c:pt idx="30">
                  <c:v>0.216996566565969</c:v>
                </c:pt>
                <c:pt idx="31">
                  <c:v>0.23783493871288353</c:v>
                </c:pt>
                <c:pt idx="32">
                  <c:v>0.25831885981595515</c:v>
                </c:pt>
                <c:pt idx="33">
                  <c:v>0.27845065211157816</c:v>
                </c:pt>
                <c:pt idx="34">
                  <c:v>0.29823263783614951</c:v>
                </c:pt>
                <c:pt idx="35">
                  <c:v>0.31766713922606526</c:v>
                </c:pt>
                <c:pt idx="36">
                  <c:v>0.3367564785177215</c:v>
                </c:pt>
                <c:pt idx="37">
                  <c:v>0.35550297794751429</c:v>
                </c:pt>
                <c:pt idx="38">
                  <c:v>0.37390895975183969</c:v>
                </c:pt>
                <c:pt idx="39">
                  <c:v>0.39197674616709288</c:v>
                </c:pt>
                <c:pt idx="40">
                  <c:v>0.40970865942967172</c:v>
                </c:pt>
                <c:pt idx="41">
                  <c:v>0.42710702177597093</c:v>
                </c:pt>
                <c:pt idx="42">
                  <c:v>0.44417415544238659</c:v>
                </c:pt>
                <c:pt idx="43">
                  <c:v>0.4609123826653152</c:v>
                </c:pt>
                <c:pt idx="44">
                  <c:v>0.4773240256811524</c:v>
                </c:pt>
                <c:pt idx="45">
                  <c:v>0.49341140672629469</c:v>
                </c:pt>
                <c:pt idx="46">
                  <c:v>0.50917684803713814</c:v>
                </c:pt>
                <c:pt idx="47">
                  <c:v>0.52462267185007838</c:v>
                </c:pt>
                <c:pt idx="48">
                  <c:v>0.53975120040151192</c:v>
                </c:pt>
                <c:pt idx="49">
                  <c:v>0.55456475592783394</c:v>
                </c:pt>
                <c:pt idx="50">
                  <c:v>0.56906566066544229</c:v>
                </c:pt>
                <c:pt idx="51">
                  <c:v>0.58325623685073125</c:v>
                </c:pt>
                <c:pt idx="52">
                  <c:v>0.59713880672009689</c:v>
                </c:pt>
                <c:pt idx="53">
                  <c:v>0.61071569250993663</c:v>
                </c:pt>
                <c:pt idx="54">
                  <c:v>0.62398921645664518</c:v>
                </c:pt>
                <c:pt idx="55">
                  <c:v>0.63696170079661996</c:v>
                </c:pt>
                <c:pt idx="56">
                  <c:v>0.64963546776625525</c:v>
                </c:pt>
                <c:pt idx="57">
                  <c:v>0.66201283960194934</c:v>
                </c:pt>
                <c:pt idx="58">
                  <c:v>0.67409613854009653</c:v>
                </c:pt>
                <c:pt idx="59">
                  <c:v>0.68588768681709289</c:v>
                </c:pt>
                <c:pt idx="60">
                  <c:v>0.69738980666933537</c:v>
                </c:pt>
                <c:pt idx="61">
                  <c:v>0.70860482033321914</c:v>
                </c:pt>
                <c:pt idx="62">
                  <c:v>0.71953505004514162</c:v>
                </c:pt>
                <c:pt idx="63">
                  <c:v>0.73018281804149754</c:v>
                </c:pt>
                <c:pt idx="64">
                  <c:v>0.74055044655868341</c:v>
                </c:pt>
                <c:pt idx="65">
                  <c:v>0.75064025783309529</c:v>
                </c:pt>
                <c:pt idx="66">
                  <c:v>0.76045457410112882</c:v>
                </c:pt>
                <c:pt idx="67">
                  <c:v>0.7699957175991814</c:v>
                </c:pt>
                <c:pt idx="68">
                  <c:v>0.77926601056364819</c:v>
                </c:pt>
                <c:pt idx="69">
                  <c:v>0.78826777523092395</c:v>
                </c:pt>
                <c:pt idx="70">
                  <c:v>0.79700333383740696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BC-1649-BF95-1964DD55B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637519"/>
        <c:axId val="1457109983"/>
      </c:scatterChart>
      <c:valAx>
        <c:axId val="1528637519"/>
        <c:scaling>
          <c:orientation val="minMax"/>
          <c:max val="10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57109983"/>
        <c:crossesAt val="-0.8"/>
        <c:crossBetween val="midCat"/>
      </c:valAx>
      <c:valAx>
        <c:axId val="145710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2863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35017031210097"/>
          <c:y val="0.74868432809149388"/>
          <c:w val="0.17758288702091105"/>
          <c:h val="9.1277251608291643E-2"/>
        </c:manualLayout>
      </c:layout>
      <c:overlay val="0"/>
      <c:spPr>
        <a:solidFill>
          <a:sysClr val="window" lastClr="FFFFFF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922056794810789E-2"/>
          <c:y val="4.9325072707699334E-2"/>
          <c:w val="0.85871833544974896"/>
          <c:h val="0.83479699934930485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xVal>
          <c:y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1E-2945-8FF1-A167151F4CC2}"/>
            </c:ext>
          </c:extLst>
        </c:ser>
        <c:ser>
          <c:idx val="1"/>
          <c:order val="1"/>
          <c:tx>
            <c:v>aj. polinomial (3º)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xVal>
          <c:yVal>
            <c:numRef>
              <c:f>'Parte 1'!$F$132:$F$200</c:f>
              <c:numCache>
                <c:formatCode>0.0000</c:formatCode>
                <c:ptCount val="69"/>
                <c:pt idx="0">
                  <c:v>-0.6049982663427107</c:v>
                </c:pt>
                <c:pt idx="1">
                  <c:v>-0.56992748341544353</c:v>
                </c:pt>
                <c:pt idx="2">
                  <c:v>-0.53545024564791976</c:v>
                </c:pt>
                <c:pt idx="3">
                  <c:v>-0.50155920795434872</c:v>
                </c:pt>
                <c:pt idx="4">
                  <c:v>-0.46824702524894013</c:v>
                </c:pt>
                <c:pt idx="5">
                  <c:v>-0.43550635244590397</c:v>
                </c:pt>
                <c:pt idx="6">
                  <c:v>-0.40332984445945019</c:v>
                </c:pt>
                <c:pt idx="7">
                  <c:v>-0.37171015620378878</c:v>
                </c:pt>
                <c:pt idx="8">
                  <c:v>-0.34063994259312924</c:v>
                </c:pt>
                <c:pt idx="9">
                  <c:v>-0.31011185854168177</c:v>
                </c:pt>
                <c:pt idx="10">
                  <c:v>-0.28011855896365612</c:v>
                </c:pt>
                <c:pt idx="11">
                  <c:v>-0.25065269877326202</c:v>
                </c:pt>
                <c:pt idx="12">
                  <c:v>-0.22170693288470922</c:v>
                </c:pt>
                <c:pt idx="13">
                  <c:v>-0.19327391621220791</c:v>
                </c:pt>
                <c:pt idx="14">
                  <c:v>-0.16534630366996805</c:v>
                </c:pt>
                <c:pt idx="15">
                  <c:v>-0.13791675017219918</c:v>
                </c:pt>
                <c:pt idx="16">
                  <c:v>-0.11097791063311124</c:v>
                </c:pt>
                <c:pt idx="17">
                  <c:v>-8.4522439966913998E-2</c:v>
                </c:pt>
                <c:pt idx="18">
                  <c:v>-5.8542993087816964E-2</c:v>
                </c:pt>
                <c:pt idx="19">
                  <c:v>-3.3032224910030994E-2</c:v>
                </c:pt>
                <c:pt idx="20">
                  <c:v>-7.9827903477653894E-3</c:v>
                </c:pt>
                <c:pt idx="21">
                  <c:v>1.6612655684770106E-2</c:v>
                </c:pt>
                <c:pt idx="22">
                  <c:v>4.0761458273365303E-2</c:v>
                </c:pt>
                <c:pt idx="23">
                  <c:v>6.4470962503810902E-2</c:v>
                </c:pt>
                <c:pt idx="24">
                  <c:v>8.7748513461896938E-2</c:v>
                </c:pt>
                <c:pt idx="25">
                  <c:v>0.11060145623341322</c:v>
                </c:pt>
                <c:pt idx="26">
                  <c:v>0.13303713590414956</c:v>
                </c:pt>
                <c:pt idx="27">
                  <c:v>0.15506289755989622</c:v>
                </c:pt>
                <c:pt idx="28">
                  <c:v>0.17668608628644433</c:v>
                </c:pt>
                <c:pt idx="29">
                  <c:v>0.19791404716958327</c:v>
                </c:pt>
                <c:pt idx="30">
                  <c:v>0.2187541252951033</c:v>
                </c:pt>
                <c:pt idx="31">
                  <c:v>0.23921366574879466</c:v>
                </c:pt>
                <c:pt idx="32">
                  <c:v>0.25930001361644672</c:v>
                </c:pt>
                <c:pt idx="33">
                  <c:v>0.27902051398385064</c:v>
                </c:pt>
                <c:pt idx="34">
                  <c:v>0.29838251193679577</c:v>
                </c:pt>
                <c:pt idx="35">
                  <c:v>0.31739335256107326</c:v>
                </c:pt>
                <c:pt idx="36">
                  <c:v>0.33606038094247248</c:v>
                </c:pt>
                <c:pt idx="37">
                  <c:v>0.35439094216678368</c:v>
                </c:pt>
                <c:pt idx="38">
                  <c:v>0.37239238131979713</c:v>
                </c:pt>
                <c:pt idx="39">
                  <c:v>0.39007204348730307</c:v>
                </c:pt>
                <c:pt idx="40">
                  <c:v>0.40743727375509087</c:v>
                </c:pt>
                <c:pt idx="41">
                  <c:v>0.42449541720895168</c:v>
                </c:pt>
                <c:pt idx="42">
                  <c:v>0.44125381893467575</c:v>
                </c:pt>
                <c:pt idx="43">
                  <c:v>0.45771982401805156</c:v>
                </c:pt>
                <c:pt idx="44">
                  <c:v>0.47390077754487114</c:v>
                </c:pt>
                <c:pt idx="45">
                  <c:v>0.48980402460092343</c:v>
                </c:pt>
                <c:pt idx="46">
                  <c:v>0.505436910272</c:v>
                </c:pt>
                <c:pt idx="47">
                  <c:v>0.52080677964388977</c:v>
                </c:pt>
                <c:pt idx="48">
                  <c:v>0.53592097780238168</c:v>
                </c:pt>
                <c:pt idx="49">
                  <c:v>0.55078684983326909</c:v>
                </c:pt>
                <c:pt idx="50">
                  <c:v>0.56541174082233914</c:v>
                </c:pt>
                <c:pt idx="51">
                  <c:v>0.57980299585538431</c:v>
                </c:pt>
                <c:pt idx="52">
                  <c:v>0.59396796001819263</c:v>
                </c:pt>
                <c:pt idx="53">
                  <c:v>0.60791397839655614</c:v>
                </c:pt>
                <c:pt idx="54">
                  <c:v>0.62164839607626377</c:v>
                </c:pt>
                <c:pt idx="55">
                  <c:v>0.63517855814310575</c:v>
                </c:pt>
                <c:pt idx="56">
                  <c:v>0.64851180968287281</c:v>
                </c:pt>
                <c:pt idx="57">
                  <c:v>0.66165549578135385</c:v>
                </c:pt>
                <c:pt idx="58">
                  <c:v>0.67461696152434092</c:v>
                </c:pt>
                <c:pt idx="59">
                  <c:v>0.68740355199762249</c:v>
                </c:pt>
                <c:pt idx="60">
                  <c:v>0.70002261228699014</c:v>
                </c:pt>
                <c:pt idx="61">
                  <c:v>0.71248148747823326</c:v>
                </c:pt>
                <c:pt idx="62">
                  <c:v>0.72478752265714119</c:v>
                </c:pt>
                <c:pt idx="63">
                  <c:v>0.73694806290950554</c:v>
                </c:pt>
                <c:pt idx="64">
                  <c:v>0.74897045332111434</c:v>
                </c:pt>
                <c:pt idx="65">
                  <c:v>0.7608620389777605</c:v>
                </c:pt>
                <c:pt idx="66">
                  <c:v>0.7726301649652334</c:v>
                </c:pt>
                <c:pt idx="67">
                  <c:v>0.78428217636932107</c:v>
                </c:pt>
                <c:pt idx="68">
                  <c:v>0.79582541827581554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1E-2945-8FF1-A167151F4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62400"/>
        <c:axId val="1623302111"/>
      </c:scatterChart>
      <c:valAx>
        <c:axId val="1642862400"/>
        <c:scaling>
          <c:orientation val="minMax"/>
          <c:max val="10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3302111"/>
        <c:crossesAt val="-0.8"/>
        <c:crossBetween val="midCat"/>
      </c:valAx>
      <c:valAx>
        <c:axId val="162330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4286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72528865509316"/>
          <c:y val="0.74830129590836847"/>
          <c:w val="0.15980490681559067"/>
          <c:h val="0.1260083144126582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58434795194536"/>
          <c:y val="4.2155093931627877E-2"/>
          <c:w val="0.85869363508038032"/>
          <c:h val="0.8188287522484476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xVal>
          <c:yVal>
            <c:numRef>
              <c:f>'Parte 1'!$G$132:$G$200</c:f>
              <c:numCache>
                <c:formatCode>0.0000</c:formatCode>
                <c:ptCount val="69"/>
                <c:pt idx="0">
                  <c:v>4.9982663427106111E-3</c:v>
                </c:pt>
                <c:pt idx="1">
                  <c:v>4.1927483415443501E-2</c:v>
                </c:pt>
                <c:pt idx="2">
                  <c:v>3.1450245647919761E-2</c:v>
                </c:pt>
                <c:pt idx="3">
                  <c:v>3.7559207954348639E-2</c:v>
                </c:pt>
                <c:pt idx="4">
                  <c:v>4.4247025248940086E-2</c:v>
                </c:pt>
                <c:pt idx="5">
                  <c:v>3.5506352445903944E-2</c:v>
                </c:pt>
                <c:pt idx="6">
                  <c:v>5.9329844459450221E-2</c:v>
                </c:pt>
                <c:pt idx="7">
                  <c:v>5.1710156203788715E-2</c:v>
                </c:pt>
                <c:pt idx="8">
                  <c:v>6.0639942593129215E-2</c:v>
                </c:pt>
                <c:pt idx="9">
                  <c:v>-9.8881414583182892E-3</c:v>
                </c:pt>
                <c:pt idx="10">
                  <c:v>1.185589636560902E-4</c:v>
                </c:pt>
                <c:pt idx="11">
                  <c:v>2.6526987732620189E-3</c:v>
                </c:pt>
                <c:pt idx="12">
                  <c:v>5.7069328847092482E-3</c:v>
                </c:pt>
                <c:pt idx="13">
                  <c:v>1.2739162122078485E-3</c:v>
                </c:pt>
                <c:pt idx="14">
                  <c:v>2.1346303669968036E-2</c:v>
                </c:pt>
                <c:pt idx="15">
                  <c:v>1.7916750172199181E-2</c:v>
                </c:pt>
                <c:pt idx="16">
                  <c:v>3.0977910633111283E-2</c:v>
                </c:pt>
                <c:pt idx="17">
                  <c:v>3.6522439966913955E-2</c:v>
                </c:pt>
                <c:pt idx="18">
                  <c:v>5.0542993087816956E-2</c:v>
                </c:pt>
                <c:pt idx="19">
                  <c:v>-1.4967775089969049E-2</c:v>
                </c:pt>
                <c:pt idx="20">
                  <c:v>-8.0172096522346248E-3</c:v>
                </c:pt>
                <c:pt idx="21">
                  <c:v>-8.6126556847700986E-3</c:v>
                </c:pt>
                <c:pt idx="22">
                  <c:v>-7.6145827336537852E-4</c:v>
                </c:pt>
                <c:pt idx="23">
                  <c:v>2.3529037496189065E-2</c:v>
                </c:pt>
                <c:pt idx="24">
                  <c:v>4.0251486538103065E-2</c:v>
                </c:pt>
                <c:pt idx="25">
                  <c:v>5.7398543766586818E-2</c:v>
                </c:pt>
                <c:pt idx="26">
                  <c:v>5.0962864095850491E-2</c:v>
                </c:pt>
                <c:pt idx="27">
                  <c:v>6.0937102440103752E-2</c:v>
                </c:pt>
                <c:pt idx="28">
                  <c:v>7.1313913713555666E-2</c:v>
                </c:pt>
                <c:pt idx="29">
                  <c:v>2.0859528304166819E-3</c:v>
                </c:pt>
                <c:pt idx="30">
                  <c:v>5.2458747048966803E-3</c:v>
                </c:pt>
                <c:pt idx="31">
                  <c:v>1.6786334251205348E-2</c:v>
                </c:pt>
                <c:pt idx="32">
                  <c:v>2.0699986383553193E-2</c:v>
                </c:pt>
                <c:pt idx="33">
                  <c:v>2.4979486016149299E-2</c:v>
                </c:pt>
                <c:pt idx="34">
                  <c:v>2.9617488063204189E-2</c:v>
                </c:pt>
                <c:pt idx="35">
                  <c:v>4.2606647438926726E-2</c:v>
                </c:pt>
                <c:pt idx="36">
                  <c:v>4.7939619057527527E-2</c:v>
                </c:pt>
                <c:pt idx="37">
                  <c:v>5.3609057833216345E-2</c:v>
                </c:pt>
                <c:pt idx="38">
                  <c:v>5.9607618680202812E-2</c:v>
                </c:pt>
                <c:pt idx="39">
                  <c:v>-1.407204348730301E-2</c:v>
                </c:pt>
                <c:pt idx="40">
                  <c:v>-1.5437273755090908E-2</c:v>
                </c:pt>
                <c:pt idx="41">
                  <c:v>-8.4954172089516944E-3</c:v>
                </c:pt>
                <c:pt idx="42">
                  <c:v>-1.2538189346757433E-3</c:v>
                </c:pt>
                <c:pt idx="43">
                  <c:v>-1.7198240180515412E-3</c:v>
                </c:pt>
                <c:pt idx="44">
                  <c:v>1.4099222455128901E-2</c:v>
                </c:pt>
                <c:pt idx="45">
                  <c:v>3.0195975399076591E-2</c:v>
                </c:pt>
                <c:pt idx="46">
                  <c:v>3.0563089728000037E-2</c:v>
                </c:pt>
                <c:pt idx="47">
                  <c:v>3.1193220356110274E-2</c:v>
                </c:pt>
                <c:pt idx="48">
                  <c:v>3.407902219761838E-2</c:v>
                </c:pt>
                <c:pt idx="49">
                  <c:v>-1.4786849833269056E-2</c:v>
                </c:pt>
                <c:pt idx="50">
                  <c:v>-1.3411740822339091E-2</c:v>
                </c:pt>
                <c:pt idx="51">
                  <c:v>-3.8029958553842391E-3</c:v>
                </c:pt>
                <c:pt idx="52">
                  <c:v>-1.9679600181925494E-3</c:v>
                </c:pt>
                <c:pt idx="53">
                  <c:v>8.6021603443842132E-5</c:v>
                </c:pt>
                <c:pt idx="54">
                  <c:v>1.0351603923736241E-2</c:v>
                </c:pt>
                <c:pt idx="55">
                  <c:v>1.2821441856894267E-2</c:v>
                </c:pt>
                <c:pt idx="56">
                  <c:v>1.948819031712723E-2</c:v>
                </c:pt>
                <c:pt idx="57">
                  <c:v>2.6344504218646203E-2</c:v>
                </c:pt>
                <c:pt idx="58">
                  <c:v>3.3383038475659155E-2</c:v>
                </c:pt>
                <c:pt idx="59">
                  <c:v>-7.4035519976224373E-3</c:v>
                </c:pt>
                <c:pt idx="60">
                  <c:v>-4.0226122869901904E-3</c:v>
                </c:pt>
                <c:pt idx="61">
                  <c:v>1.1518512521766722E-2</c:v>
                </c:pt>
                <c:pt idx="62">
                  <c:v>1.5212477342858799E-2</c:v>
                </c:pt>
                <c:pt idx="63">
                  <c:v>1.1051937090494457E-2</c:v>
                </c:pt>
                <c:pt idx="64">
                  <c:v>9.0295466788856693E-3</c:v>
                </c:pt>
                <c:pt idx="65">
                  <c:v>1.7137961022239523E-2</c:v>
                </c:pt>
                <c:pt idx="66">
                  <c:v>1.7369835034766634E-2</c:v>
                </c:pt>
                <c:pt idx="67">
                  <c:v>1.5717823630678973E-2</c:v>
                </c:pt>
                <c:pt idx="68">
                  <c:v>2.4174581724184518E-2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9C-334B-BADA-12F320330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039839"/>
        <c:axId val="1624525743"/>
      </c:scatterChart>
      <c:valAx>
        <c:axId val="1563039839"/>
        <c:scaling>
          <c:orientation val="minMax"/>
          <c:max val="10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4525743"/>
        <c:crossesAt val="-2.0000000000000004E-2"/>
        <c:crossBetween val="midCat"/>
      </c:valAx>
      <c:valAx>
        <c:axId val="162452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63039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075699409281793"/>
          <c:y val="4.4341546959712985E-2"/>
          <c:w val="9.2658170161904072E-2"/>
          <c:h val="6.359360312203832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V</a:t>
            </a:r>
            <a:r>
              <a:rPr lang="en-GB" sz="1800" b="0" i="0" baseline="-25000">
                <a:effectLst/>
              </a:rPr>
              <a:t>r</a:t>
            </a:r>
            <a:r>
              <a:rPr lang="en-GB" sz="1800" b="0" i="0" baseline="0">
                <a:effectLst/>
              </a:rPr>
              <a:t> (Z</a:t>
            </a:r>
            <a:r>
              <a:rPr lang="en-GB" sz="1800" b="0" i="0" baseline="-25000">
                <a:effectLst/>
              </a:rPr>
              <a:t>L</a:t>
            </a:r>
            <a:r>
              <a:rPr lang="en-GB" sz="1800" b="0" i="0" baseline="0">
                <a:effectLst/>
              </a:rPr>
              <a:t> ) - ajuste grau 4 </a:t>
            </a:r>
            <a:endParaRPr lang="en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'Parte 1'!$E$4:$E$103</c:f>
              <c:numCache>
                <c:formatCode>General</c:formatCode>
                <c:ptCount val="100"/>
                <c:pt idx="0">
                  <c:v>-2.2400000000000002</c:v>
                </c:pt>
                <c:pt idx="1">
                  <c:v>-2.2000000000000002</c:v>
                </c:pt>
                <c:pt idx="2">
                  <c:v>-2.14</c:v>
                </c:pt>
                <c:pt idx="3">
                  <c:v>-2.06</c:v>
                </c:pt>
                <c:pt idx="4">
                  <c:v>-1.96</c:v>
                </c:pt>
                <c:pt idx="5">
                  <c:v>-1.88</c:v>
                </c:pt>
                <c:pt idx="6">
                  <c:v>-1.8199999999999998</c:v>
                </c:pt>
                <c:pt idx="7">
                  <c:v>-1.7599999999999998</c:v>
                </c:pt>
                <c:pt idx="8">
                  <c:v>-1.6800000000000002</c:v>
                </c:pt>
                <c:pt idx="9">
                  <c:v>-1.6199999999999999</c:v>
                </c:pt>
                <c:pt idx="10">
                  <c:v>-1.5599999999999998</c:v>
                </c:pt>
                <c:pt idx="11">
                  <c:v>-1.52</c:v>
                </c:pt>
                <c:pt idx="12">
                  <c:v>-1.46</c:v>
                </c:pt>
                <c:pt idx="13">
                  <c:v>-1.4000000000000001</c:v>
                </c:pt>
                <c:pt idx="14">
                  <c:v>-1.36</c:v>
                </c:pt>
                <c:pt idx="15">
                  <c:v>-1.3</c:v>
                </c:pt>
                <c:pt idx="16">
                  <c:v>-1.28</c:v>
                </c:pt>
                <c:pt idx="17">
                  <c:v>-1.22</c:v>
                </c:pt>
                <c:pt idx="18">
                  <c:v>-1.1599999999999999</c:v>
                </c:pt>
                <c:pt idx="19">
                  <c:v>-1.1400000000000001</c:v>
                </c:pt>
                <c:pt idx="20">
                  <c:v>-1.08</c:v>
                </c:pt>
                <c:pt idx="21">
                  <c:v>-1.04</c:v>
                </c:pt>
                <c:pt idx="22" formatCode="0.00">
                  <c:v>-1</c:v>
                </c:pt>
                <c:pt idx="23">
                  <c:v>-0.98</c:v>
                </c:pt>
                <c:pt idx="24">
                  <c:v>-0.94</c:v>
                </c:pt>
                <c:pt idx="25">
                  <c:v>-0.9</c:v>
                </c:pt>
                <c:pt idx="26">
                  <c:v>-0.84</c:v>
                </c:pt>
                <c:pt idx="27">
                  <c:v>-0.82000000000000006</c:v>
                </c:pt>
                <c:pt idx="28">
                  <c:v>-0.76</c:v>
                </c:pt>
                <c:pt idx="29">
                  <c:v>-0.60000000000000009</c:v>
                </c:pt>
                <c:pt idx="30">
                  <c:v>-0.48</c:v>
                </c:pt>
                <c:pt idx="31">
                  <c:v>-0.52800000000000002</c:v>
                </c:pt>
                <c:pt idx="32">
                  <c:v>-0.504</c:v>
                </c:pt>
                <c:pt idx="33">
                  <c:v>-0.46400000000000008</c:v>
                </c:pt>
                <c:pt idx="34">
                  <c:v>-0.42400000000000004</c:v>
                </c:pt>
                <c:pt idx="35">
                  <c:v>-0.4</c:v>
                </c:pt>
                <c:pt idx="36">
                  <c:v>-0.34399999999999997</c:v>
                </c:pt>
                <c:pt idx="37">
                  <c:v>-0.32000000000000006</c:v>
                </c:pt>
                <c:pt idx="38">
                  <c:v>-0.28000000000000003</c:v>
                </c:pt>
                <c:pt idx="39">
                  <c:v>-0.32000000000000006</c:v>
                </c:pt>
                <c:pt idx="40">
                  <c:v>-0.28000000000000003</c:v>
                </c:pt>
                <c:pt idx="41">
                  <c:v>-0.248</c:v>
                </c:pt>
                <c:pt idx="42">
                  <c:v>-0.21599999999999997</c:v>
                </c:pt>
                <c:pt idx="43">
                  <c:v>-0.19200000000000006</c:v>
                </c:pt>
                <c:pt idx="44">
                  <c:v>-0.14400000000000002</c:v>
                </c:pt>
                <c:pt idx="45">
                  <c:v>-0.12</c:v>
                </c:pt>
                <c:pt idx="46">
                  <c:v>-7.999999999999996E-2</c:v>
                </c:pt>
                <c:pt idx="47">
                  <c:v>-4.8000000000000043E-2</c:v>
                </c:pt>
                <c:pt idx="48">
                  <c:v>-8.0000000000000071E-3</c:v>
                </c:pt>
                <c:pt idx="49">
                  <c:v>-4.8000000000000043E-2</c:v>
                </c:pt>
                <c:pt idx="50">
                  <c:v>-1.6000000000000014E-2</c:v>
                </c:pt>
                <c:pt idx="51" formatCode="0.000">
                  <c:v>8.0000000000000071E-3</c:v>
                </c:pt>
                <c:pt idx="52" formatCode="0.000">
                  <c:v>3.9999999999999925E-2</c:v>
                </c:pt>
                <c:pt idx="53">
                  <c:v>8.7999999999999967E-2</c:v>
                </c:pt>
                <c:pt idx="54">
                  <c:v>0.128</c:v>
                </c:pt>
                <c:pt idx="55">
                  <c:v>0.16800000000000004</c:v>
                </c:pt>
                <c:pt idx="56">
                  <c:v>0.18400000000000005</c:v>
                </c:pt>
                <c:pt idx="57">
                  <c:v>0.21599999999999997</c:v>
                </c:pt>
                <c:pt idx="58">
                  <c:v>0.248</c:v>
                </c:pt>
                <c:pt idx="59">
                  <c:v>0.19999999999999996</c:v>
                </c:pt>
                <c:pt idx="60">
                  <c:v>0.22399999999999998</c:v>
                </c:pt>
                <c:pt idx="61">
                  <c:v>0.25600000000000001</c:v>
                </c:pt>
                <c:pt idx="62">
                  <c:v>0.27999999999999992</c:v>
                </c:pt>
                <c:pt idx="63">
                  <c:v>0.30399999999999994</c:v>
                </c:pt>
                <c:pt idx="64">
                  <c:v>0.32799999999999996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0.40800000000000003</c:v>
                </c:pt>
                <c:pt idx="68">
                  <c:v>0.43199999999999994</c:v>
                </c:pt>
                <c:pt idx="69">
                  <c:v>0.37600000000000006</c:v>
                </c:pt>
                <c:pt idx="70">
                  <c:v>0.39199999999999996</c:v>
                </c:pt>
                <c:pt idx="71">
                  <c:v>0.41599999999999998</c:v>
                </c:pt>
                <c:pt idx="72">
                  <c:v>0.44</c:v>
                </c:pt>
                <c:pt idx="73">
                  <c:v>0.45600000000000002</c:v>
                </c:pt>
                <c:pt idx="74">
                  <c:v>0.48800000000000004</c:v>
                </c:pt>
                <c:pt idx="75">
                  <c:v>0.52</c:v>
                </c:pt>
                <c:pt idx="76">
                  <c:v>0.53600000000000003</c:v>
                </c:pt>
                <c:pt idx="77">
                  <c:v>0.55200000000000005</c:v>
                </c:pt>
                <c:pt idx="78">
                  <c:v>0.57000000000000006</c:v>
                </c:pt>
                <c:pt idx="79">
                  <c:v>0.53600000000000003</c:v>
                </c:pt>
                <c:pt idx="80">
                  <c:v>0.55200000000000005</c:v>
                </c:pt>
                <c:pt idx="81">
                  <c:v>0.57600000000000007</c:v>
                </c:pt>
                <c:pt idx="82">
                  <c:v>0.59200000000000008</c:v>
                </c:pt>
                <c:pt idx="83">
                  <c:v>0.60799999999999998</c:v>
                </c:pt>
                <c:pt idx="84">
                  <c:v>0.63200000000000001</c:v>
                </c:pt>
                <c:pt idx="85">
                  <c:v>0.64800000000000002</c:v>
                </c:pt>
                <c:pt idx="86">
                  <c:v>0.66800000000000004</c:v>
                </c:pt>
                <c:pt idx="87">
                  <c:v>0.68800000000000006</c:v>
                </c:pt>
                <c:pt idx="88">
                  <c:v>0.70800000000000007</c:v>
                </c:pt>
                <c:pt idx="89">
                  <c:v>0.68</c:v>
                </c:pt>
                <c:pt idx="90">
                  <c:v>0.69599999999999995</c:v>
                </c:pt>
                <c:pt idx="91">
                  <c:v>0.72399999999999998</c:v>
                </c:pt>
                <c:pt idx="92">
                  <c:v>0.74</c:v>
                </c:pt>
                <c:pt idx="93">
                  <c:v>0.748</c:v>
                </c:pt>
                <c:pt idx="94">
                  <c:v>0.75800000000000001</c:v>
                </c:pt>
                <c:pt idx="95">
                  <c:v>0.77800000000000002</c:v>
                </c:pt>
                <c:pt idx="96">
                  <c:v>0.79</c:v>
                </c:pt>
                <c:pt idx="97">
                  <c:v>0.8</c:v>
                </c:pt>
                <c:pt idx="98">
                  <c:v>0.82000000000000006</c:v>
                </c:pt>
                <c:pt idx="99">
                  <c:v>0.72799999999999998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A4-8346-AB46-92E5888AF8AA}"/>
            </c:ext>
          </c:extLst>
        </c:ser>
        <c:ser>
          <c:idx val="1"/>
          <c:order val="1"/>
          <c:tx>
            <c:v>aj. polinomial (4)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1'!$B$4:$B$103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'Parte 1'!$H$4:$H$103</c:f>
              <c:numCache>
                <c:formatCode>General</c:formatCode>
                <c:ptCount val="100"/>
                <c:pt idx="0">
                  <c:v>-2.2415638260891506</c:v>
                </c:pt>
                <c:pt idx="1">
                  <c:v>-2.1715292177080472</c:v>
                </c:pt>
                <c:pt idx="2">
                  <c:v>-2.1027220583995381</c:v>
                </c:pt>
                <c:pt idx="3">
                  <c:v>-2.0351285595366693</c:v>
                </c:pt>
                <c:pt idx="4">
                  <c:v>-1.9687349566229475</c:v>
                </c:pt>
                <c:pt idx="5">
                  <c:v>-1.9035275092923407</c:v>
                </c:pt>
                <c:pt idx="6">
                  <c:v>-1.839492501309278</c:v>
                </c:pt>
                <c:pt idx="7">
                  <c:v>-1.776616240568649</c:v>
                </c:pt>
                <c:pt idx="8">
                  <c:v>-1.7148850590958049</c:v>
                </c:pt>
                <c:pt idx="9">
                  <c:v>-1.6542853130465576</c:v>
                </c:pt>
                <c:pt idx="10">
                  <c:v>-1.5948033827071801</c:v>
                </c:pt>
                <c:pt idx="11">
                  <c:v>-1.5364256724944065</c:v>
                </c:pt>
                <c:pt idx="12">
                  <c:v>-1.4791386109554321</c:v>
                </c:pt>
                <c:pt idx="13">
                  <c:v>-1.4229286507679129</c:v>
                </c:pt>
                <c:pt idx="14">
                  <c:v>-1.3677822687399659</c:v>
                </c:pt>
                <c:pt idx="15">
                  <c:v>-1.3136859658101692</c:v>
                </c:pt>
                <c:pt idx="16">
                  <c:v>-1.2606262670475625</c:v>
                </c:pt>
                <c:pt idx="17">
                  <c:v>-1.2085897216516457</c:v>
                </c:pt>
                <c:pt idx="18">
                  <c:v>-1.1575629029523802</c:v>
                </c:pt>
                <c:pt idx="19">
                  <c:v>-1.1075324084101881</c:v>
                </c:pt>
                <c:pt idx="20">
                  <c:v>-1.0584848596159531</c:v>
                </c:pt>
                <c:pt idx="21">
                  <c:v>-1.0104069022910189</c:v>
                </c:pt>
                <c:pt idx="22">
                  <c:v>-0.96328520628719172</c:v>
                </c:pt>
                <c:pt idx="23">
                  <c:v>-0.91710646558673758</c:v>
                </c:pt>
                <c:pt idx="24">
                  <c:v>-0.87185739830238407</c:v>
                </c:pt>
                <c:pt idx="25">
                  <c:v>-0.82752474667731946</c:v>
                </c:pt>
                <c:pt idx="26">
                  <c:v>-0.78409527708519322</c:v>
                </c:pt>
                <c:pt idx="27">
                  <c:v>-0.74155578003011646</c:v>
                </c:pt>
                <c:pt idx="28">
                  <c:v>-0.69989307014665991</c:v>
                </c:pt>
                <c:pt idx="29">
                  <c:v>-0.65909398619985704</c:v>
                </c:pt>
                <c:pt idx="30">
                  <c:v>-0.61914539108520072</c:v>
                </c:pt>
                <c:pt idx="31">
                  <c:v>-0.58003417182864636</c:v>
                </c:pt>
                <c:pt idx="32">
                  <c:v>-0.5417472395866092</c:v>
                </c:pt>
                <c:pt idx="33">
                  <c:v>-0.50427152964596567</c:v>
                </c:pt>
                <c:pt idx="34">
                  <c:v>-0.46759400142405427</c:v>
                </c:pt>
                <c:pt idx="35">
                  <c:v>-0.43170163846867315</c:v>
                </c:pt>
                <c:pt idx="36">
                  <c:v>-0.39658144845808274</c:v>
                </c:pt>
                <c:pt idx="37">
                  <c:v>-0.36222046320100354</c:v>
                </c:pt>
                <c:pt idx="38">
                  <c:v>-0.32860573863661724</c:v>
                </c:pt>
                <c:pt idx="39">
                  <c:v>-0.29572435483456738</c:v>
                </c:pt>
                <c:pt idx="40">
                  <c:v>-0.2635634159949567</c:v>
                </c:pt>
                <c:pt idx="41">
                  <c:v>-0.23211005044835131</c:v>
                </c:pt>
                <c:pt idx="42">
                  <c:v>-0.20135141065577677</c:v>
                </c:pt>
                <c:pt idx="43">
                  <c:v>-0.17127467320872025</c:v>
                </c:pt>
                <c:pt idx="44">
                  <c:v>-0.1418670388291301</c:v>
                </c:pt>
                <c:pt idx="45">
                  <c:v>-0.11311573236941408</c:v>
                </c:pt>
                <c:pt idx="46">
                  <c:v>-8.500800281244425E-2</c:v>
                </c:pt>
                <c:pt idx="47">
                  <c:v>-5.7531123271549856E-2</c:v>
                </c:pt>
                <c:pt idx="48">
                  <c:v>-3.0672390990524878E-2</c:v>
                </c:pt>
                <c:pt idx="49">
                  <c:v>-4.4191273436213763E-3</c:v>
                </c:pt>
                <c:pt idx="50">
                  <c:v>2.1241322164446519E-2</c:v>
                </c:pt>
                <c:pt idx="51">
                  <c:v>4.6321587898502603E-2</c:v>
                </c:pt>
                <c:pt idx="52">
                  <c:v>7.0834276092911708E-2</c:v>
                </c:pt>
                <c:pt idx="53">
                  <c:v>9.4791968851575259E-2</c:v>
                </c:pt>
                <c:pt idx="54">
                  <c:v>0.11820722414793616</c:v>
                </c:pt>
                <c:pt idx="55">
                  <c:v>0.14109257582497392</c:v>
                </c:pt>
                <c:pt idx="56">
                  <c:v>0.16346053359520907</c:v>
                </c:pt>
                <c:pt idx="57">
                  <c:v>0.18532358304070007</c:v>
                </c:pt>
                <c:pt idx="58">
                  <c:v>0.20669418561304242</c:v>
                </c:pt>
                <c:pt idx="59">
                  <c:v>0.22758477863337623</c:v>
                </c:pt>
                <c:pt idx="60">
                  <c:v>0.24800777529237417</c:v>
                </c:pt>
                <c:pt idx="61">
                  <c:v>0.26797556465025218</c:v>
                </c:pt>
                <c:pt idx="62">
                  <c:v>0.28750051163676149</c:v>
                </c:pt>
                <c:pt idx="63">
                  <c:v>0.30659495705119699</c:v>
                </c:pt>
                <c:pt idx="64">
                  <c:v>0.3252712175623893</c:v>
                </c:pt>
                <c:pt idx="65">
                  <c:v>0.34354158570870696</c:v>
                </c:pt>
                <c:pt idx="66">
                  <c:v>0.36141832989806222</c:v>
                </c:pt>
                <c:pt idx="67">
                  <c:v>0.37891369440790124</c:v>
                </c:pt>
                <c:pt idx="68">
                  <c:v>0.39603989938521256</c:v>
                </c:pt>
                <c:pt idx="69">
                  <c:v>0.41280914084651998</c:v>
                </c:pt>
                <c:pt idx="70">
                  <c:v>0.42923359067789191</c:v>
                </c:pt>
                <c:pt idx="71">
                  <c:v>0.4453253966349302</c:v>
                </c:pt>
                <c:pt idx="72">
                  <c:v>0.46109668234277779</c:v>
                </c:pt>
                <c:pt idx="73">
                  <c:v>0.47655954729611905</c:v>
                </c:pt>
                <c:pt idx="74">
                  <c:v>0.49172606685917319</c:v>
                </c:pt>
                <c:pt idx="75">
                  <c:v>0.50660829226569959</c:v>
                </c:pt>
                <c:pt idx="76">
                  <c:v>0.52121825061899996</c:v>
                </c:pt>
                <c:pt idx="77">
                  <c:v>0.53556794489190951</c:v>
                </c:pt>
                <c:pt idx="78">
                  <c:v>0.54966935392680627</c:v>
                </c:pt>
                <c:pt idx="79">
                  <c:v>0.5635344324356053</c:v>
                </c:pt>
                <c:pt idx="80">
                  <c:v>0.5771751109997636</c:v>
                </c:pt>
                <c:pt idx="81">
                  <c:v>0.59060329607027251</c:v>
                </c:pt>
                <c:pt idx="82">
                  <c:v>0.60383086996766577</c:v>
                </c:pt>
                <c:pt idx="83">
                  <c:v>0.61686969088201593</c:v>
                </c:pt>
                <c:pt idx="84">
                  <c:v>0.6297315928729339</c:v>
                </c:pt>
                <c:pt idx="85">
                  <c:v>0.64242838586956674</c:v>
                </c:pt>
                <c:pt idx="86">
                  <c:v>0.65497185567060567</c:v>
                </c:pt>
                <c:pt idx="87">
                  <c:v>0.66737376394427761</c:v>
                </c:pt>
                <c:pt idx="88">
                  <c:v>0.67964584822834961</c:v>
                </c:pt>
                <c:pt idx="89">
                  <c:v>0.69179982193012579</c:v>
                </c:pt>
                <c:pt idx="90">
                  <c:v>0.70384737432645306</c:v>
                </c:pt>
                <c:pt idx="91">
                  <c:v>0.71580017056371359</c:v>
                </c:pt>
                <c:pt idx="92">
                  <c:v>0.72766985165782794</c:v>
                </c:pt>
                <c:pt idx="93">
                  <c:v>0.73946803449426213</c:v>
                </c:pt>
                <c:pt idx="94">
                  <c:v>0.75120631182801301</c:v>
                </c:pt>
                <c:pt idx="95">
                  <c:v>0.76289625228362068</c:v>
                </c:pt>
                <c:pt idx="96">
                  <c:v>0.77454940035516318</c:v>
                </c:pt>
                <c:pt idx="97">
                  <c:v>0.78617727640625956</c:v>
                </c:pt>
                <c:pt idx="98">
                  <c:v>0.79779137667006639</c:v>
                </c:pt>
                <c:pt idx="99">
                  <c:v>0.80940317324927458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A4-8346-AB46-92E5888AF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177968"/>
        <c:axId val="1502151871"/>
      </c:scatterChart>
      <c:valAx>
        <c:axId val="18571779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02151871"/>
        <c:crossesAt val="-2.5"/>
        <c:crossBetween val="midCat"/>
      </c:valAx>
      <c:valAx>
        <c:axId val="150215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5717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Resíduos associados ao ajuste de 4º grau</a:t>
            </a:r>
            <a:endParaRPr lang="en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'Parte 1'!$L$4:$L$103</c:f>
              <c:numCache>
                <c:formatCode>General</c:formatCode>
                <c:ptCount val="100"/>
                <c:pt idx="0">
                  <c:v>1.5638260891503997E-3</c:v>
                </c:pt>
                <c:pt idx="1">
                  <c:v>-2.847078229195299E-2</c:v>
                </c:pt>
                <c:pt idx="2">
                  <c:v>-3.727794160046205E-2</c:v>
                </c:pt>
                <c:pt idx="3">
                  <c:v>-2.4871440463330785E-2</c:v>
                </c:pt>
                <c:pt idx="4">
                  <c:v>8.7349566229475428E-3</c:v>
                </c:pt>
                <c:pt idx="5">
                  <c:v>2.352750929234082E-2</c:v>
                </c:pt>
                <c:pt idx="6">
                  <c:v>1.9492501309278154E-2</c:v>
                </c:pt>
                <c:pt idx="7">
                  <c:v>1.6616240568649188E-2</c:v>
                </c:pt>
                <c:pt idx="8">
                  <c:v>3.4885059095804749E-2</c:v>
                </c:pt>
                <c:pt idx="9">
                  <c:v>3.4285313046557686E-2</c:v>
                </c:pt>
                <c:pt idx="10">
                  <c:v>3.4803382707180308E-2</c:v>
                </c:pt>
                <c:pt idx="11">
                  <c:v>1.6425672494406518E-2</c:v>
                </c:pt>
                <c:pt idx="12">
                  <c:v>1.9138610955432123E-2</c:v>
                </c:pt>
                <c:pt idx="13">
                  <c:v>2.2928650767912728E-2</c:v>
                </c:pt>
                <c:pt idx="14">
                  <c:v>7.7822687399657919E-3</c:v>
                </c:pt>
                <c:pt idx="15">
                  <c:v>1.3685965810169121E-2</c:v>
                </c:pt>
                <c:pt idx="16">
                  <c:v>-1.9373732952437495E-2</c:v>
                </c:pt>
                <c:pt idx="17">
                  <c:v>-1.1410278348354286E-2</c:v>
                </c:pt>
                <c:pt idx="18">
                  <c:v>-2.4370970476197407E-3</c:v>
                </c:pt>
                <c:pt idx="19">
                  <c:v>-3.246759158981205E-2</c:v>
                </c:pt>
                <c:pt idx="20">
                  <c:v>-2.1515140384047005E-2</c:v>
                </c:pt>
                <c:pt idx="21">
                  <c:v>-2.9593097708981109E-2</c:v>
                </c:pt>
                <c:pt idx="22">
                  <c:v>-3.671479371280828E-2</c:v>
                </c:pt>
                <c:pt idx="23">
                  <c:v>-6.2893534413262397E-2</c:v>
                </c:pt>
                <c:pt idx="24">
                  <c:v>-6.8142601697615879E-2</c:v>
                </c:pt>
                <c:pt idx="25">
                  <c:v>-7.2475253322680566E-2</c:v>
                </c:pt>
                <c:pt idx="26">
                  <c:v>-5.5904722914806748E-2</c:v>
                </c:pt>
                <c:pt idx="27">
                  <c:v>-7.84442199698836E-2</c:v>
                </c:pt>
                <c:pt idx="28">
                  <c:v>-6.0106929853340096E-2</c:v>
                </c:pt>
                <c:pt idx="29">
                  <c:v>5.9093986199856952E-2</c:v>
                </c:pt>
                <c:pt idx="30">
                  <c:v>0.13914539108520074</c:v>
                </c:pt>
                <c:pt idx="31">
                  <c:v>5.2034171828646336E-2</c:v>
                </c:pt>
                <c:pt idx="32">
                  <c:v>3.7747239586609194E-2</c:v>
                </c:pt>
                <c:pt idx="33">
                  <c:v>4.0271529645965587E-2</c:v>
                </c:pt>
                <c:pt idx="34">
                  <c:v>4.359400142405423E-2</c:v>
                </c:pt>
                <c:pt idx="35">
                  <c:v>3.1701638468673132E-2</c:v>
                </c:pt>
                <c:pt idx="36">
                  <c:v>5.2581448458082769E-2</c:v>
                </c:pt>
                <c:pt idx="37">
                  <c:v>4.2220463201003477E-2</c:v>
                </c:pt>
                <c:pt idx="38">
                  <c:v>4.8605738636617213E-2</c:v>
                </c:pt>
                <c:pt idx="39">
                  <c:v>-2.427564516543268E-2</c:v>
                </c:pt>
                <c:pt idx="40">
                  <c:v>-1.6436584005043331E-2</c:v>
                </c:pt>
                <c:pt idx="41">
                  <c:v>-1.5889949551648685E-2</c:v>
                </c:pt>
                <c:pt idx="42">
                  <c:v>-1.4648589344223195E-2</c:v>
                </c:pt>
                <c:pt idx="43">
                  <c:v>-2.0725326791279808E-2</c:v>
                </c:pt>
                <c:pt idx="44">
                  <c:v>-2.1329611708699181E-3</c:v>
                </c:pt>
                <c:pt idx="45">
                  <c:v>-6.8842676305859163E-3</c:v>
                </c:pt>
                <c:pt idx="46">
                  <c:v>5.0080028124442899E-3</c:v>
                </c:pt>
                <c:pt idx="47">
                  <c:v>9.5311232715498129E-3</c:v>
                </c:pt>
                <c:pt idx="48">
                  <c:v>2.2672390990524871E-2</c:v>
                </c:pt>
                <c:pt idx="49">
                  <c:v>-4.3580872656378666E-2</c:v>
                </c:pt>
                <c:pt idx="50">
                  <c:v>-3.7241322164446533E-2</c:v>
                </c:pt>
                <c:pt idx="51">
                  <c:v>-3.8321587898502596E-2</c:v>
                </c:pt>
                <c:pt idx="52">
                  <c:v>-3.0834276092911783E-2</c:v>
                </c:pt>
                <c:pt idx="53">
                  <c:v>-6.7919688515752918E-3</c:v>
                </c:pt>
                <c:pt idx="54">
                  <c:v>9.7927758520638397E-3</c:v>
                </c:pt>
                <c:pt idx="55">
                  <c:v>2.6907424175026118E-2</c:v>
                </c:pt>
                <c:pt idx="56">
                  <c:v>2.0539466404790985E-2</c:v>
                </c:pt>
                <c:pt idx="57">
                  <c:v>3.0676416959299901E-2</c:v>
                </c:pt>
                <c:pt idx="58">
                  <c:v>4.1305814386957573E-2</c:v>
                </c:pt>
                <c:pt idx="59">
                  <c:v>-2.7584778633376272E-2</c:v>
                </c:pt>
                <c:pt idx="60">
                  <c:v>-2.4007775292374189E-2</c:v>
                </c:pt>
                <c:pt idx="61">
                  <c:v>-1.197556465025218E-2</c:v>
                </c:pt>
                <c:pt idx="62">
                  <c:v>-7.5005116367615754E-3</c:v>
                </c:pt>
                <c:pt idx="63">
                  <c:v>-2.5949570511970554E-3</c:v>
                </c:pt>
                <c:pt idx="64">
                  <c:v>2.7287824376106551E-3</c:v>
                </c:pt>
                <c:pt idx="65">
                  <c:v>1.6458414291293022E-2</c:v>
                </c:pt>
                <c:pt idx="66">
                  <c:v>2.258167010193779E-2</c:v>
                </c:pt>
                <c:pt idx="67">
                  <c:v>2.9086305592098793E-2</c:v>
                </c:pt>
                <c:pt idx="68">
                  <c:v>3.5960100614787383E-2</c:v>
                </c:pt>
                <c:pt idx="69">
                  <c:v>-3.6809140846519928E-2</c:v>
                </c:pt>
                <c:pt idx="70">
                  <c:v>-3.7233590677891948E-2</c:v>
                </c:pt>
                <c:pt idx="71">
                  <c:v>-2.9325396634930223E-2</c:v>
                </c:pt>
                <c:pt idx="72">
                  <c:v>-2.1096682342777784E-2</c:v>
                </c:pt>
                <c:pt idx="73">
                  <c:v>-2.055954729611903E-2</c:v>
                </c:pt>
                <c:pt idx="74">
                  <c:v>-3.7260668591731494E-3</c:v>
                </c:pt>
                <c:pt idx="75">
                  <c:v>1.3391707734300429E-2</c:v>
                </c:pt>
                <c:pt idx="76">
                  <c:v>1.4781749381000076E-2</c:v>
                </c:pt>
                <c:pt idx="77">
                  <c:v>1.6432055108090537E-2</c:v>
                </c:pt>
                <c:pt idx="78">
                  <c:v>2.0330646073193792E-2</c:v>
                </c:pt>
                <c:pt idx="79">
                  <c:v>-2.7534432435605272E-2</c:v>
                </c:pt>
                <c:pt idx="80">
                  <c:v>-2.517511099976355E-2</c:v>
                </c:pt>
                <c:pt idx="81">
                  <c:v>-1.4603296070272442E-2</c:v>
                </c:pt>
                <c:pt idx="82">
                  <c:v>-1.1830869967665691E-2</c:v>
                </c:pt>
                <c:pt idx="83">
                  <c:v>-8.8696908820159459E-3</c:v>
                </c:pt>
                <c:pt idx="84">
                  <c:v>2.2684071270661077E-3</c:v>
                </c:pt>
                <c:pt idx="85">
                  <c:v>5.5716141304332778E-3</c:v>
                </c:pt>
                <c:pt idx="86">
                  <c:v>1.3028144329394364E-2</c:v>
                </c:pt>
                <c:pt idx="87">
                  <c:v>2.0626236055722447E-2</c:v>
                </c:pt>
                <c:pt idx="88">
                  <c:v>2.835415177165046E-2</c:v>
                </c:pt>
                <c:pt idx="89">
                  <c:v>-1.1799821930125742E-2</c:v>
                </c:pt>
                <c:pt idx="90">
                  <c:v>-7.8473743264531048E-3</c:v>
                </c:pt>
                <c:pt idx="91">
                  <c:v>8.1998294362863877E-3</c:v>
                </c:pt>
                <c:pt idx="92">
                  <c:v>1.2330148342172054E-2</c:v>
                </c:pt>
                <c:pt idx="93">
                  <c:v>8.5319655057378707E-3</c:v>
                </c:pt>
                <c:pt idx="94">
                  <c:v>6.7936881719870001E-3</c:v>
                </c:pt>
                <c:pt idx="95">
                  <c:v>1.5103747716379345E-2</c:v>
                </c:pt>
                <c:pt idx="96">
                  <c:v>1.545059964483686E-2</c:v>
                </c:pt>
                <c:pt idx="97">
                  <c:v>1.3822723593740482E-2</c:v>
                </c:pt>
                <c:pt idx="98">
                  <c:v>2.2208623329933674E-2</c:v>
                </c:pt>
                <c:pt idx="99">
                  <c:v>-8.1403173249274596E-2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F-954B-956F-F0144F9D8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33088"/>
        <c:axId val="1503530879"/>
      </c:scatterChart>
      <c:valAx>
        <c:axId val="746233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03530879"/>
        <c:crossesAt val="-0.1"/>
        <c:crossBetween val="midCat"/>
      </c:valAx>
      <c:valAx>
        <c:axId val="1503530879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74623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Resíduos associados ao ajuste de 3º</a:t>
            </a:r>
            <a:r>
              <a:rPr lang="en-GB" sz="1800" baseline="0"/>
              <a:t> e 4º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7.7322655285400971E-2"/>
          <c:y val="0.13739553339182264"/>
          <c:w val="0.8854783062255932"/>
          <c:h val="0.72570440413818238"/>
        </c:manualLayout>
      </c:layout>
      <c:scatterChart>
        <c:scatterStyle val="lineMarker"/>
        <c:varyColors val="0"/>
        <c:ser>
          <c:idx val="0"/>
          <c:order val="0"/>
          <c:tx>
            <c:v>ajuste 3º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'Parte 1'!$J$4:$J$103</c:f>
              <c:numCache>
                <c:formatCode>General</c:formatCode>
                <c:ptCount val="100"/>
                <c:pt idx="0">
                  <c:v>2.6616711242732904E-4</c:v>
                </c:pt>
                <c:pt idx="1">
                  <c:v>-2.9506287940045617E-2</c:v>
                </c:pt>
                <c:pt idx="2">
                  <c:v>-3.8075369225614164E-2</c:v>
                </c:pt>
                <c:pt idx="3">
                  <c:v>-2.5453707109103885E-2</c:v>
                </c:pt>
                <c:pt idx="4">
                  <c:v>8.3460680446607594E-3</c:v>
                </c:pt>
                <c:pt idx="5">
                  <c:v>2.3311325870855049E-2</c:v>
                </c:pt>
                <c:pt idx="6">
                  <c:v>1.9429436004654299E-2</c:v>
                </c:pt>
                <c:pt idx="7">
                  <c:v>1.6687768081233845E-2</c:v>
                </c:pt>
                <c:pt idx="8">
                  <c:v>3.5073691735768353E-2</c:v>
                </c:pt>
                <c:pt idx="9">
                  <c:v>3.4574576603434215E-2</c:v>
                </c:pt>
                <c:pt idx="10">
                  <c:v>3.5177792319405654E-2</c:v>
                </c:pt>
                <c:pt idx="11">
                  <c:v>1.6870708518858191E-2</c:v>
                </c:pt>
                <c:pt idx="12">
                  <c:v>1.9640694836967842E-2</c:v>
                </c:pt>
                <c:pt idx="13">
                  <c:v>2.3475120908908798E-2</c:v>
                </c:pt>
                <c:pt idx="14">
                  <c:v>8.3613563698572424E-3</c:v>
                </c:pt>
                <c:pt idx="15">
                  <c:v>1.4286770854987862E-2</c:v>
                </c:pt>
                <c:pt idx="16">
                  <c:v>-1.8761266000524079E-2</c:v>
                </c:pt>
                <c:pt idx="17">
                  <c:v>-1.0795384561502752E-2</c:v>
                </c:pt>
                <c:pt idx="18">
                  <c:v>-1.8282151927735413E-3</c:v>
                </c:pt>
                <c:pt idx="19">
                  <c:v>-3.1872388259160944E-2</c:v>
                </c:pt>
                <c:pt idx="20">
                  <c:v>-2.0940534125489574E-2</c:v>
                </c:pt>
                <c:pt idx="21">
                  <c:v>-2.9045283156584167E-2</c:v>
                </c:pt>
                <c:pt idx="22">
                  <c:v>-3.6199265717269391E-2</c:v>
                </c:pt>
                <c:pt idx="23">
                  <c:v>-6.2415112172370613E-2</c:v>
                </c:pt>
                <c:pt idx="24">
                  <c:v>-6.7705452886711814E-2</c:v>
                </c:pt>
                <c:pt idx="25">
                  <c:v>-7.2082918225117809E-2</c:v>
                </c:pt>
                <c:pt idx="26">
                  <c:v>-5.5560138552413485E-2</c:v>
                </c:pt>
                <c:pt idx="27">
                  <c:v>-7.8149744233423801E-2</c:v>
                </c:pt>
                <c:pt idx="28">
                  <c:v>-5.9864365632973371E-2</c:v>
                </c:pt>
                <c:pt idx="29">
                  <c:v>5.9283366884113731E-2</c:v>
                </c:pt>
                <c:pt idx="30">
                  <c:v>0.13928082295301181</c:v>
                </c:pt>
                <c:pt idx="31">
                  <c:v>5.2115372208896504E-2</c:v>
                </c:pt>
                <c:pt idx="32">
                  <c:v>3.777438428694313E-2</c:v>
                </c:pt>
                <c:pt idx="33">
                  <c:v>4.024522882232684E-2</c:v>
                </c:pt>
                <c:pt idx="34">
                  <c:v>4.3515275450223601E-2</c:v>
                </c:pt>
                <c:pt idx="35">
                  <c:v>3.1571893805807716E-2</c:v>
                </c:pt>
                <c:pt idx="36">
                  <c:v>5.2402453524254766E-2</c:v>
                </c:pt>
                <c:pt idx="37">
                  <c:v>4.1994324240740122E-2</c:v>
                </c:pt>
                <c:pt idx="38">
                  <c:v>4.8334875590438697E-2</c:v>
                </c:pt>
                <c:pt idx="39">
                  <c:v>-2.4588522791473055E-2</c:v>
                </c:pt>
                <c:pt idx="40">
                  <c:v>-1.6788501269821454E-2</c:v>
                </c:pt>
                <c:pt idx="41">
                  <c:v>-1.6277690209430373E-2</c:v>
                </c:pt>
                <c:pt idx="42">
                  <c:v>-1.5068719975124489E-2</c:v>
                </c:pt>
                <c:pt idx="43">
                  <c:v>-2.1174220931729049E-2</c:v>
                </c:pt>
                <c:pt idx="44">
                  <c:v>-2.6068234440684845E-3</c:v>
                </c:pt>
                <c:pt idx="45">
                  <c:v>-7.3791578769667465E-3</c:v>
                </c:pt>
                <c:pt idx="46">
                  <c:v>4.4961454047501848E-3</c:v>
                </c:pt>
                <c:pt idx="47">
                  <c:v>9.0064560362579371E-3</c:v>
                </c:pt>
                <c:pt idx="48">
                  <c:v>2.2139143652732507E-2</c:v>
                </c:pt>
                <c:pt idx="49">
                  <c:v>-4.4118422110652311E-2</c:v>
                </c:pt>
                <c:pt idx="50">
                  <c:v>-3.7778871618719734E-2</c:v>
                </c:pt>
                <c:pt idx="51">
                  <c:v>-3.885483523629496E-2</c:v>
                </c:pt>
                <c:pt idx="52">
                  <c:v>-3.1358943328203659E-2</c:v>
                </c:pt>
                <c:pt idx="53">
                  <c:v>-7.303826259269397E-3</c:v>
                </c:pt>
                <c:pt idx="54">
                  <c:v>9.2978856056830095E-3</c:v>
                </c:pt>
                <c:pt idx="55">
                  <c:v>2.6433561901827995E-2</c:v>
                </c:pt>
                <c:pt idx="56">
                  <c:v>2.0090572264341744E-2</c:v>
                </c:pt>
                <c:pt idx="57">
                  <c:v>3.0256286328398607E-2</c:v>
                </c:pt>
                <c:pt idx="58">
                  <c:v>4.091807372917633E-2</c:v>
                </c:pt>
                <c:pt idx="59">
                  <c:v>-2.7936695898153507E-2</c:v>
                </c:pt>
                <c:pt idx="60">
                  <c:v>-2.4320652918413677E-2</c:v>
                </c:pt>
                <c:pt idx="61">
                  <c:v>-1.2246427696428919E-2</c:v>
                </c:pt>
                <c:pt idx="62">
                  <c:v>-7.726650597024487E-3</c:v>
                </c:pt>
                <c:pt idx="63">
                  <c:v>-2.7739519850243921E-3</c:v>
                </c:pt>
                <c:pt idx="64">
                  <c:v>2.5990377747456828E-3</c:v>
                </c:pt>
                <c:pt idx="65">
                  <c:v>1.6379688317462393E-2</c:v>
                </c:pt>
                <c:pt idx="66">
                  <c:v>2.2555369278299708E-2</c:v>
                </c:pt>
                <c:pt idx="67">
                  <c:v>2.9113450292432952E-2</c:v>
                </c:pt>
                <c:pt idx="68">
                  <c:v>3.6041300995038217E-2</c:v>
                </c:pt>
                <c:pt idx="69">
                  <c:v>-3.6673708978708419E-2</c:v>
                </c:pt>
                <c:pt idx="70">
                  <c:v>-3.7044209993634281E-2</c:v>
                </c:pt>
                <c:pt idx="71">
                  <c:v>-2.9082832414562387E-2</c:v>
                </c:pt>
                <c:pt idx="72">
                  <c:v>-2.0802206606317541E-2</c:v>
                </c:pt>
                <c:pt idx="73">
                  <c:v>-2.0214962933725322E-2</c:v>
                </c:pt>
                <c:pt idx="74">
                  <c:v>-3.3337317616095041E-3</c:v>
                </c:pt>
                <c:pt idx="75">
                  <c:v>1.3828856545204715E-2</c:v>
                </c:pt>
                <c:pt idx="76">
                  <c:v>1.5260171621892749E-2</c:v>
                </c:pt>
                <c:pt idx="77">
                  <c:v>1.6947583103629427E-2</c:v>
                </c:pt>
                <c:pt idx="78">
                  <c:v>2.0878460625590956E-2</c:v>
                </c:pt>
                <c:pt idx="79">
                  <c:v>-2.6959826177047397E-2</c:v>
                </c:pt>
                <c:pt idx="80">
                  <c:v>-2.4579907669111112E-2</c:v>
                </c:pt>
                <c:pt idx="81">
                  <c:v>-1.3994414215426243E-2</c:v>
                </c:pt>
                <c:pt idx="82">
                  <c:v>-1.121597618081438E-2</c:v>
                </c:pt>
                <c:pt idx="83">
                  <c:v>-8.2572239301020867E-3</c:v>
                </c:pt>
                <c:pt idx="84">
                  <c:v>2.8692121718848496E-3</c:v>
                </c:pt>
                <c:pt idx="85">
                  <c:v>6.1507017603242842E-3</c:v>
                </c:pt>
                <c:pt idx="86">
                  <c:v>1.3574614470390212E-2</c:v>
                </c:pt>
                <c:pt idx="87">
                  <c:v>2.11283199372575E-2</c:v>
                </c:pt>
                <c:pt idx="88">
                  <c:v>2.8799187796101466E-2</c:v>
                </c:pt>
                <c:pt idx="89">
                  <c:v>-1.1425412317902173E-2</c:v>
                </c:pt>
                <c:pt idx="90">
                  <c:v>-7.5581107695767979E-3</c:v>
                </c:pt>
                <c:pt idx="91">
                  <c:v>8.3884620762495476E-3</c:v>
                </c:pt>
                <c:pt idx="92">
                  <c:v>1.2401675854754712E-2</c:v>
                </c:pt>
                <c:pt idx="93">
                  <c:v>8.4689002011135717E-3</c:v>
                </c:pt>
                <c:pt idx="94">
                  <c:v>6.5775047505001183E-3</c:v>
                </c:pt>
                <c:pt idx="95">
                  <c:v>1.4714859138091008E-2</c:v>
                </c:pt>
                <c:pt idx="96">
                  <c:v>1.4868332999061096E-2</c:v>
                </c:pt>
                <c:pt idx="97">
                  <c:v>1.3025295968585704E-2</c:v>
                </c:pt>
                <c:pt idx="98">
                  <c:v>2.1173117681839715E-2</c:v>
                </c:pt>
                <c:pt idx="99">
                  <c:v>-8.2700832226001664E-2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A-2643-85FC-320CEC344936}"/>
            </c:ext>
          </c:extLst>
        </c:ser>
        <c:ser>
          <c:idx val="1"/>
          <c:order val="1"/>
          <c:tx>
            <c:v>ajuste 4º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'Parte 1'!$L$4:$L$103</c:f>
              <c:numCache>
                <c:formatCode>General</c:formatCode>
                <c:ptCount val="100"/>
                <c:pt idx="0">
                  <c:v>1.5638260891503997E-3</c:v>
                </c:pt>
                <c:pt idx="1">
                  <c:v>-2.847078229195299E-2</c:v>
                </c:pt>
                <c:pt idx="2">
                  <c:v>-3.727794160046205E-2</c:v>
                </c:pt>
                <c:pt idx="3">
                  <c:v>-2.4871440463330785E-2</c:v>
                </c:pt>
                <c:pt idx="4">
                  <c:v>8.7349566229475428E-3</c:v>
                </c:pt>
                <c:pt idx="5">
                  <c:v>2.352750929234082E-2</c:v>
                </c:pt>
                <c:pt idx="6">
                  <c:v>1.9492501309278154E-2</c:v>
                </c:pt>
                <c:pt idx="7">
                  <c:v>1.6616240568649188E-2</c:v>
                </c:pt>
                <c:pt idx="8">
                  <c:v>3.4885059095804749E-2</c:v>
                </c:pt>
                <c:pt idx="9">
                  <c:v>3.4285313046557686E-2</c:v>
                </c:pt>
                <c:pt idx="10">
                  <c:v>3.4803382707180308E-2</c:v>
                </c:pt>
                <c:pt idx="11">
                  <c:v>1.6425672494406518E-2</c:v>
                </c:pt>
                <c:pt idx="12">
                  <c:v>1.9138610955432123E-2</c:v>
                </c:pt>
                <c:pt idx="13">
                  <c:v>2.2928650767912728E-2</c:v>
                </c:pt>
                <c:pt idx="14">
                  <c:v>7.7822687399657919E-3</c:v>
                </c:pt>
                <c:pt idx="15">
                  <c:v>1.3685965810169121E-2</c:v>
                </c:pt>
                <c:pt idx="16">
                  <c:v>-1.9373732952437495E-2</c:v>
                </c:pt>
                <c:pt idx="17">
                  <c:v>-1.1410278348354286E-2</c:v>
                </c:pt>
                <c:pt idx="18">
                  <c:v>-2.4370970476197407E-3</c:v>
                </c:pt>
                <c:pt idx="19">
                  <c:v>-3.246759158981205E-2</c:v>
                </c:pt>
                <c:pt idx="20">
                  <c:v>-2.1515140384047005E-2</c:v>
                </c:pt>
                <c:pt idx="21">
                  <c:v>-2.9593097708981109E-2</c:v>
                </c:pt>
                <c:pt idx="22">
                  <c:v>-3.671479371280828E-2</c:v>
                </c:pt>
                <c:pt idx="23">
                  <c:v>-6.2893534413262397E-2</c:v>
                </c:pt>
                <c:pt idx="24">
                  <c:v>-6.8142601697615879E-2</c:v>
                </c:pt>
                <c:pt idx="25">
                  <c:v>-7.2475253322680566E-2</c:v>
                </c:pt>
                <c:pt idx="26">
                  <c:v>-5.5904722914806748E-2</c:v>
                </c:pt>
                <c:pt idx="27">
                  <c:v>-7.84442199698836E-2</c:v>
                </c:pt>
                <c:pt idx="28">
                  <c:v>-6.0106929853340096E-2</c:v>
                </c:pt>
                <c:pt idx="29">
                  <c:v>5.9093986199856952E-2</c:v>
                </c:pt>
                <c:pt idx="30">
                  <c:v>0.13914539108520074</c:v>
                </c:pt>
                <c:pt idx="31">
                  <c:v>5.2034171828646336E-2</c:v>
                </c:pt>
                <c:pt idx="32">
                  <c:v>3.7747239586609194E-2</c:v>
                </c:pt>
                <c:pt idx="33">
                  <c:v>4.0271529645965587E-2</c:v>
                </c:pt>
                <c:pt idx="34">
                  <c:v>4.359400142405423E-2</c:v>
                </c:pt>
                <c:pt idx="35">
                  <c:v>3.1701638468673132E-2</c:v>
                </c:pt>
                <c:pt idx="36">
                  <c:v>5.2581448458082769E-2</c:v>
                </c:pt>
                <c:pt idx="37">
                  <c:v>4.2220463201003477E-2</c:v>
                </c:pt>
                <c:pt idx="38">
                  <c:v>4.8605738636617213E-2</c:v>
                </c:pt>
                <c:pt idx="39">
                  <c:v>-2.427564516543268E-2</c:v>
                </c:pt>
                <c:pt idx="40">
                  <c:v>-1.6436584005043331E-2</c:v>
                </c:pt>
                <c:pt idx="41">
                  <c:v>-1.5889949551648685E-2</c:v>
                </c:pt>
                <c:pt idx="42">
                  <c:v>-1.4648589344223195E-2</c:v>
                </c:pt>
                <c:pt idx="43">
                  <c:v>-2.0725326791279808E-2</c:v>
                </c:pt>
                <c:pt idx="44">
                  <c:v>-2.1329611708699181E-3</c:v>
                </c:pt>
                <c:pt idx="45">
                  <c:v>-6.8842676305859163E-3</c:v>
                </c:pt>
                <c:pt idx="46">
                  <c:v>5.0080028124442899E-3</c:v>
                </c:pt>
                <c:pt idx="47">
                  <c:v>9.5311232715498129E-3</c:v>
                </c:pt>
                <c:pt idx="48">
                  <c:v>2.2672390990524871E-2</c:v>
                </c:pt>
                <c:pt idx="49">
                  <c:v>-4.3580872656378666E-2</c:v>
                </c:pt>
                <c:pt idx="50">
                  <c:v>-3.7241322164446533E-2</c:v>
                </c:pt>
                <c:pt idx="51">
                  <c:v>-3.8321587898502596E-2</c:v>
                </c:pt>
                <c:pt idx="52">
                  <c:v>-3.0834276092911783E-2</c:v>
                </c:pt>
                <c:pt idx="53">
                  <c:v>-6.7919688515752918E-3</c:v>
                </c:pt>
                <c:pt idx="54">
                  <c:v>9.7927758520638397E-3</c:v>
                </c:pt>
                <c:pt idx="55">
                  <c:v>2.6907424175026118E-2</c:v>
                </c:pt>
                <c:pt idx="56">
                  <c:v>2.0539466404790985E-2</c:v>
                </c:pt>
                <c:pt idx="57">
                  <c:v>3.0676416959299901E-2</c:v>
                </c:pt>
                <c:pt idx="58">
                  <c:v>4.1305814386957573E-2</c:v>
                </c:pt>
                <c:pt idx="59">
                  <c:v>-2.7584778633376272E-2</c:v>
                </c:pt>
                <c:pt idx="60">
                  <c:v>-2.4007775292374189E-2</c:v>
                </c:pt>
                <c:pt idx="61">
                  <c:v>-1.197556465025218E-2</c:v>
                </c:pt>
                <c:pt idx="62">
                  <c:v>-7.5005116367615754E-3</c:v>
                </c:pt>
                <c:pt idx="63">
                  <c:v>-2.5949570511970554E-3</c:v>
                </c:pt>
                <c:pt idx="64">
                  <c:v>2.7287824376106551E-3</c:v>
                </c:pt>
                <c:pt idx="65">
                  <c:v>1.6458414291293022E-2</c:v>
                </c:pt>
                <c:pt idx="66">
                  <c:v>2.258167010193779E-2</c:v>
                </c:pt>
                <c:pt idx="67">
                  <c:v>2.9086305592098793E-2</c:v>
                </c:pt>
                <c:pt idx="68">
                  <c:v>3.5960100614787383E-2</c:v>
                </c:pt>
                <c:pt idx="69">
                  <c:v>-3.6809140846519928E-2</c:v>
                </c:pt>
                <c:pt idx="70">
                  <c:v>-3.7233590677891948E-2</c:v>
                </c:pt>
                <c:pt idx="71">
                  <c:v>-2.9325396634930223E-2</c:v>
                </c:pt>
                <c:pt idx="72">
                  <c:v>-2.1096682342777784E-2</c:v>
                </c:pt>
                <c:pt idx="73">
                  <c:v>-2.055954729611903E-2</c:v>
                </c:pt>
                <c:pt idx="74">
                  <c:v>-3.7260668591731494E-3</c:v>
                </c:pt>
                <c:pt idx="75">
                  <c:v>1.3391707734300429E-2</c:v>
                </c:pt>
                <c:pt idx="76">
                  <c:v>1.4781749381000076E-2</c:v>
                </c:pt>
                <c:pt idx="77">
                  <c:v>1.6432055108090537E-2</c:v>
                </c:pt>
                <c:pt idx="78">
                  <c:v>2.0330646073193792E-2</c:v>
                </c:pt>
                <c:pt idx="79">
                  <c:v>-2.7534432435605272E-2</c:v>
                </c:pt>
                <c:pt idx="80">
                  <c:v>-2.517511099976355E-2</c:v>
                </c:pt>
                <c:pt idx="81">
                  <c:v>-1.4603296070272442E-2</c:v>
                </c:pt>
                <c:pt idx="82">
                  <c:v>-1.1830869967665691E-2</c:v>
                </c:pt>
                <c:pt idx="83">
                  <c:v>-8.8696908820159459E-3</c:v>
                </c:pt>
                <c:pt idx="84">
                  <c:v>2.2684071270661077E-3</c:v>
                </c:pt>
                <c:pt idx="85">
                  <c:v>5.5716141304332778E-3</c:v>
                </c:pt>
                <c:pt idx="86">
                  <c:v>1.3028144329394364E-2</c:v>
                </c:pt>
                <c:pt idx="87">
                  <c:v>2.0626236055722447E-2</c:v>
                </c:pt>
                <c:pt idx="88">
                  <c:v>2.835415177165046E-2</c:v>
                </c:pt>
                <c:pt idx="89">
                  <c:v>-1.1799821930125742E-2</c:v>
                </c:pt>
                <c:pt idx="90">
                  <c:v>-7.8473743264531048E-3</c:v>
                </c:pt>
                <c:pt idx="91">
                  <c:v>8.1998294362863877E-3</c:v>
                </c:pt>
                <c:pt idx="92">
                  <c:v>1.2330148342172054E-2</c:v>
                </c:pt>
                <c:pt idx="93">
                  <c:v>8.5319655057378707E-3</c:v>
                </c:pt>
                <c:pt idx="94">
                  <c:v>6.7936881719870001E-3</c:v>
                </c:pt>
                <c:pt idx="95">
                  <c:v>1.5103747716379345E-2</c:v>
                </c:pt>
                <c:pt idx="96">
                  <c:v>1.545059964483686E-2</c:v>
                </c:pt>
                <c:pt idx="97">
                  <c:v>1.3822723593740482E-2</c:v>
                </c:pt>
                <c:pt idx="98">
                  <c:v>2.2208623329933674E-2</c:v>
                </c:pt>
                <c:pt idx="99">
                  <c:v>-8.1403173249274596E-2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FA-2643-85FC-320CEC344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151567"/>
        <c:axId val="1857207584"/>
      </c:scatterChart>
      <c:valAx>
        <c:axId val="145815156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57207584"/>
        <c:crossesAt val="-0.1"/>
        <c:crossBetween val="midCat"/>
      </c:valAx>
      <c:valAx>
        <c:axId val="1857207584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58151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504980720076807"/>
          <c:y val="0.13768816035632814"/>
          <c:w val="9.6385551796404262E-2"/>
          <c:h val="8.161720657379302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992623966844769E-2"/>
          <c:y val="4.2553178527489445E-2"/>
          <c:w val="0.86941263524691248"/>
          <c:h val="0.8325917749000822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xVal>
          <c:yVal>
            <c:numRef>
              <c:f>'Parte 1'!$I$132:$I$200</c:f>
              <c:numCache>
                <c:formatCode>0.0000</c:formatCode>
                <c:ptCount val="69"/>
                <c:pt idx="0">
                  <c:v>-1.3168675656892503E-2</c:v>
                </c:pt>
                <c:pt idx="1">
                  <c:v>2.2401676907750412E-2</c:v>
                </c:pt>
                <c:pt idx="2">
                  <c:v>1.6107188750975832E-2</c:v>
                </c:pt>
                <c:pt idx="3">
                  <c:v>2.5824787884879519E-2</c:v>
                </c:pt>
                <c:pt idx="4">
                  <c:v>3.5588177149575961E-2</c:v>
                </c:pt>
                <c:pt idx="5">
                  <c:v>2.9429787734402191E-2</c:v>
                </c:pt>
                <c:pt idx="6">
                  <c:v>5.5380779177918948E-2</c:v>
                </c:pt>
                <c:pt idx="7">
                  <c:v>4.947103936790942E-2</c:v>
                </c:pt>
                <c:pt idx="8">
                  <c:v>5.9729184541380098E-2</c:v>
                </c:pt>
                <c:pt idx="9">
                  <c:v>-9.8174407154392185E-3</c:v>
                </c:pt>
                <c:pt idx="10">
                  <c:v>8.5723653290381563E-4</c:v>
                </c:pt>
                <c:pt idx="11">
                  <c:v>3.7780175710848685E-3</c:v>
                </c:pt>
                <c:pt idx="12">
                  <c:v>6.9684320330025695E-3</c:v>
                </c:pt>
                <c:pt idx="13">
                  <c:v>2.4507379017785214E-3</c:v>
                </c:pt>
                <c:pt idx="14">
                  <c:v>2.2245921509758015E-2</c:v>
                </c:pt>
                <c:pt idx="15">
                  <c:v>1.8373697538508149E-2</c:v>
                </c:pt>
                <c:pt idx="16">
                  <c:v>3.0852509018819974E-2</c:v>
                </c:pt>
                <c:pt idx="17">
                  <c:v>3.5699527330707692E-2</c:v>
                </c:pt>
                <c:pt idx="18">
                  <c:v>4.8930652203407643E-2</c:v>
                </c:pt>
                <c:pt idx="19">
                  <c:v>-1.7439488284619387E-2</c:v>
                </c:pt>
                <c:pt idx="20">
                  <c:v>-1.1397537705691629E-2</c:v>
                </c:pt>
                <c:pt idx="21">
                  <c:v>-1.2931411282901983E-2</c:v>
                </c:pt>
                <c:pt idx="22">
                  <c:v>-6.0302958901218284E-3</c:v>
                </c:pt>
                <c:pt idx="23">
                  <c:v>1.7315349948001102E-2</c:v>
                </c:pt>
                <c:pt idx="24">
                  <c:v>3.3113796056041589E-2</c:v>
                </c:pt>
                <c:pt idx="25">
                  <c:v>4.9372040607798762E-2</c:v>
                </c:pt>
                <c:pt idx="26">
                  <c:v>4.2095810126292377E-2</c:v>
                </c:pt>
                <c:pt idx="27">
                  <c:v>5.1289559483767677E-2</c:v>
                </c:pt>
                <c:pt idx="28">
                  <c:v>6.0956471901692622E-2</c:v>
                </c:pt>
                <c:pt idx="29">
                  <c:v>-8.9015410492441216E-3</c:v>
                </c:pt>
                <c:pt idx="30">
                  <c:v>-6.2838394491275817E-3</c:v>
                </c:pt>
                <c:pt idx="31">
                  <c:v>4.8089449711781196E-3</c:v>
                </c:pt>
                <c:pt idx="32">
                  <c:v>8.3749088300316687E-3</c:v>
                </c:pt>
                <c:pt idx="33">
                  <c:v>1.2410877095017647E-2</c:v>
                </c:pt>
                <c:pt idx="34">
                  <c:v>1.6912403082939176E-2</c:v>
                </c:pt>
                <c:pt idx="35">
                  <c:v>2.9873768459826366E-2</c:v>
                </c:pt>
                <c:pt idx="36">
                  <c:v>3.5287983240930854E-2</c:v>
                </c:pt>
                <c:pt idx="37">
                  <c:v>4.1146785790726725E-2</c:v>
                </c:pt>
                <c:pt idx="38">
                  <c:v>4.744064282291216E-2</c:v>
                </c:pt>
                <c:pt idx="39">
                  <c:v>-2.5841250599591803E-2</c:v>
                </c:pt>
                <c:pt idx="40">
                  <c:v>-2.6710971064643318E-2</c:v>
                </c:pt>
                <c:pt idx="41">
                  <c:v>-1.9181866810872028E-2</c:v>
                </c:pt>
                <c:pt idx="42">
                  <c:v>-1.1268557727690032E-2</c:v>
                </c:pt>
                <c:pt idx="43">
                  <c:v>-1.098693535528511E-2</c:v>
                </c:pt>
                <c:pt idx="44">
                  <c:v>5.6458371153800813E-3</c:v>
                </c:pt>
                <c:pt idx="45">
                  <c:v>2.2611324842563452E-2</c:v>
                </c:pt>
                <c:pt idx="46">
                  <c:v>2.3889821333747729E-2</c:v>
                </c:pt>
                <c:pt idx="47">
                  <c:v>2.5460348445637937E-2</c:v>
                </c:pt>
                <c:pt idx="48">
                  <c:v>2.9300656384163348E-2</c:v>
                </c:pt>
                <c:pt idx="49">
                  <c:v>-1.8612776295527045E-2</c:v>
                </c:pt>
                <c:pt idx="50">
                  <c:v>-1.6304742689058349E-2</c:v>
                </c:pt>
                <c:pt idx="51">
                  <c:v>-5.8013075428333671E-3</c:v>
                </c:pt>
                <c:pt idx="52">
                  <c:v>-3.1298072540284494E-3</c:v>
                </c:pt>
                <c:pt idx="53">
                  <c:v>-3.1884987060470937E-4</c:v>
                </c:pt>
                <c:pt idx="54">
                  <c:v>1.0601684908705944E-2</c:v>
                </c:pt>
                <c:pt idx="55">
                  <c:v>1.3600645734392791E-2</c:v>
                </c:pt>
                <c:pt idx="56">
                  <c:v>2.0645609606169457E-2</c:v>
                </c:pt>
                <c:pt idx="57">
                  <c:v>2.770288187296932E-2</c:v>
                </c:pt>
                <c:pt idx="58">
                  <c:v>3.4737496232952636E-2</c:v>
                </c:pt>
                <c:pt idx="59">
                  <c:v>-6.2867852664997281E-3</c:v>
                </c:pt>
                <c:pt idx="60">
                  <c:v>-3.407472228782682E-3</c:v>
                </c:pt>
                <c:pt idx="61">
                  <c:v>1.133665409193152E-2</c:v>
                </c:pt>
                <c:pt idx="62">
                  <c:v>1.3905540790691839E-2</c:v>
                </c:pt>
                <c:pt idx="63">
                  <c:v>8.2578633117751377E-3</c:v>
                </c:pt>
                <c:pt idx="64">
                  <c:v>4.3510254486762712E-3</c:v>
                </c:pt>
                <c:pt idx="65">
                  <c:v>1.0141159344115191E-2</c:v>
                </c:pt>
                <c:pt idx="66">
                  <c:v>7.5831254900364797E-3</c:v>
                </c:pt>
                <c:pt idx="67">
                  <c:v>2.6305127276027296E-3</c:v>
                </c:pt>
                <c:pt idx="68">
                  <c:v>7.2356382472074099E-3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F-6548-B118-915FF1057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55904"/>
        <c:axId val="1674242224"/>
      </c:scatterChart>
      <c:valAx>
        <c:axId val="1582855904"/>
        <c:scaling>
          <c:orientation val="minMax"/>
          <c:max val="10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74242224"/>
        <c:crossesAt val="-4.0000000000000008E-2"/>
        <c:crossBetween val="midCat"/>
      </c:valAx>
      <c:valAx>
        <c:axId val="16742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8285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Resíduos associados ao ajuste de 3º e 4º</a:t>
            </a:r>
            <a:endParaRPr lang="en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0151031210796665"/>
          <c:y val="0.13864984899734786"/>
          <c:w val="0.85765019671866616"/>
          <c:h val="0.72183304986502494"/>
        </c:manualLayout>
      </c:layout>
      <c:scatterChart>
        <c:scatterStyle val="lineMarker"/>
        <c:varyColors val="0"/>
        <c:ser>
          <c:idx val="1"/>
          <c:order val="0"/>
          <c:tx>
            <c:v>ajuste 3º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xVal>
          <c:yVal>
            <c:numRef>
              <c:f>'Parte 1'!$G$132:$G$200</c:f>
              <c:numCache>
                <c:formatCode>0.0000</c:formatCode>
                <c:ptCount val="69"/>
                <c:pt idx="0">
                  <c:v>4.9982663427106111E-3</c:v>
                </c:pt>
                <c:pt idx="1">
                  <c:v>4.1927483415443501E-2</c:v>
                </c:pt>
                <c:pt idx="2">
                  <c:v>3.1450245647919761E-2</c:v>
                </c:pt>
                <c:pt idx="3">
                  <c:v>3.7559207954348639E-2</c:v>
                </c:pt>
                <c:pt idx="4">
                  <c:v>4.4247025248940086E-2</c:v>
                </c:pt>
                <c:pt idx="5">
                  <c:v>3.5506352445903944E-2</c:v>
                </c:pt>
                <c:pt idx="6">
                  <c:v>5.9329844459450221E-2</c:v>
                </c:pt>
                <c:pt idx="7">
                  <c:v>5.1710156203788715E-2</c:v>
                </c:pt>
                <c:pt idx="8">
                  <c:v>6.0639942593129215E-2</c:v>
                </c:pt>
                <c:pt idx="9">
                  <c:v>-9.8881414583182892E-3</c:v>
                </c:pt>
                <c:pt idx="10">
                  <c:v>1.185589636560902E-4</c:v>
                </c:pt>
                <c:pt idx="11">
                  <c:v>2.6526987732620189E-3</c:v>
                </c:pt>
                <c:pt idx="12">
                  <c:v>5.7069328847092482E-3</c:v>
                </c:pt>
                <c:pt idx="13">
                  <c:v>1.2739162122078485E-3</c:v>
                </c:pt>
                <c:pt idx="14">
                  <c:v>2.1346303669968036E-2</c:v>
                </c:pt>
                <c:pt idx="15">
                  <c:v>1.7916750172199181E-2</c:v>
                </c:pt>
                <c:pt idx="16">
                  <c:v>3.0977910633111283E-2</c:v>
                </c:pt>
                <c:pt idx="17">
                  <c:v>3.6522439966913955E-2</c:v>
                </c:pt>
                <c:pt idx="18">
                  <c:v>5.0542993087816956E-2</c:v>
                </c:pt>
                <c:pt idx="19">
                  <c:v>-1.4967775089969049E-2</c:v>
                </c:pt>
                <c:pt idx="20">
                  <c:v>-8.0172096522346248E-3</c:v>
                </c:pt>
                <c:pt idx="21">
                  <c:v>-8.6126556847700986E-3</c:v>
                </c:pt>
                <c:pt idx="22">
                  <c:v>-7.6145827336537852E-4</c:v>
                </c:pt>
                <c:pt idx="23">
                  <c:v>2.3529037496189065E-2</c:v>
                </c:pt>
                <c:pt idx="24">
                  <c:v>4.0251486538103065E-2</c:v>
                </c:pt>
                <c:pt idx="25">
                  <c:v>5.7398543766586818E-2</c:v>
                </c:pt>
                <c:pt idx="26">
                  <c:v>5.0962864095850491E-2</c:v>
                </c:pt>
                <c:pt idx="27">
                  <c:v>6.0937102440103752E-2</c:v>
                </c:pt>
                <c:pt idx="28">
                  <c:v>7.1313913713555666E-2</c:v>
                </c:pt>
                <c:pt idx="29">
                  <c:v>2.0859528304166819E-3</c:v>
                </c:pt>
                <c:pt idx="30">
                  <c:v>5.2458747048966803E-3</c:v>
                </c:pt>
                <c:pt idx="31">
                  <c:v>1.6786334251205348E-2</c:v>
                </c:pt>
                <c:pt idx="32">
                  <c:v>2.0699986383553193E-2</c:v>
                </c:pt>
                <c:pt idx="33">
                  <c:v>2.4979486016149299E-2</c:v>
                </c:pt>
                <c:pt idx="34">
                  <c:v>2.9617488063204189E-2</c:v>
                </c:pt>
                <c:pt idx="35">
                  <c:v>4.2606647438926726E-2</c:v>
                </c:pt>
                <c:pt idx="36">
                  <c:v>4.7939619057527527E-2</c:v>
                </c:pt>
                <c:pt idx="37">
                  <c:v>5.3609057833216345E-2</c:v>
                </c:pt>
                <c:pt idx="38">
                  <c:v>5.9607618680202812E-2</c:v>
                </c:pt>
                <c:pt idx="39">
                  <c:v>-1.407204348730301E-2</c:v>
                </c:pt>
                <c:pt idx="40">
                  <c:v>-1.5437273755090908E-2</c:v>
                </c:pt>
                <c:pt idx="41">
                  <c:v>-8.4954172089516944E-3</c:v>
                </c:pt>
                <c:pt idx="42">
                  <c:v>-1.2538189346757433E-3</c:v>
                </c:pt>
                <c:pt idx="43">
                  <c:v>-1.7198240180515412E-3</c:v>
                </c:pt>
                <c:pt idx="44">
                  <c:v>1.4099222455128901E-2</c:v>
                </c:pt>
                <c:pt idx="45">
                  <c:v>3.0195975399076591E-2</c:v>
                </c:pt>
                <c:pt idx="46">
                  <c:v>3.0563089728000037E-2</c:v>
                </c:pt>
                <c:pt idx="47">
                  <c:v>3.1193220356110274E-2</c:v>
                </c:pt>
                <c:pt idx="48">
                  <c:v>3.407902219761838E-2</c:v>
                </c:pt>
                <c:pt idx="49">
                  <c:v>-1.4786849833269056E-2</c:v>
                </c:pt>
                <c:pt idx="50">
                  <c:v>-1.3411740822339091E-2</c:v>
                </c:pt>
                <c:pt idx="51">
                  <c:v>-3.8029958553842391E-3</c:v>
                </c:pt>
                <c:pt idx="52">
                  <c:v>-1.9679600181925494E-3</c:v>
                </c:pt>
                <c:pt idx="53">
                  <c:v>8.6021603443842132E-5</c:v>
                </c:pt>
                <c:pt idx="54">
                  <c:v>1.0351603923736241E-2</c:v>
                </c:pt>
                <c:pt idx="55">
                  <c:v>1.2821441856894267E-2</c:v>
                </c:pt>
                <c:pt idx="56">
                  <c:v>1.948819031712723E-2</c:v>
                </c:pt>
                <c:pt idx="57">
                  <c:v>2.6344504218646203E-2</c:v>
                </c:pt>
                <c:pt idx="58">
                  <c:v>3.3383038475659155E-2</c:v>
                </c:pt>
                <c:pt idx="59">
                  <c:v>-7.4035519976224373E-3</c:v>
                </c:pt>
                <c:pt idx="60">
                  <c:v>-4.0226122869901904E-3</c:v>
                </c:pt>
                <c:pt idx="61">
                  <c:v>1.1518512521766722E-2</c:v>
                </c:pt>
                <c:pt idx="62">
                  <c:v>1.5212477342858799E-2</c:v>
                </c:pt>
                <c:pt idx="63">
                  <c:v>1.1051937090494457E-2</c:v>
                </c:pt>
                <c:pt idx="64">
                  <c:v>9.0295466788856693E-3</c:v>
                </c:pt>
                <c:pt idx="65">
                  <c:v>1.7137961022239523E-2</c:v>
                </c:pt>
                <c:pt idx="66">
                  <c:v>1.7369835034766634E-2</c:v>
                </c:pt>
                <c:pt idx="67">
                  <c:v>1.5717823630678973E-2</c:v>
                </c:pt>
                <c:pt idx="68">
                  <c:v>2.4174581724184518E-2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EA-A941-9FD5-44A2D6A13349}"/>
            </c:ext>
          </c:extLst>
        </c:ser>
        <c:ser>
          <c:idx val="0"/>
          <c:order val="1"/>
          <c:tx>
            <c:v>ajuste 4º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xVal>
          <c:yVal>
            <c:numRef>
              <c:f>'Parte 1'!$I$132:$I$200</c:f>
              <c:numCache>
                <c:formatCode>0.0000</c:formatCode>
                <c:ptCount val="69"/>
                <c:pt idx="0">
                  <c:v>-1.3168675656892503E-2</c:v>
                </c:pt>
                <c:pt idx="1">
                  <c:v>2.2401676907750412E-2</c:v>
                </c:pt>
                <c:pt idx="2">
                  <c:v>1.6107188750975832E-2</c:v>
                </c:pt>
                <c:pt idx="3">
                  <c:v>2.5824787884879519E-2</c:v>
                </c:pt>
                <c:pt idx="4">
                  <c:v>3.5588177149575961E-2</c:v>
                </c:pt>
                <c:pt idx="5">
                  <c:v>2.9429787734402191E-2</c:v>
                </c:pt>
                <c:pt idx="6">
                  <c:v>5.5380779177918948E-2</c:v>
                </c:pt>
                <c:pt idx="7">
                  <c:v>4.947103936790942E-2</c:v>
                </c:pt>
                <c:pt idx="8">
                  <c:v>5.9729184541380098E-2</c:v>
                </c:pt>
                <c:pt idx="9">
                  <c:v>-9.8174407154392185E-3</c:v>
                </c:pt>
                <c:pt idx="10">
                  <c:v>8.5723653290381563E-4</c:v>
                </c:pt>
                <c:pt idx="11">
                  <c:v>3.7780175710848685E-3</c:v>
                </c:pt>
                <c:pt idx="12">
                  <c:v>6.9684320330025695E-3</c:v>
                </c:pt>
                <c:pt idx="13">
                  <c:v>2.4507379017785214E-3</c:v>
                </c:pt>
                <c:pt idx="14">
                  <c:v>2.2245921509758015E-2</c:v>
                </c:pt>
                <c:pt idx="15">
                  <c:v>1.8373697538508149E-2</c:v>
                </c:pt>
                <c:pt idx="16">
                  <c:v>3.0852509018819974E-2</c:v>
                </c:pt>
                <c:pt idx="17">
                  <c:v>3.5699527330707692E-2</c:v>
                </c:pt>
                <c:pt idx="18">
                  <c:v>4.8930652203407643E-2</c:v>
                </c:pt>
                <c:pt idx="19">
                  <c:v>-1.7439488284619387E-2</c:v>
                </c:pt>
                <c:pt idx="20">
                  <c:v>-1.1397537705691629E-2</c:v>
                </c:pt>
                <c:pt idx="21">
                  <c:v>-1.2931411282901983E-2</c:v>
                </c:pt>
                <c:pt idx="22">
                  <c:v>-6.0302958901218284E-3</c:v>
                </c:pt>
                <c:pt idx="23">
                  <c:v>1.7315349948001102E-2</c:v>
                </c:pt>
                <c:pt idx="24">
                  <c:v>3.3113796056041589E-2</c:v>
                </c:pt>
                <c:pt idx="25">
                  <c:v>4.9372040607798762E-2</c:v>
                </c:pt>
                <c:pt idx="26">
                  <c:v>4.2095810126292377E-2</c:v>
                </c:pt>
                <c:pt idx="27">
                  <c:v>5.1289559483767677E-2</c:v>
                </c:pt>
                <c:pt idx="28">
                  <c:v>6.0956471901692622E-2</c:v>
                </c:pt>
                <c:pt idx="29">
                  <c:v>-8.9015410492441216E-3</c:v>
                </c:pt>
                <c:pt idx="30">
                  <c:v>-6.2838394491275817E-3</c:v>
                </c:pt>
                <c:pt idx="31">
                  <c:v>4.8089449711781196E-3</c:v>
                </c:pt>
                <c:pt idx="32">
                  <c:v>8.3749088300316687E-3</c:v>
                </c:pt>
                <c:pt idx="33">
                  <c:v>1.2410877095017647E-2</c:v>
                </c:pt>
                <c:pt idx="34">
                  <c:v>1.6912403082939176E-2</c:v>
                </c:pt>
                <c:pt idx="35">
                  <c:v>2.9873768459826366E-2</c:v>
                </c:pt>
                <c:pt idx="36">
                  <c:v>3.5287983240930854E-2</c:v>
                </c:pt>
                <c:pt idx="37">
                  <c:v>4.1146785790726725E-2</c:v>
                </c:pt>
                <c:pt idx="38">
                  <c:v>4.744064282291216E-2</c:v>
                </c:pt>
                <c:pt idx="39">
                  <c:v>-2.5841250599591803E-2</c:v>
                </c:pt>
                <c:pt idx="40">
                  <c:v>-2.6710971064643318E-2</c:v>
                </c:pt>
                <c:pt idx="41">
                  <c:v>-1.9181866810872028E-2</c:v>
                </c:pt>
                <c:pt idx="42">
                  <c:v>-1.1268557727690032E-2</c:v>
                </c:pt>
                <c:pt idx="43">
                  <c:v>-1.098693535528511E-2</c:v>
                </c:pt>
                <c:pt idx="44">
                  <c:v>5.6458371153800813E-3</c:v>
                </c:pt>
                <c:pt idx="45">
                  <c:v>2.2611324842563452E-2</c:v>
                </c:pt>
                <c:pt idx="46">
                  <c:v>2.3889821333747729E-2</c:v>
                </c:pt>
                <c:pt idx="47">
                  <c:v>2.5460348445637937E-2</c:v>
                </c:pt>
                <c:pt idx="48">
                  <c:v>2.9300656384163348E-2</c:v>
                </c:pt>
                <c:pt idx="49">
                  <c:v>-1.8612776295527045E-2</c:v>
                </c:pt>
                <c:pt idx="50">
                  <c:v>-1.6304742689058349E-2</c:v>
                </c:pt>
                <c:pt idx="51">
                  <c:v>-5.8013075428333671E-3</c:v>
                </c:pt>
                <c:pt idx="52">
                  <c:v>-3.1298072540284494E-3</c:v>
                </c:pt>
                <c:pt idx="53">
                  <c:v>-3.1884987060470937E-4</c:v>
                </c:pt>
                <c:pt idx="54">
                  <c:v>1.0601684908705944E-2</c:v>
                </c:pt>
                <c:pt idx="55">
                  <c:v>1.3600645734392791E-2</c:v>
                </c:pt>
                <c:pt idx="56">
                  <c:v>2.0645609606169457E-2</c:v>
                </c:pt>
                <c:pt idx="57">
                  <c:v>2.770288187296932E-2</c:v>
                </c:pt>
                <c:pt idx="58">
                  <c:v>3.4737496232952636E-2</c:v>
                </c:pt>
                <c:pt idx="59">
                  <c:v>-6.2867852664997281E-3</c:v>
                </c:pt>
                <c:pt idx="60">
                  <c:v>-3.407472228782682E-3</c:v>
                </c:pt>
                <c:pt idx="61">
                  <c:v>1.133665409193152E-2</c:v>
                </c:pt>
                <c:pt idx="62">
                  <c:v>1.3905540790691839E-2</c:v>
                </c:pt>
                <c:pt idx="63">
                  <c:v>8.2578633117751377E-3</c:v>
                </c:pt>
                <c:pt idx="64">
                  <c:v>4.3510254486762712E-3</c:v>
                </c:pt>
                <c:pt idx="65">
                  <c:v>1.0141159344115191E-2</c:v>
                </c:pt>
                <c:pt idx="66">
                  <c:v>7.5831254900364797E-3</c:v>
                </c:pt>
                <c:pt idx="67">
                  <c:v>2.6305127276027296E-3</c:v>
                </c:pt>
                <c:pt idx="68">
                  <c:v>7.2356382472074099E-3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A-A941-9FD5-44A2D6A13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55904"/>
        <c:axId val="1674242224"/>
      </c:scatterChart>
      <c:valAx>
        <c:axId val="1582855904"/>
        <c:scaling>
          <c:orientation val="minMax"/>
          <c:max val="10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74242224"/>
        <c:crossesAt val="-4.0000000000000008E-2"/>
        <c:crossBetween val="midCat"/>
      </c:valAx>
      <c:valAx>
        <c:axId val="16742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8285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838360060811147"/>
          <c:y val="0.14383332731285703"/>
          <c:w val="9.74160010504318E-2"/>
          <c:h val="9.152257238459125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329349921359103E-2"/>
          <c:y val="3.9494258631700634E-2"/>
          <c:w val="0.89486848568305966"/>
          <c:h val="0.83385469335690743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xVal>
          <c:y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4A-894E-9AA6-1167D497809B}"/>
            </c:ext>
          </c:extLst>
        </c:ser>
        <c:ser>
          <c:idx val="1"/>
          <c:order val="1"/>
          <c:tx>
            <c:v>aj. polinomial 4º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xVal>
          <c:yVal>
            <c:numRef>
              <c:f>'Parte 1'!$H$132:$H$200</c:f>
              <c:numCache>
                <c:formatCode>0.0000</c:formatCode>
                <c:ptCount val="69"/>
                <c:pt idx="0">
                  <c:v>-0.58683132434310759</c:v>
                </c:pt>
                <c:pt idx="1">
                  <c:v>-0.55040167690775044</c:v>
                </c:pt>
                <c:pt idx="2">
                  <c:v>-0.52010718875097584</c:v>
                </c:pt>
                <c:pt idx="3">
                  <c:v>-0.4898247878848796</c:v>
                </c:pt>
                <c:pt idx="4">
                  <c:v>-0.459588177149576</c:v>
                </c:pt>
                <c:pt idx="5">
                  <c:v>-0.42942978773440221</c:v>
                </c:pt>
                <c:pt idx="6">
                  <c:v>-0.39938077917791892</c:v>
                </c:pt>
                <c:pt idx="7">
                  <c:v>-0.36947103936790948</c:v>
                </c:pt>
                <c:pt idx="8">
                  <c:v>-0.33972918454138012</c:v>
                </c:pt>
                <c:pt idx="9">
                  <c:v>-0.31018255928456084</c:v>
                </c:pt>
                <c:pt idx="10">
                  <c:v>-0.28085723653290384</c:v>
                </c:pt>
                <c:pt idx="11">
                  <c:v>-0.25177801757108487</c:v>
                </c:pt>
                <c:pt idx="12">
                  <c:v>-0.22296843203300254</c:v>
                </c:pt>
                <c:pt idx="13">
                  <c:v>-0.19445073790177858</c:v>
                </c:pt>
                <c:pt idx="14">
                  <c:v>-0.16624592150975803</c:v>
                </c:pt>
                <c:pt idx="15">
                  <c:v>-0.13837369753850814</c:v>
                </c:pt>
                <c:pt idx="16">
                  <c:v>-0.11085250901881993</c:v>
                </c:pt>
                <c:pt idx="17">
                  <c:v>-8.3699527330707735E-2</c:v>
                </c:pt>
                <c:pt idx="18">
                  <c:v>-5.693065220340765E-2</c:v>
                </c:pt>
                <c:pt idx="19">
                  <c:v>-3.0560511715380656E-2</c:v>
                </c:pt>
                <c:pt idx="20">
                  <c:v>-4.6024622943083848E-3</c:v>
                </c:pt>
                <c:pt idx="21">
                  <c:v>2.093141128290199E-2</c:v>
                </c:pt>
                <c:pt idx="22">
                  <c:v>4.6030295890121753E-2</c:v>
                </c:pt>
                <c:pt idx="23">
                  <c:v>7.0684650051998865E-2</c:v>
                </c:pt>
                <c:pt idx="24">
                  <c:v>9.4886203943958414E-2</c:v>
                </c:pt>
                <c:pt idx="25">
                  <c:v>0.11862795939220128</c:v>
                </c:pt>
                <c:pt idx="26">
                  <c:v>0.14190418987370768</c:v>
                </c:pt>
                <c:pt idx="27">
                  <c:v>0.16471044051623229</c:v>
                </c:pt>
                <c:pt idx="28">
                  <c:v>0.18704352809830738</c:v>
                </c:pt>
                <c:pt idx="29">
                  <c:v>0.20890154104924408</c:v>
                </c:pt>
                <c:pt idx="30">
                  <c:v>0.23028383944912756</c:v>
                </c:pt>
                <c:pt idx="31">
                  <c:v>0.25119105502882189</c:v>
                </c:pt>
                <c:pt idx="32">
                  <c:v>0.27162509116996825</c:v>
                </c:pt>
                <c:pt idx="33">
                  <c:v>0.29158912290498229</c:v>
                </c:pt>
                <c:pt idx="34">
                  <c:v>0.31108759691706078</c:v>
                </c:pt>
                <c:pt idx="35">
                  <c:v>0.33012623154017362</c:v>
                </c:pt>
                <c:pt idx="36">
                  <c:v>0.34871201675906915</c:v>
                </c:pt>
                <c:pt idx="37">
                  <c:v>0.3668532142092733</c:v>
                </c:pt>
                <c:pt idx="38">
                  <c:v>0.38455935717708778</c:v>
                </c:pt>
                <c:pt idx="39">
                  <c:v>0.40184125059959186</c:v>
                </c:pt>
                <c:pt idx="40">
                  <c:v>0.41871097106464328</c:v>
                </c:pt>
                <c:pt idx="41">
                  <c:v>0.43518186681087201</c:v>
                </c:pt>
                <c:pt idx="42">
                  <c:v>0.45126855772769003</c:v>
                </c:pt>
                <c:pt idx="43">
                  <c:v>0.46698693535528513</c:v>
                </c:pt>
                <c:pt idx="44">
                  <c:v>0.48235416288461996</c:v>
                </c:pt>
                <c:pt idx="45">
                  <c:v>0.49738867515743657</c:v>
                </c:pt>
                <c:pt idx="46">
                  <c:v>0.5121101786662523</c:v>
                </c:pt>
                <c:pt idx="47">
                  <c:v>0.52653965155436211</c:v>
                </c:pt>
                <c:pt idx="48">
                  <c:v>0.54069934361583671</c:v>
                </c:pt>
                <c:pt idx="49">
                  <c:v>0.55461277629552708</c:v>
                </c:pt>
                <c:pt idx="50">
                  <c:v>0.5683047426890584</c:v>
                </c:pt>
                <c:pt idx="51">
                  <c:v>0.58180130754283343</c:v>
                </c:pt>
                <c:pt idx="52">
                  <c:v>0.59512980725402853</c:v>
                </c:pt>
                <c:pt idx="53">
                  <c:v>0.60831884987060469</c:v>
                </c:pt>
                <c:pt idx="54">
                  <c:v>0.62139831509129406</c:v>
                </c:pt>
                <c:pt idx="55">
                  <c:v>0.63439935426560723</c:v>
                </c:pt>
                <c:pt idx="56">
                  <c:v>0.64735439039383058</c:v>
                </c:pt>
                <c:pt idx="57">
                  <c:v>0.66029711812703074</c:v>
                </c:pt>
                <c:pt idx="58">
                  <c:v>0.67326250376704744</c:v>
                </c:pt>
                <c:pt idx="59">
                  <c:v>0.68628678526649978</c:v>
                </c:pt>
                <c:pt idx="60">
                  <c:v>0.69940747222878263</c:v>
                </c:pt>
                <c:pt idx="61">
                  <c:v>0.71266334590806846</c:v>
                </c:pt>
                <c:pt idx="62">
                  <c:v>0.72609445920930815</c:v>
                </c:pt>
                <c:pt idx="63">
                  <c:v>0.73974213668822486</c:v>
                </c:pt>
                <c:pt idx="64">
                  <c:v>0.75364897455132374</c:v>
                </c:pt>
                <c:pt idx="65">
                  <c:v>0.76785884065588483</c:v>
                </c:pt>
                <c:pt idx="66">
                  <c:v>0.78241687450996356</c:v>
                </c:pt>
                <c:pt idx="67">
                  <c:v>0.79736948727239731</c:v>
                </c:pt>
                <c:pt idx="68">
                  <c:v>0.81276436175279265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4A-894E-9AA6-1167D4978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522847"/>
        <c:axId val="426307568"/>
      </c:scatterChart>
      <c:valAx>
        <c:axId val="1548522847"/>
        <c:scaling>
          <c:orientation val="minMax"/>
          <c:max val="10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26307568"/>
        <c:crossesAt val="-0.8"/>
        <c:crossBetween val="midCat"/>
      </c:valAx>
      <c:valAx>
        <c:axId val="4263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4852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u="none" strike="noStrike" baseline="0">
                <a:effectLst/>
              </a:rPr>
              <a:t>Z</a:t>
            </a:r>
            <a:r>
              <a:rPr lang="en-GB" sz="1600" b="0" i="0" u="none" strike="noStrike" baseline="-25000">
                <a:effectLst/>
              </a:rPr>
              <a:t>L</a:t>
            </a:r>
            <a:r>
              <a:rPr lang="en-GB" sz="1600" b="0" i="0" u="none" strike="noStrike" baseline="0"/>
              <a:t> (</a:t>
            </a:r>
            <a:r>
              <a:rPr lang="en-GB" sz="1600" b="0" i="0" u="none" strike="noStrike" baseline="0">
                <a:effectLst/>
              </a:rPr>
              <a:t>V</a:t>
            </a:r>
            <a:r>
              <a:rPr lang="en-GB" sz="1600" b="0" i="0" u="none" strike="noStrike" baseline="-25000">
                <a:effectLst/>
              </a:rPr>
              <a:t>r</a:t>
            </a:r>
            <a:r>
              <a:rPr lang="en-GB" sz="1600" b="0" i="0" u="none" strike="noStrike" baseline="0">
                <a:effectLst/>
              </a:rPr>
              <a:t> ) grau 3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6234845701982291E-2"/>
          <c:y val="0.1522856283866372"/>
          <c:w val="0.87004451351225742"/>
          <c:h val="0.7233621956254833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xVal>
          <c:y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5-E34F-800C-3C6D6A929AB5}"/>
            </c:ext>
          </c:extLst>
        </c:ser>
        <c:ser>
          <c:idx val="1"/>
          <c:order val="1"/>
          <c:tx>
            <c:v>aj. polinomial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xVal>
          <c:yVal>
            <c:numRef>
              <c:f>'Parte 1'!$AP$132:$AP$200</c:f>
              <c:numCache>
                <c:formatCode>General</c:formatCode>
                <c:ptCount val="69"/>
                <c:pt idx="0">
                  <c:v>29.759855793684991</c:v>
                </c:pt>
                <c:pt idx="1">
                  <c:v>32.11407124341504</c:v>
                </c:pt>
                <c:pt idx="2">
                  <c:v>32.892562572979259</c:v>
                </c:pt>
                <c:pt idx="3">
                  <c:v>34.187088493906771</c:v>
                </c:pt>
                <c:pt idx="4">
                  <c:v>35.481720871736471</c:v>
                </c:pt>
                <c:pt idx="5">
                  <c:v>36.26037827406806</c:v>
                </c:pt>
                <c:pt idx="6">
                  <c:v>38.088871116570978</c:v>
                </c:pt>
                <c:pt idx="7">
                  <c:v>38.879776888928518</c:v>
                </c:pt>
                <c:pt idx="8">
                  <c:v>40.211154376836063</c:v>
                </c:pt>
                <c:pt idx="9">
                  <c:v>38.879776888928518</c:v>
                </c:pt>
                <c:pt idx="10">
                  <c:v>40.211154376836063</c:v>
                </c:pt>
                <c:pt idx="11">
                  <c:v>41.29066696880205</c:v>
                </c:pt>
                <c:pt idx="12">
                  <c:v>42.385424819542315</c:v>
                </c:pt>
                <c:pt idx="13">
                  <c:v>43.21785049979021</c:v>
                </c:pt>
                <c:pt idx="14">
                  <c:v>44.916016797646037</c:v>
                </c:pt>
                <c:pt idx="15">
                  <c:v>45.783654556048582</c:v>
                </c:pt>
                <c:pt idx="16">
                  <c:v>47.26048480583308</c:v>
                </c:pt>
                <c:pt idx="17">
                  <c:v>48.472169113922384</c:v>
                </c:pt>
                <c:pt idx="18">
                  <c:v>50.028238519239565</c:v>
                </c:pt>
                <c:pt idx="19">
                  <c:v>48.472169113922384</c:v>
                </c:pt>
                <c:pt idx="20">
                  <c:v>49.713151575560858</c:v>
                </c:pt>
                <c:pt idx="21">
                  <c:v>50.664467926178446</c:v>
                </c:pt>
                <c:pt idx="22">
                  <c:v>51.962132521016308</c:v>
                </c:pt>
                <c:pt idx="23">
                  <c:v>53.975859734105825</c:v>
                </c:pt>
                <c:pt idx="24">
                  <c:v>55.720424221689299</c:v>
                </c:pt>
                <c:pt idx="25">
                  <c:v>57.530089804508833</c:v>
                </c:pt>
                <c:pt idx="26">
                  <c:v>58.273168046936988</c:v>
                </c:pt>
                <c:pt idx="27">
                  <c:v>59.793805223304823</c:v>
                </c:pt>
                <c:pt idx="28">
                  <c:v>61.362290374324694</c:v>
                </c:pt>
                <c:pt idx="29">
                  <c:v>59.027646167237144</c:v>
                </c:pt>
                <c:pt idx="30">
                  <c:v>60.181352932843822</c:v>
                </c:pt>
                <c:pt idx="31">
                  <c:v>61.762151399896069</c:v>
                </c:pt>
                <c:pt idx="32">
                  <c:v>62.980871963160581</c:v>
                </c:pt>
                <c:pt idx="33">
                  <c:v>64.229036533226335</c:v>
                </c:pt>
                <c:pt idx="34">
                  <c:v>65.507593680490658</c:v>
                </c:pt>
                <c:pt idx="35">
                  <c:v>67.261253390209021</c:v>
                </c:pt>
                <c:pt idx="36">
                  <c:v>68.614415435815033</c:v>
                </c:pt>
                <c:pt idx="37">
                  <c:v>70.001131959943962</c:v>
                </c:pt>
                <c:pt idx="38">
                  <c:v>71.42235153299309</c:v>
                </c:pt>
                <c:pt idx="39">
                  <c:v>68.159679988204175</c:v>
                </c:pt>
                <c:pt idx="40">
                  <c:v>69.072879158817329</c:v>
                </c:pt>
                <c:pt idx="41">
                  <c:v>70.470991302542174</c:v>
                </c:pt>
                <c:pt idx="42">
                  <c:v>71.903922685319685</c:v>
                </c:pt>
                <c:pt idx="43">
                  <c:v>72.879022725359761</c:v>
                </c:pt>
                <c:pt idx="44">
                  <c:v>74.878037449621843</c:v>
                </c:pt>
                <c:pt idx="45">
                  <c:v>76.944012085429819</c:v>
                </c:pt>
                <c:pt idx="46">
                  <c:v>78.002812014902247</c:v>
                </c:pt>
                <c:pt idx="47">
                  <c:v>79.079195095947654</c:v>
                </c:pt>
                <c:pt idx="48">
                  <c:v>80.31149337300468</c:v>
                </c:pt>
                <c:pt idx="49">
                  <c:v>78.002812014902247</c:v>
                </c:pt>
                <c:pt idx="50">
                  <c:v>79.079195095947654</c:v>
                </c:pt>
                <c:pt idx="51">
                  <c:v>80.727352940861493</c:v>
                </c:pt>
                <c:pt idx="52">
                  <c:v>81.848923529132122</c:v>
                </c:pt>
                <c:pt idx="53">
                  <c:v>82.989060971609945</c:v>
                </c:pt>
                <c:pt idx="54">
                  <c:v>84.734694801111615</c:v>
                </c:pt>
                <c:pt idx="55">
                  <c:v>85.922479007400284</c:v>
                </c:pt>
                <c:pt idx="56">
                  <c:v>87.434735172291525</c:v>
                </c:pt>
                <c:pt idx="57">
                  <c:v>88.978088023449686</c:v>
                </c:pt>
                <c:pt idx="58">
                  <c:v>90.553086502076908</c:v>
                </c:pt>
                <c:pt idx="59">
                  <c:v>88.356980148397454</c:v>
                </c:pt>
                <c:pt idx="60">
                  <c:v>89.604259198896955</c:v>
                </c:pt>
                <c:pt idx="61">
                  <c:v>91.836239025244225</c:v>
                </c:pt>
                <c:pt idx="62">
                  <c:v>93.140277130256635</c:v>
                </c:pt>
                <c:pt idx="63">
                  <c:v>93.800216106547083</c:v>
                </c:pt>
                <c:pt idx="64">
                  <c:v>94.632634745461132</c:v>
                </c:pt>
                <c:pt idx="65">
                  <c:v>96.322715832196934</c:v>
                </c:pt>
                <c:pt idx="66">
                  <c:v>97.353104966183267</c:v>
                </c:pt>
                <c:pt idx="67">
                  <c:v>98.221229983467509</c:v>
                </c:pt>
                <c:pt idx="68">
                  <c:v>99.983588409337074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5-E34F-800C-3C6D6A929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019135"/>
        <c:axId val="1623300111"/>
      </c:scatterChart>
      <c:valAx>
        <c:axId val="1499019135"/>
        <c:scaling>
          <c:orientation val="minMax"/>
          <c:min val="-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3300111"/>
        <c:crosses val="autoZero"/>
        <c:crossBetween val="midCat"/>
      </c:valAx>
      <c:valAx>
        <c:axId val="1623300111"/>
        <c:scaling>
          <c:orientation val="minMax"/>
          <c:max val="1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99019135"/>
        <c:crossesAt val="-0.8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99047373959573"/>
          <c:y val="0.77680786422641479"/>
          <c:w val="0.18683964004343484"/>
          <c:h val="9.728846684988784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Resíduos (inverso) grau 3</a:t>
            </a:r>
            <a:r>
              <a:rPr lang="en-GB" baseline="0"/>
              <a:t> e 4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74918257181812"/>
          <c:y val="0.13564701477492008"/>
          <c:w val="0.84251266516674805"/>
          <c:h val="0.69509144321880145"/>
        </c:manualLayout>
      </c:layout>
      <c:scatterChart>
        <c:scatterStyle val="lineMarker"/>
        <c:varyColors val="0"/>
        <c:ser>
          <c:idx val="1"/>
          <c:order val="0"/>
          <c:tx>
            <c:v>grau 3</c:v>
          </c:tx>
          <c:spPr>
            <a:ln w="19050">
              <a:noFill/>
            </a:ln>
          </c:spPr>
          <c:marker>
            <c:symbol val="diamond"/>
            <c:size val="6"/>
          </c:marker>
          <c:x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xVal>
          <c:yVal>
            <c:numRef>
              <c:f>'Parte 1'!$AQ$132:$AQ$200</c:f>
              <c:numCache>
                <c:formatCode>General</c:formatCode>
                <c:ptCount val="69"/>
                <c:pt idx="0">
                  <c:v>0.24014420631500855</c:v>
                </c:pt>
                <c:pt idx="1">
                  <c:v>-0.11407124341504016</c:v>
                </c:pt>
                <c:pt idx="2">
                  <c:v>0.10743742702074144</c:v>
                </c:pt>
                <c:pt idx="3">
                  <c:v>-0.18708849390677074</c:v>
                </c:pt>
                <c:pt idx="4">
                  <c:v>-0.48172087173647071</c:v>
                </c:pt>
                <c:pt idx="5">
                  <c:v>-0.26037827406806002</c:v>
                </c:pt>
                <c:pt idx="6">
                  <c:v>-1.0888711165709779</c:v>
                </c:pt>
                <c:pt idx="7">
                  <c:v>-0.87977688892851802</c:v>
                </c:pt>
                <c:pt idx="8">
                  <c:v>-1.2111543768360633</c:v>
                </c:pt>
                <c:pt idx="9">
                  <c:v>1.120223111071482</c:v>
                </c:pt>
                <c:pt idx="10">
                  <c:v>0.78884562316393669</c:v>
                </c:pt>
                <c:pt idx="11">
                  <c:v>0.70933303119794999</c:v>
                </c:pt>
                <c:pt idx="12">
                  <c:v>0.61457518045768467</c:v>
                </c:pt>
                <c:pt idx="13">
                  <c:v>0.78214950020979046</c:v>
                </c:pt>
                <c:pt idx="14">
                  <c:v>8.3983202353962838E-2</c:v>
                </c:pt>
                <c:pt idx="15">
                  <c:v>0.2163454439514183</c:v>
                </c:pt>
                <c:pt idx="16">
                  <c:v>-0.2604848058330802</c:v>
                </c:pt>
                <c:pt idx="17">
                  <c:v>-0.47216911392238359</c:v>
                </c:pt>
                <c:pt idx="18">
                  <c:v>-1.0282385192395651</c:v>
                </c:pt>
                <c:pt idx="19">
                  <c:v>1.5278308860776164</c:v>
                </c:pt>
                <c:pt idx="20">
                  <c:v>1.2868484244391425</c:v>
                </c:pt>
                <c:pt idx="21">
                  <c:v>1.3355320738215539</c:v>
                </c:pt>
                <c:pt idx="22">
                  <c:v>1.0378674789836921</c:v>
                </c:pt>
                <c:pt idx="23">
                  <c:v>2.4140265894175172E-2</c:v>
                </c:pt>
                <c:pt idx="24">
                  <c:v>-0.72042422168929932</c:v>
                </c:pt>
                <c:pt idx="25">
                  <c:v>-1.5300898045088331</c:v>
                </c:pt>
                <c:pt idx="26">
                  <c:v>-1.2731680469369877</c:v>
                </c:pt>
                <c:pt idx="27">
                  <c:v>-1.7938052233048225</c:v>
                </c:pt>
                <c:pt idx="28">
                  <c:v>-2.3622903743246937</c:v>
                </c:pt>
                <c:pt idx="29">
                  <c:v>0.97235383276285603</c:v>
                </c:pt>
                <c:pt idx="30">
                  <c:v>0.81864706715617785</c:v>
                </c:pt>
                <c:pt idx="31">
                  <c:v>0.23784860010393061</c:v>
                </c:pt>
                <c:pt idx="32">
                  <c:v>1.9128036839418883E-2</c:v>
                </c:pt>
                <c:pt idx="33">
                  <c:v>-0.22903653322633488</c:v>
                </c:pt>
                <c:pt idx="34">
                  <c:v>-0.50759368049065756</c:v>
                </c:pt>
                <c:pt idx="35">
                  <c:v>-1.2612533902090206</c:v>
                </c:pt>
                <c:pt idx="36">
                  <c:v>-1.6144154358150331</c:v>
                </c:pt>
                <c:pt idx="37">
                  <c:v>-2.0011319599439616</c:v>
                </c:pt>
                <c:pt idx="38">
                  <c:v>-2.4223515329930905</c:v>
                </c:pt>
                <c:pt idx="39">
                  <c:v>1.8403200117958249</c:v>
                </c:pt>
                <c:pt idx="40">
                  <c:v>1.9271208411826706</c:v>
                </c:pt>
                <c:pt idx="41">
                  <c:v>1.5290086974578259</c:v>
                </c:pt>
                <c:pt idx="42">
                  <c:v>1.0960773146803149</c:v>
                </c:pt>
                <c:pt idx="43">
                  <c:v>1.1209772746402393</c:v>
                </c:pt>
                <c:pt idx="44">
                  <c:v>0.12196255037815718</c:v>
                </c:pt>
                <c:pt idx="45">
                  <c:v>-0.94401208542981863</c:v>
                </c:pt>
                <c:pt idx="46">
                  <c:v>-1.002812014902247</c:v>
                </c:pt>
                <c:pt idx="47">
                  <c:v>-1.0791950959476537</c:v>
                </c:pt>
                <c:pt idx="48">
                  <c:v>-1.3114933730046801</c:v>
                </c:pt>
                <c:pt idx="49">
                  <c:v>1.997187985097753</c:v>
                </c:pt>
                <c:pt idx="50">
                  <c:v>1.9208049040523463</c:v>
                </c:pt>
                <c:pt idx="51">
                  <c:v>1.2726470591385066</c:v>
                </c:pt>
                <c:pt idx="52">
                  <c:v>1.1510764708678778</c:v>
                </c:pt>
                <c:pt idx="53">
                  <c:v>1.0109390283900552</c:v>
                </c:pt>
                <c:pt idx="54">
                  <c:v>0.26530519888838455</c:v>
                </c:pt>
                <c:pt idx="55">
                  <c:v>7.752099259971601E-2</c:v>
                </c:pt>
                <c:pt idx="56">
                  <c:v>-0.43473517229152492</c:v>
                </c:pt>
                <c:pt idx="57">
                  <c:v>-0.97808802344968626</c:v>
                </c:pt>
                <c:pt idx="58">
                  <c:v>-1.5530865020769085</c:v>
                </c:pt>
                <c:pt idx="59">
                  <c:v>1.6430198516025456</c:v>
                </c:pt>
                <c:pt idx="60">
                  <c:v>1.3957408011030452</c:v>
                </c:pt>
                <c:pt idx="61">
                  <c:v>0.16376097475577467</c:v>
                </c:pt>
                <c:pt idx="62">
                  <c:v>-0.14027713025663502</c:v>
                </c:pt>
                <c:pt idx="63">
                  <c:v>0.19978389345291703</c:v>
                </c:pt>
                <c:pt idx="64">
                  <c:v>0.3673652545388677</c:v>
                </c:pt>
                <c:pt idx="65">
                  <c:v>-0.32271583219693412</c:v>
                </c:pt>
                <c:pt idx="66">
                  <c:v>-0.35310496618326681</c:v>
                </c:pt>
                <c:pt idx="67">
                  <c:v>-0.22122998346750933</c:v>
                </c:pt>
                <c:pt idx="68">
                  <c:v>-0.9835884093370737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15-0244-A21E-C3D326BB2585}"/>
            </c:ext>
          </c:extLst>
        </c:ser>
        <c:ser>
          <c:idx val="0"/>
          <c:order val="1"/>
          <c:tx>
            <c:v>grau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xVal>
          <c:yVal>
            <c:numRef>
              <c:f>'Parte 1'!$AS$132:$AS$200</c:f>
              <c:numCache>
                <c:formatCode>General</c:formatCode>
                <c:ptCount val="69"/>
                <c:pt idx="0">
                  <c:v>0.75987069681845298</c:v>
                </c:pt>
                <c:pt idx="1">
                  <c:v>1.648682569030413E-2</c:v>
                </c:pt>
                <c:pt idx="2">
                  <c:v>0.14741887186455926</c:v>
                </c:pt>
                <c:pt idx="3">
                  <c:v>-0.26131555588033706</c:v>
                </c:pt>
                <c:pt idx="4">
                  <c:v>-0.63022847356247524</c:v>
                </c:pt>
                <c:pt idx="5">
                  <c:v>-0.4370237049088459</c:v>
                </c:pt>
                <c:pt idx="6">
                  <c:v>-1.2918173758569083</c:v>
                </c:pt>
                <c:pt idx="7">
                  <c:v>-1.0800987716139545</c:v>
                </c:pt>
                <c:pt idx="8">
                  <c:v>-1.3928160954928757</c:v>
                </c:pt>
                <c:pt idx="9">
                  <c:v>0.91990122838604549</c:v>
                </c:pt>
                <c:pt idx="10">
                  <c:v>0.60718390450712434</c:v>
                </c:pt>
                <c:pt idx="11">
                  <c:v>0.55265133193137927</c:v>
                </c:pt>
                <c:pt idx="12">
                  <c:v>0.48930828804991222</c:v>
                </c:pt>
                <c:pt idx="13">
                  <c:v>0.68339011811232098</c:v>
                </c:pt>
                <c:pt idx="14">
                  <c:v>4.2297691251931724E-2</c:v>
                </c:pt>
                <c:pt idx="15">
                  <c:v>0.20375975747563047</c:v>
                </c:pt>
                <c:pt idx="16">
                  <c:v>-0.22598334565602585</c:v>
                </c:pt>
                <c:pt idx="17">
                  <c:v>-0.40276676186206117</c:v>
                </c:pt>
                <c:pt idx="18">
                  <c:v>-0.92053065001274348</c:v>
                </c:pt>
                <c:pt idx="19">
                  <c:v>1.5972332381379388</c:v>
                </c:pt>
                <c:pt idx="20">
                  <c:v>1.3874499891579291</c:v>
                </c:pt>
                <c:pt idx="21">
                  <c:v>1.456526906678917</c:v>
                </c:pt>
                <c:pt idx="22">
                  <c:v>1.1814158303493016</c:v>
                </c:pt>
                <c:pt idx="23">
                  <c:v>0.1903891942377598</c:v>
                </c:pt>
                <c:pt idx="24">
                  <c:v>-0.54627165547951506</c:v>
                </c:pt>
                <c:pt idx="25">
                  <c:v>-1.3583480725223822</c:v>
                </c:pt>
                <c:pt idx="26">
                  <c:v>-1.1052505886704012</c:v>
                </c:pt>
                <c:pt idx="27">
                  <c:v>-1.6382669802196261</c:v>
                </c:pt>
                <c:pt idx="28">
                  <c:v>-2.2250849609214569</c:v>
                </c:pt>
                <c:pt idx="29">
                  <c:v>1.134855337991425</c:v>
                </c:pt>
                <c:pt idx="30">
                  <c:v>0.97014048353641869</c:v>
                </c:pt>
                <c:pt idx="31">
                  <c:v>0.36960531647793715</c:v>
                </c:pt>
                <c:pt idx="32">
                  <c:v>0.13263453204154985</c:v>
                </c:pt>
                <c:pt idx="33">
                  <c:v>-0.1363673622056325</c:v>
                </c:pt>
                <c:pt idx="34">
                  <c:v>-0.43795390455458971</c:v>
                </c:pt>
                <c:pt idx="35">
                  <c:v>-1.2249363651374949</c:v>
                </c:pt>
                <c:pt idx="36">
                  <c:v>-1.6043757246320922</c:v>
                </c:pt>
                <c:pt idx="37">
                  <c:v>-2.0178197032921048</c:v>
                </c:pt>
                <c:pt idx="38">
                  <c:v>-2.4655667454647698</c:v>
                </c:pt>
                <c:pt idx="39">
                  <c:v>1.8591992524441707</c:v>
                </c:pt>
                <c:pt idx="40">
                  <c:v>1.9282705227643646</c:v>
                </c:pt>
                <c:pt idx="41">
                  <c:v>1.5034224430296632</c:v>
                </c:pt>
                <c:pt idx="42">
                  <c:v>1.0441849000739296</c:v>
                </c:pt>
                <c:pt idx="43">
                  <c:v>1.0521435723358223</c:v>
                </c:pt>
                <c:pt idx="44">
                  <c:v>2.1720476720545889E-2</c:v>
                </c:pt>
                <c:pt idx="45">
                  <c:v>-1.0706917849797293</c:v>
                </c:pt>
                <c:pt idx="46">
                  <c:v>-1.1401759645217311</c:v>
                </c:pt>
                <c:pt idx="47">
                  <c:v>-1.2251727128490586</c:v>
                </c:pt>
                <c:pt idx="48">
                  <c:v>-1.4643121467831861</c:v>
                </c:pt>
                <c:pt idx="49">
                  <c:v>1.8598240354782689</c:v>
                </c:pt>
                <c:pt idx="50">
                  <c:v>1.7748272871509414</c:v>
                </c:pt>
                <c:pt idx="51">
                  <c:v>1.1182911312681085</c:v>
                </c:pt>
                <c:pt idx="52">
                  <c:v>0.99462210467724788</c:v>
                </c:pt>
                <c:pt idx="53">
                  <c:v>0.85555834832251776</c:v>
                </c:pt>
                <c:pt idx="54">
                  <c:v>0.11823165707691885</c:v>
                </c:pt>
                <c:pt idx="55">
                  <c:v>-5.9031722961464084E-2</c:v>
                </c:pt>
                <c:pt idx="56">
                  <c:v>-0.55188223604361042</c:v>
                </c:pt>
                <c:pt idx="57">
                  <c:v>-1.068180280356728</c:v>
                </c:pt>
                <c:pt idx="58">
                  <c:v>-1.6076982791111476</c:v>
                </c:pt>
                <c:pt idx="59">
                  <c:v>1.5411387121196469</c:v>
                </c:pt>
                <c:pt idx="60">
                  <c:v>1.3187852164973179</c:v>
                </c:pt>
                <c:pt idx="61">
                  <c:v>0.14414000995185461</c:v>
                </c:pt>
                <c:pt idx="62">
                  <c:v>-0.11857506234596826</c:v>
                </c:pt>
                <c:pt idx="63">
                  <c:v>0.2446581131859773</c:v>
                </c:pt>
                <c:pt idx="64">
                  <c:v>0.44366906412417961</c:v>
                </c:pt>
                <c:pt idx="65">
                  <c:v>-0.17491673896438442</c:v>
                </c:pt>
                <c:pt idx="66">
                  <c:v>-0.15657752326288232</c:v>
                </c:pt>
                <c:pt idx="67">
                  <c:v>1.9422958121509737E-2</c:v>
                </c:pt>
                <c:pt idx="68">
                  <c:v>-0.64459209791382932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15-0244-A21E-C3D326BB2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210080"/>
        <c:axId val="1945242239"/>
      </c:scatterChart>
      <c:valAx>
        <c:axId val="1726210080"/>
        <c:scaling>
          <c:orientation val="minMax"/>
          <c:min val="-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5242239"/>
        <c:crossesAt val="-3"/>
        <c:crossBetween val="midCat"/>
      </c:valAx>
      <c:valAx>
        <c:axId val="194524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26210080"/>
        <c:crossesAt val="-0.8"/>
        <c:crossBetween val="midCat"/>
      </c:valAx>
    </c:plotArea>
    <c:legend>
      <c:legendPos val="r"/>
      <c:layout>
        <c:manualLayout>
          <c:xMode val="edge"/>
          <c:yMode val="edge"/>
          <c:x val="0.10968325083675404"/>
          <c:y val="0.13773710434607297"/>
          <c:w val="8.5600860602456572E-2"/>
          <c:h val="8.473431064773480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u="none" strike="noStrike" baseline="0">
                <a:effectLst/>
              </a:rPr>
              <a:t>Z</a:t>
            </a:r>
            <a:r>
              <a:rPr lang="en-GB" sz="1600" b="0" i="0" u="none" strike="noStrike" baseline="-25000">
                <a:effectLst/>
              </a:rPr>
              <a:t>L</a:t>
            </a:r>
            <a:r>
              <a:rPr lang="en-GB" sz="1600" b="0" i="0" u="none" strike="noStrike" baseline="0"/>
              <a:t> (</a:t>
            </a:r>
            <a:r>
              <a:rPr lang="en-GB" sz="1600" b="0" i="0" u="none" strike="noStrike" baseline="0">
                <a:effectLst/>
              </a:rPr>
              <a:t>V</a:t>
            </a:r>
            <a:r>
              <a:rPr lang="en-GB" sz="1600" b="0" i="0" u="none" strike="noStrike" baseline="-25000">
                <a:effectLst/>
              </a:rPr>
              <a:t>r</a:t>
            </a:r>
            <a:r>
              <a:rPr lang="en-GB" sz="1600" b="0" i="0" u="none" strike="noStrike" baseline="0">
                <a:effectLst/>
              </a:rPr>
              <a:t> ) grau 4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6234845701982291E-2"/>
          <c:y val="0.1522856283866372"/>
          <c:w val="0.87004451351225742"/>
          <c:h val="0.7233621956254833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xVal>
          <c:yVal>
            <c:numRef>
              <c:f>'Parte 1'!$B$132:$B$200</c:f>
              <c:numCache>
                <c:formatCode>General</c:formatCode>
                <c:ptCount val="69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1B-E041-A75C-522239337F7A}"/>
            </c:ext>
          </c:extLst>
        </c:ser>
        <c:ser>
          <c:idx val="1"/>
          <c:order val="1"/>
          <c:tx>
            <c:v>aj. polinomial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xVal>
          <c:yVal>
            <c:numRef>
              <c:f>'Parte 1'!$AR$132:$AR$200</c:f>
              <c:numCache>
                <c:formatCode>General</c:formatCode>
                <c:ptCount val="69"/>
                <c:pt idx="0">
                  <c:v>29.240129303181547</c:v>
                </c:pt>
                <c:pt idx="1">
                  <c:v>31.983513174309696</c:v>
                </c:pt>
                <c:pt idx="2">
                  <c:v>32.852581128135441</c:v>
                </c:pt>
                <c:pt idx="3">
                  <c:v>34.261315555880337</c:v>
                </c:pt>
                <c:pt idx="4">
                  <c:v>35.630228473562475</c:v>
                </c:pt>
                <c:pt idx="5">
                  <c:v>36.437023704908846</c:v>
                </c:pt>
                <c:pt idx="6">
                  <c:v>38.291817375856908</c:v>
                </c:pt>
                <c:pt idx="7">
                  <c:v>39.080098771613955</c:v>
                </c:pt>
                <c:pt idx="8">
                  <c:v>40.392816095492876</c:v>
                </c:pt>
                <c:pt idx="9">
                  <c:v>39.080098771613955</c:v>
                </c:pt>
                <c:pt idx="10">
                  <c:v>40.392816095492876</c:v>
                </c:pt>
                <c:pt idx="11">
                  <c:v>41.447348668068621</c:v>
                </c:pt>
                <c:pt idx="12">
                  <c:v>42.510691711950088</c:v>
                </c:pt>
                <c:pt idx="13">
                  <c:v>43.316609881887679</c:v>
                </c:pt>
                <c:pt idx="14">
                  <c:v>44.957702308748068</c:v>
                </c:pt>
                <c:pt idx="15">
                  <c:v>45.79624024252437</c:v>
                </c:pt>
                <c:pt idx="16">
                  <c:v>47.225983345656026</c:v>
                </c:pt>
                <c:pt idx="17">
                  <c:v>48.402766761862061</c:v>
                </c:pt>
                <c:pt idx="18">
                  <c:v>49.920530650012743</c:v>
                </c:pt>
                <c:pt idx="19">
                  <c:v>48.402766761862061</c:v>
                </c:pt>
                <c:pt idx="20">
                  <c:v>49.612550010842071</c:v>
                </c:pt>
                <c:pt idx="21">
                  <c:v>50.543473093321083</c:v>
                </c:pt>
                <c:pt idx="22">
                  <c:v>51.818584169650698</c:v>
                </c:pt>
                <c:pt idx="23">
                  <c:v>53.80961080576224</c:v>
                </c:pt>
                <c:pt idx="24">
                  <c:v>55.546271655479515</c:v>
                </c:pt>
                <c:pt idx="25">
                  <c:v>57.358348072522382</c:v>
                </c:pt>
                <c:pt idx="26">
                  <c:v>58.105250588670401</c:v>
                </c:pt>
                <c:pt idx="27">
                  <c:v>59.638266980219626</c:v>
                </c:pt>
                <c:pt idx="28">
                  <c:v>61.225084960921457</c:v>
                </c:pt>
                <c:pt idx="29">
                  <c:v>58.865144662008575</c:v>
                </c:pt>
                <c:pt idx="30">
                  <c:v>60.029859516463581</c:v>
                </c:pt>
                <c:pt idx="31">
                  <c:v>61.630394683522063</c:v>
                </c:pt>
                <c:pt idx="32">
                  <c:v>62.86736546795845</c:v>
                </c:pt>
                <c:pt idx="33">
                  <c:v>64.136367362205633</c:v>
                </c:pt>
                <c:pt idx="34">
                  <c:v>65.43795390455459</c:v>
                </c:pt>
                <c:pt idx="35">
                  <c:v>67.224936365137495</c:v>
                </c:pt>
                <c:pt idx="36">
                  <c:v>68.604375724632092</c:v>
                </c:pt>
                <c:pt idx="37">
                  <c:v>70.017819703292105</c:v>
                </c:pt>
                <c:pt idx="38">
                  <c:v>71.46556674546477</c:v>
                </c:pt>
                <c:pt idx="39">
                  <c:v>68.140800747555829</c:v>
                </c:pt>
                <c:pt idx="40">
                  <c:v>69.071729477235635</c:v>
                </c:pt>
                <c:pt idx="41">
                  <c:v>70.496577556970337</c:v>
                </c:pt>
                <c:pt idx="42">
                  <c:v>71.95581509992607</c:v>
                </c:pt>
                <c:pt idx="43">
                  <c:v>72.947856427664178</c:v>
                </c:pt>
                <c:pt idx="44">
                  <c:v>74.978279523279454</c:v>
                </c:pt>
                <c:pt idx="45">
                  <c:v>77.070691784979729</c:v>
                </c:pt>
                <c:pt idx="46">
                  <c:v>78.140175964521731</c:v>
                </c:pt>
                <c:pt idx="47">
                  <c:v>79.225172712849059</c:v>
                </c:pt>
                <c:pt idx="48">
                  <c:v>80.464312146783186</c:v>
                </c:pt>
                <c:pt idx="49">
                  <c:v>78.140175964521731</c:v>
                </c:pt>
                <c:pt idx="50">
                  <c:v>79.225172712849059</c:v>
                </c:pt>
                <c:pt idx="51">
                  <c:v>80.881708868731891</c:v>
                </c:pt>
                <c:pt idx="52">
                  <c:v>82.005377895322752</c:v>
                </c:pt>
                <c:pt idx="53">
                  <c:v>83.144441651677482</c:v>
                </c:pt>
                <c:pt idx="54">
                  <c:v>84.881768342923081</c:v>
                </c:pt>
                <c:pt idx="55">
                  <c:v>86.059031722961464</c:v>
                </c:pt>
                <c:pt idx="56">
                  <c:v>87.55188223604361</c:v>
                </c:pt>
                <c:pt idx="57">
                  <c:v>89.068180280356728</c:v>
                </c:pt>
                <c:pt idx="58">
                  <c:v>90.607698279111148</c:v>
                </c:pt>
                <c:pt idx="59">
                  <c:v>88.458861287880353</c:v>
                </c:pt>
                <c:pt idx="60">
                  <c:v>89.681214783502682</c:v>
                </c:pt>
                <c:pt idx="61">
                  <c:v>91.855859990048145</c:v>
                </c:pt>
                <c:pt idx="62">
                  <c:v>93.118575062345968</c:v>
                </c:pt>
                <c:pt idx="63">
                  <c:v>93.755341886814023</c:v>
                </c:pt>
                <c:pt idx="64">
                  <c:v>94.55633093587582</c:v>
                </c:pt>
                <c:pt idx="65">
                  <c:v>96.174916738964384</c:v>
                </c:pt>
                <c:pt idx="66">
                  <c:v>97.156577523262882</c:v>
                </c:pt>
                <c:pt idx="67">
                  <c:v>97.98057704187849</c:v>
                </c:pt>
                <c:pt idx="68">
                  <c:v>99.644592097913829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1B-E041-A75C-522239337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019135"/>
        <c:axId val="1623300111"/>
      </c:scatterChart>
      <c:valAx>
        <c:axId val="1499019135"/>
        <c:scaling>
          <c:orientation val="minMax"/>
          <c:min val="-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3300111"/>
        <c:crosses val="autoZero"/>
        <c:crossBetween val="midCat"/>
      </c:valAx>
      <c:valAx>
        <c:axId val="1623300111"/>
        <c:scaling>
          <c:orientation val="minMax"/>
          <c:max val="1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Z</a:t>
                </a:r>
                <a:r>
                  <a:rPr lang="en-GB" sz="1400" b="0" i="0" baseline="-25000">
                    <a:effectLst/>
                  </a:rPr>
                  <a:t>L</a:t>
                </a:r>
                <a:r>
                  <a:rPr lang="en-GB" sz="1400" b="0" i="0" baseline="0">
                    <a:effectLst/>
                  </a:rPr>
                  <a:t> </a:t>
                </a:r>
                <a:r>
                  <a:rPr lang="pt-PT" sz="1400" b="0" i="0" baseline="0">
                    <a:effectLst/>
                  </a:rPr>
                  <a:t>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99019135"/>
        <c:crossesAt val="-0.8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5903618395428"/>
          <c:y val="0.7753535601398448"/>
          <c:w val="0.16014207492662799"/>
          <c:h val="9.927866685779120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Resíduos (inverso) grau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xVal>
          <c:yVal>
            <c:numRef>
              <c:f>'Parte 1'!$AS$132:$AS$200</c:f>
              <c:numCache>
                <c:formatCode>General</c:formatCode>
                <c:ptCount val="69"/>
                <c:pt idx="0">
                  <c:v>0.75987069681845298</c:v>
                </c:pt>
                <c:pt idx="1">
                  <c:v>1.648682569030413E-2</c:v>
                </c:pt>
                <c:pt idx="2">
                  <c:v>0.14741887186455926</c:v>
                </c:pt>
                <c:pt idx="3">
                  <c:v>-0.26131555588033706</c:v>
                </c:pt>
                <c:pt idx="4">
                  <c:v>-0.63022847356247524</c:v>
                </c:pt>
                <c:pt idx="5">
                  <c:v>-0.4370237049088459</c:v>
                </c:pt>
                <c:pt idx="6">
                  <c:v>-1.2918173758569083</c:v>
                </c:pt>
                <c:pt idx="7">
                  <c:v>-1.0800987716139545</c:v>
                </c:pt>
                <c:pt idx="8">
                  <c:v>-1.3928160954928757</c:v>
                </c:pt>
                <c:pt idx="9">
                  <c:v>0.91990122838604549</c:v>
                </c:pt>
                <c:pt idx="10">
                  <c:v>0.60718390450712434</c:v>
                </c:pt>
                <c:pt idx="11">
                  <c:v>0.55265133193137927</c:v>
                </c:pt>
                <c:pt idx="12">
                  <c:v>0.48930828804991222</c:v>
                </c:pt>
                <c:pt idx="13">
                  <c:v>0.68339011811232098</c:v>
                </c:pt>
                <c:pt idx="14">
                  <c:v>4.2297691251931724E-2</c:v>
                </c:pt>
                <c:pt idx="15">
                  <c:v>0.20375975747563047</c:v>
                </c:pt>
                <c:pt idx="16">
                  <c:v>-0.22598334565602585</c:v>
                </c:pt>
                <c:pt idx="17">
                  <c:v>-0.40276676186206117</c:v>
                </c:pt>
                <c:pt idx="18">
                  <c:v>-0.92053065001274348</c:v>
                </c:pt>
                <c:pt idx="19">
                  <c:v>1.5972332381379388</c:v>
                </c:pt>
                <c:pt idx="20">
                  <c:v>1.3874499891579291</c:v>
                </c:pt>
                <c:pt idx="21">
                  <c:v>1.456526906678917</c:v>
                </c:pt>
                <c:pt idx="22">
                  <c:v>1.1814158303493016</c:v>
                </c:pt>
                <c:pt idx="23">
                  <c:v>0.1903891942377598</c:v>
                </c:pt>
                <c:pt idx="24">
                  <c:v>-0.54627165547951506</c:v>
                </c:pt>
                <c:pt idx="25">
                  <c:v>-1.3583480725223822</c:v>
                </c:pt>
                <c:pt idx="26">
                  <c:v>-1.1052505886704012</c:v>
                </c:pt>
                <c:pt idx="27">
                  <c:v>-1.6382669802196261</c:v>
                </c:pt>
                <c:pt idx="28">
                  <c:v>-2.2250849609214569</c:v>
                </c:pt>
                <c:pt idx="29">
                  <c:v>1.134855337991425</c:v>
                </c:pt>
                <c:pt idx="30">
                  <c:v>0.97014048353641869</c:v>
                </c:pt>
                <c:pt idx="31">
                  <c:v>0.36960531647793715</c:v>
                </c:pt>
                <c:pt idx="32">
                  <c:v>0.13263453204154985</c:v>
                </c:pt>
                <c:pt idx="33">
                  <c:v>-0.1363673622056325</c:v>
                </c:pt>
                <c:pt idx="34">
                  <c:v>-0.43795390455458971</c:v>
                </c:pt>
                <c:pt idx="35">
                  <c:v>-1.2249363651374949</c:v>
                </c:pt>
                <c:pt idx="36">
                  <c:v>-1.6043757246320922</c:v>
                </c:pt>
                <c:pt idx="37">
                  <c:v>-2.0178197032921048</c:v>
                </c:pt>
                <c:pt idx="38">
                  <c:v>-2.4655667454647698</c:v>
                </c:pt>
                <c:pt idx="39">
                  <c:v>1.8591992524441707</c:v>
                </c:pt>
                <c:pt idx="40">
                  <c:v>1.9282705227643646</c:v>
                </c:pt>
                <c:pt idx="41">
                  <c:v>1.5034224430296632</c:v>
                </c:pt>
                <c:pt idx="42">
                  <c:v>1.0441849000739296</c:v>
                </c:pt>
                <c:pt idx="43">
                  <c:v>1.0521435723358223</c:v>
                </c:pt>
                <c:pt idx="44">
                  <c:v>2.1720476720545889E-2</c:v>
                </c:pt>
                <c:pt idx="45">
                  <c:v>-1.0706917849797293</c:v>
                </c:pt>
                <c:pt idx="46">
                  <c:v>-1.1401759645217311</c:v>
                </c:pt>
                <c:pt idx="47">
                  <c:v>-1.2251727128490586</c:v>
                </c:pt>
                <c:pt idx="48">
                  <c:v>-1.4643121467831861</c:v>
                </c:pt>
                <c:pt idx="49">
                  <c:v>1.8598240354782689</c:v>
                </c:pt>
                <c:pt idx="50">
                  <c:v>1.7748272871509414</c:v>
                </c:pt>
                <c:pt idx="51">
                  <c:v>1.1182911312681085</c:v>
                </c:pt>
                <c:pt idx="52">
                  <c:v>0.99462210467724788</c:v>
                </c:pt>
                <c:pt idx="53">
                  <c:v>0.85555834832251776</c:v>
                </c:pt>
                <c:pt idx="54">
                  <c:v>0.11823165707691885</c:v>
                </c:pt>
                <c:pt idx="55">
                  <c:v>-5.9031722961464084E-2</c:v>
                </c:pt>
                <c:pt idx="56">
                  <c:v>-0.55188223604361042</c:v>
                </c:pt>
                <c:pt idx="57">
                  <c:v>-1.068180280356728</c:v>
                </c:pt>
                <c:pt idx="58">
                  <c:v>-1.6076982791111476</c:v>
                </c:pt>
                <c:pt idx="59">
                  <c:v>1.5411387121196469</c:v>
                </c:pt>
                <c:pt idx="60">
                  <c:v>1.3187852164973179</c:v>
                </c:pt>
                <c:pt idx="61">
                  <c:v>0.14414000995185461</c:v>
                </c:pt>
                <c:pt idx="62">
                  <c:v>-0.11857506234596826</c:v>
                </c:pt>
                <c:pt idx="63">
                  <c:v>0.2446581131859773</c:v>
                </c:pt>
                <c:pt idx="64">
                  <c:v>0.44366906412417961</c:v>
                </c:pt>
                <c:pt idx="65">
                  <c:v>-0.17491673896438442</c:v>
                </c:pt>
                <c:pt idx="66">
                  <c:v>-0.15657752326288232</c:v>
                </c:pt>
                <c:pt idx="67">
                  <c:v>1.9422958121509737E-2</c:v>
                </c:pt>
                <c:pt idx="68">
                  <c:v>-0.64459209791382932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9-804E-B2A3-9372FA8F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210080"/>
        <c:axId val="1945242239"/>
      </c:scatterChart>
      <c:valAx>
        <c:axId val="1726210080"/>
        <c:scaling>
          <c:orientation val="minMax"/>
          <c:min val="-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5242239"/>
        <c:crossesAt val="-3"/>
        <c:crossBetween val="midCat"/>
      </c:valAx>
      <c:valAx>
        <c:axId val="194524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26210080"/>
        <c:crossesAt val="-0.8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Resíduos (inverso) grau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1'!$E$132:$E$200</c:f>
              <c:numCache>
                <c:formatCode>General</c:formatCode>
                <c:ptCount val="69"/>
                <c:pt idx="0" formatCode="0.00">
                  <c:v>-0.60000000000000009</c:v>
                </c:pt>
                <c:pt idx="1">
                  <c:v>-0.52800000000000002</c:v>
                </c:pt>
                <c:pt idx="2">
                  <c:v>-0.504</c:v>
                </c:pt>
                <c:pt idx="3">
                  <c:v>-0.46400000000000008</c:v>
                </c:pt>
                <c:pt idx="4">
                  <c:v>-0.42400000000000004</c:v>
                </c:pt>
                <c:pt idx="5" formatCode="0.000">
                  <c:v>-0.4</c:v>
                </c:pt>
                <c:pt idx="6">
                  <c:v>-0.34399999999999997</c:v>
                </c:pt>
                <c:pt idx="7" formatCode="0.000">
                  <c:v>-0.32000000000000006</c:v>
                </c:pt>
                <c:pt idx="8" formatCode="0.000">
                  <c:v>-0.28000000000000003</c:v>
                </c:pt>
                <c:pt idx="9" formatCode="0.000">
                  <c:v>-0.32000000000000006</c:v>
                </c:pt>
                <c:pt idx="10" formatCode="0.000">
                  <c:v>-0.28000000000000003</c:v>
                </c:pt>
                <c:pt idx="11">
                  <c:v>-0.248</c:v>
                </c:pt>
                <c:pt idx="12">
                  <c:v>-0.21599999999999997</c:v>
                </c:pt>
                <c:pt idx="13">
                  <c:v>-0.19200000000000006</c:v>
                </c:pt>
                <c:pt idx="14">
                  <c:v>-0.14400000000000002</c:v>
                </c:pt>
                <c:pt idx="15" formatCode="0.000">
                  <c:v>-0.12</c:v>
                </c:pt>
                <c:pt idx="16" formatCode="0.000">
                  <c:v>-7.999999999999996E-2</c:v>
                </c:pt>
                <c:pt idx="17">
                  <c:v>-4.8000000000000043E-2</c:v>
                </c:pt>
                <c:pt idx="18">
                  <c:v>-8.0000000000000071E-3</c:v>
                </c:pt>
                <c:pt idx="19">
                  <c:v>-4.8000000000000043E-2</c:v>
                </c:pt>
                <c:pt idx="20">
                  <c:v>-1.6000000000000014E-2</c:v>
                </c:pt>
                <c:pt idx="21">
                  <c:v>8.0000000000000071E-3</c:v>
                </c:pt>
                <c:pt idx="22" formatCode="0.000">
                  <c:v>3.9999999999999925E-2</c:v>
                </c:pt>
                <c:pt idx="23">
                  <c:v>8.7999999999999967E-2</c:v>
                </c:pt>
                <c:pt idx="24">
                  <c:v>0.128</c:v>
                </c:pt>
                <c:pt idx="25">
                  <c:v>0.16800000000000004</c:v>
                </c:pt>
                <c:pt idx="26">
                  <c:v>0.18400000000000005</c:v>
                </c:pt>
                <c:pt idx="27">
                  <c:v>0.21599999999999997</c:v>
                </c:pt>
                <c:pt idx="28">
                  <c:v>0.248</c:v>
                </c:pt>
                <c:pt idx="29" formatCode="0.000">
                  <c:v>0.19999999999999996</c:v>
                </c:pt>
                <c:pt idx="30">
                  <c:v>0.22399999999999998</c:v>
                </c:pt>
                <c:pt idx="31">
                  <c:v>0.25600000000000001</c:v>
                </c:pt>
                <c:pt idx="32" formatCode="0.000">
                  <c:v>0.27999999999999992</c:v>
                </c:pt>
                <c:pt idx="33">
                  <c:v>0.30399999999999994</c:v>
                </c:pt>
                <c:pt idx="34">
                  <c:v>0.32799999999999996</c:v>
                </c:pt>
                <c:pt idx="35" formatCode="0.000">
                  <c:v>0.36</c:v>
                </c:pt>
                <c:pt idx="36">
                  <c:v>0.38400000000000001</c:v>
                </c:pt>
                <c:pt idx="37">
                  <c:v>0.40800000000000003</c:v>
                </c:pt>
                <c:pt idx="38">
                  <c:v>0.43199999999999994</c:v>
                </c:pt>
                <c:pt idx="39">
                  <c:v>0.37600000000000006</c:v>
                </c:pt>
                <c:pt idx="40">
                  <c:v>0.39199999999999996</c:v>
                </c:pt>
                <c:pt idx="41">
                  <c:v>0.41599999999999998</c:v>
                </c:pt>
                <c:pt idx="42" formatCode="0.000">
                  <c:v>0.44</c:v>
                </c:pt>
                <c:pt idx="43">
                  <c:v>0.45600000000000002</c:v>
                </c:pt>
                <c:pt idx="44">
                  <c:v>0.48800000000000004</c:v>
                </c:pt>
                <c:pt idx="45" formatCode="0.000">
                  <c:v>0.52</c:v>
                </c:pt>
                <c:pt idx="46">
                  <c:v>0.53600000000000003</c:v>
                </c:pt>
                <c:pt idx="47">
                  <c:v>0.55200000000000005</c:v>
                </c:pt>
                <c:pt idx="48" formatCode="0.000">
                  <c:v>0.57000000000000006</c:v>
                </c:pt>
                <c:pt idx="49">
                  <c:v>0.53600000000000003</c:v>
                </c:pt>
                <c:pt idx="50">
                  <c:v>0.55200000000000005</c:v>
                </c:pt>
                <c:pt idx="51">
                  <c:v>0.57600000000000007</c:v>
                </c:pt>
                <c:pt idx="52">
                  <c:v>0.59200000000000008</c:v>
                </c:pt>
                <c:pt idx="53">
                  <c:v>0.60799999999999998</c:v>
                </c:pt>
                <c:pt idx="54">
                  <c:v>0.63200000000000001</c:v>
                </c:pt>
                <c:pt idx="55">
                  <c:v>0.64800000000000002</c:v>
                </c:pt>
                <c:pt idx="56">
                  <c:v>0.66800000000000004</c:v>
                </c:pt>
                <c:pt idx="57">
                  <c:v>0.68800000000000006</c:v>
                </c:pt>
                <c:pt idx="58">
                  <c:v>0.70800000000000007</c:v>
                </c:pt>
                <c:pt idx="59" formatCode="0.000">
                  <c:v>0.68</c:v>
                </c:pt>
                <c:pt idx="60">
                  <c:v>0.69599999999999995</c:v>
                </c:pt>
                <c:pt idx="61">
                  <c:v>0.72399999999999998</c:v>
                </c:pt>
                <c:pt idx="62" formatCode="0.000">
                  <c:v>0.74</c:v>
                </c:pt>
                <c:pt idx="63">
                  <c:v>0.748</c:v>
                </c:pt>
                <c:pt idx="64">
                  <c:v>0.75800000000000001</c:v>
                </c:pt>
                <c:pt idx="65">
                  <c:v>0.77800000000000002</c:v>
                </c:pt>
                <c:pt idx="66" formatCode="0.000">
                  <c:v>0.79</c:v>
                </c:pt>
                <c:pt idx="67" formatCode="0.000">
                  <c:v>0.8</c:v>
                </c:pt>
                <c:pt idx="68" formatCode="0.000">
                  <c:v>0.82000000000000006</c:v>
                </c:pt>
              </c:numCache>
            </c:numRef>
          </c:xVal>
          <c:yVal>
            <c:numRef>
              <c:f>'Parte 1'!$AQ$132:$AQ$200</c:f>
              <c:numCache>
                <c:formatCode>General</c:formatCode>
                <c:ptCount val="69"/>
                <c:pt idx="0">
                  <c:v>0.24014420631500855</c:v>
                </c:pt>
                <c:pt idx="1">
                  <c:v>-0.11407124341504016</c:v>
                </c:pt>
                <c:pt idx="2">
                  <c:v>0.10743742702074144</c:v>
                </c:pt>
                <c:pt idx="3">
                  <c:v>-0.18708849390677074</c:v>
                </c:pt>
                <c:pt idx="4">
                  <c:v>-0.48172087173647071</c:v>
                </c:pt>
                <c:pt idx="5">
                  <c:v>-0.26037827406806002</c:v>
                </c:pt>
                <c:pt idx="6">
                  <c:v>-1.0888711165709779</c:v>
                </c:pt>
                <c:pt idx="7">
                  <c:v>-0.87977688892851802</c:v>
                </c:pt>
                <c:pt idx="8">
                  <c:v>-1.2111543768360633</c:v>
                </c:pt>
                <c:pt idx="9">
                  <c:v>1.120223111071482</c:v>
                </c:pt>
                <c:pt idx="10">
                  <c:v>0.78884562316393669</c:v>
                </c:pt>
                <c:pt idx="11">
                  <c:v>0.70933303119794999</c:v>
                </c:pt>
                <c:pt idx="12">
                  <c:v>0.61457518045768467</c:v>
                </c:pt>
                <c:pt idx="13">
                  <c:v>0.78214950020979046</c:v>
                </c:pt>
                <c:pt idx="14">
                  <c:v>8.3983202353962838E-2</c:v>
                </c:pt>
                <c:pt idx="15">
                  <c:v>0.2163454439514183</c:v>
                </c:pt>
                <c:pt idx="16">
                  <c:v>-0.2604848058330802</c:v>
                </c:pt>
                <c:pt idx="17">
                  <c:v>-0.47216911392238359</c:v>
                </c:pt>
                <c:pt idx="18">
                  <c:v>-1.0282385192395651</c:v>
                </c:pt>
                <c:pt idx="19">
                  <c:v>1.5278308860776164</c:v>
                </c:pt>
                <c:pt idx="20">
                  <c:v>1.2868484244391425</c:v>
                </c:pt>
                <c:pt idx="21">
                  <c:v>1.3355320738215539</c:v>
                </c:pt>
                <c:pt idx="22">
                  <c:v>1.0378674789836921</c:v>
                </c:pt>
                <c:pt idx="23">
                  <c:v>2.4140265894175172E-2</c:v>
                </c:pt>
                <c:pt idx="24">
                  <c:v>-0.72042422168929932</c:v>
                </c:pt>
                <c:pt idx="25">
                  <c:v>-1.5300898045088331</c:v>
                </c:pt>
                <c:pt idx="26">
                  <c:v>-1.2731680469369877</c:v>
                </c:pt>
                <c:pt idx="27">
                  <c:v>-1.7938052233048225</c:v>
                </c:pt>
                <c:pt idx="28">
                  <c:v>-2.3622903743246937</c:v>
                </c:pt>
                <c:pt idx="29">
                  <c:v>0.97235383276285603</c:v>
                </c:pt>
                <c:pt idx="30">
                  <c:v>0.81864706715617785</c:v>
                </c:pt>
                <c:pt idx="31">
                  <c:v>0.23784860010393061</c:v>
                </c:pt>
                <c:pt idx="32">
                  <c:v>1.9128036839418883E-2</c:v>
                </c:pt>
                <c:pt idx="33">
                  <c:v>-0.22903653322633488</c:v>
                </c:pt>
                <c:pt idx="34">
                  <c:v>-0.50759368049065756</c:v>
                </c:pt>
                <c:pt idx="35">
                  <c:v>-1.2612533902090206</c:v>
                </c:pt>
                <c:pt idx="36">
                  <c:v>-1.6144154358150331</c:v>
                </c:pt>
                <c:pt idx="37">
                  <c:v>-2.0011319599439616</c:v>
                </c:pt>
                <c:pt idx="38">
                  <c:v>-2.4223515329930905</c:v>
                </c:pt>
                <c:pt idx="39">
                  <c:v>1.8403200117958249</c:v>
                </c:pt>
                <c:pt idx="40">
                  <c:v>1.9271208411826706</c:v>
                </c:pt>
                <c:pt idx="41">
                  <c:v>1.5290086974578259</c:v>
                </c:pt>
                <c:pt idx="42">
                  <c:v>1.0960773146803149</c:v>
                </c:pt>
                <c:pt idx="43">
                  <c:v>1.1209772746402393</c:v>
                </c:pt>
                <c:pt idx="44">
                  <c:v>0.12196255037815718</c:v>
                </c:pt>
                <c:pt idx="45">
                  <c:v>-0.94401208542981863</c:v>
                </c:pt>
                <c:pt idx="46">
                  <c:v>-1.002812014902247</c:v>
                </c:pt>
                <c:pt idx="47">
                  <c:v>-1.0791950959476537</c:v>
                </c:pt>
                <c:pt idx="48">
                  <c:v>-1.3114933730046801</c:v>
                </c:pt>
                <c:pt idx="49">
                  <c:v>1.997187985097753</c:v>
                </c:pt>
                <c:pt idx="50">
                  <c:v>1.9208049040523463</c:v>
                </c:pt>
                <c:pt idx="51">
                  <c:v>1.2726470591385066</c:v>
                </c:pt>
                <c:pt idx="52">
                  <c:v>1.1510764708678778</c:v>
                </c:pt>
                <c:pt idx="53">
                  <c:v>1.0109390283900552</c:v>
                </c:pt>
                <c:pt idx="54">
                  <c:v>0.26530519888838455</c:v>
                </c:pt>
                <c:pt idx="55">
                  <c:v>7.752099259971601E-2</c:v>
                </c:pt>
                <c:pt idx="56">
                  <c:v>-0.43473517229152492</c:v>
                </c:pt>
                <c:pt idx="57">
                  <c:v>-0.97808802344968626</c:v>
                </c:pt>
                <c:pt idx="58">
                  <c:v>-1.5530865020769085</c:v>
                </c:pt>
                <c:pt idx="59">
                  <c:v>1.6430198516025456</c:v>
                </c:pt>
                <c:pt idx="60">
                  <c:v>1.3957408011030452</c:v>
                </c:pt>
                <c:pt idx="61">
                  <c:v>0.16376097475577467</c:v>
                </c:pt>
                <c:pt idx="62">
                  <c:v>-0.14027713025663502</c:v>
                </c:pt>
                <c:pt idx="63">
                  <c:v>0.19978389345291703</c:v>
                </c:pt>
                <c:pt idx="64">
                  <c:v>0.3673652545388677</c:v>
                </c:pt>
                <c:pt idx="65">
                  <c:v>-0.32271583219693412</c:v>
                </c:pt>
                <c:pt idx="66">
                  <c:v>-0.35310496618326681</c:v>
                </c:pt>
                <c:pt idx="67">
                  <c:v>-0.22122998346750933</c:v>
                </c:pt>
                <c:pt idx="68">
                  <c:v>-0.9835884093370737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F-3149-B5D5-3F94B5DF6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210080"/>
        <c:axId val="1945242239"/>
      </c:scatterChart>
      <c:valAx>
        <c:axId val="1726210080"/>
        <c:scaling>
          <c:orientation val="minMax"/>
          <c:min val="-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V</a:t>
                </a:r>
                <a:r>
                  <a:rPr lang="en-GB" sz="1400" b="0" i="0" baseline="-25000">
                    <a:effectLst/>
                  </a:rPr>
                  <a:t>r</a:t>
                </a:r>
                <a:r>
                  <a:rPr lang="en-GB" sz="1400" b="0" i="0" baseline="0">
                    <a:effectLst/>
                  </a:rPr>
                  <a:t> (V) 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5242239"/>
        <c:crossesAt val="-3"/>
        <c:crossBetween val="midCat"/>
      </c:valAx>
      <c:valAx>
        <c:axId val="194524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26210080"/>
        <c:crossesAt val="-0.8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</a:t>
            </a:r>
            <a:r>
              <a:rPr lang="pt-PT" baseline="0"/>
              <a:t> de </a:t>
            </a:r>
            <a:r>
              <a:rPr lang="en-GB" sz="1440" b="0" i="0" u="none" strike="noStrike" baseline="0">
                <a:effectLst/>
              </a:rPr>
              <a:t>V</a:t>
            </a:r>
            <a:r>
              <a:rPr lang="en-GB" sz="1440" b="0" i="0" u="none" strike="noStrike" baseline="-25000">
                <a:effectLst/>
              </a:rPr>
              <a:t>n</a:t>
            </a:r>
            <a:r>
              <a:rPr lang="en-GB" sz="1440" b="0" i="0" u="none" strike="noStrike" baseline="0"/>
              <a:t> </a:t>
            </a:r>
            <a:r>
              <a:rPr lang="pt-PT" baseline="0"/>
              <a:t> em função de d</a:t>
            </a:r>
            <a:endParaRPr lang="pt-PT"/>
          </a:p>
        </c:rich>
      </c:tx>
      <c:layout>
        <c:manualLayout>
          <c:xMode val="edge"/>
          <c:yMode val="edge"/>
          <c:x val="0.29747808877579868"/>
          <c:y val="3.6467185419557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3170844269466317"/>
          <c:y val="0.14884153469301439"/>
          <c:w val="0.803596675415573"/>
          <c:h val="0.65488535033717898"/>
        </c:manualLayout>
      </c:layout>
      <c:scatterChart>
        <c:scatterStyle val="lineMarker"/>
        <c:varyColors val="0"/>
        <c:ser>
          <c:idx val="0"/>
          <c:order val="0"/>
          <c:tx>
            <c:v>Vn[d]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2'!$D$5:$D$11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2'!$H$5:$H$11</c:f>
              <c:numCache>
                <c:formatCode>General</c:formatCode>
                <c:ptCount val="7"/>
                <c:pt idx="0">
                  <c:v>9.15</c:v>
                </c:pt>
                <c:pt idx="1">
                  <c:v>5.41</c:v>
                </c:pt>
                <c:pt idx="2">
                  <c:v>3.22</c:v>
                </c:pt>
                <c:pt idx="3">
                  <c:v>1.92</c:v>
                </c:pt>
                <c:pt idx="4">
                  <c:v>1.0900000000000001</c:v>
                </c:pt>
                <c:pt idx="5">
                  <c:v>0.624</c:v>
                </c:pt>
                <c:pt idx="6" formatCode="0.000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4-4457-8003-54C729865037}"/>
            </c:ext>
          </c:extLst>
        </c:ser>
        <c:ser>
          <c:idx val="1"/>
          <c:order val="1"/>
          <c:tx>
            <c:v>Aj. 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2'!$D$5:$D$11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2'!$R$5:$R$11</c:f>
              <c:numCache>
                <c:formatCode>0.0</c:formatCode>
                <c:ptCount val="7"/>
                <c:pt idx="0">
                  <c:v>9.9106284640279263</c:v>
                </c:pt>
                <c:pt idx="1">
                  <c:v>5.5796686747466087</c:v>
                </c:pt>
                <c:pt idx="2" formatCode="0.00">
                  <c:v>3.1413449341733739</c:v>
                </c:pt>
                <c:pt idx="3">
                  <c:v>1.7685723957265009</c:v>
                </c:pt>
                <c:pt idx="4" formatCode="0.00">
                  <c:v>0.995703555155381</c:v>
                </c:pt>
                <c:pt idx="5" formatCode="0.00">
                  <c:v>0.56057957940805891</c:v>
                </c:pt>
                <c:pt idx="6" formatCode="0.00">
                  <c:v>0.31560544624175529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34-4457-8003-54C729865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544543"/>
        <c:axId val="1426269375"/>
      </c:scatterChart>
      <c:valAx>
        <c:axId val="139754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26269375"/>
        <c:crosses val="autoZero"/>
        <c:crossBetween val="midCat"/>
      </c:valAx>
      <c:valAx>
        <c:axId val="142626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Vn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97544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70416313259811"/>
          <c:y val="0.14859200771381473"/>
          <c:w val="0.20434814108001131"/>
          <c:h val="0.1534306376460486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</a:t>
            </a:r>
            <a:r>
              <a:rPr lang="en-GB" sz="1440" b="0" i="0" u="none" strike="noStrike" baseline="0">
                <a:effectLst/>
              </a:rPr>
              <a:t>V</a:t>
            </a:r>
            <a:r>
              <a:rPr lang="en-GB" sz="1440" b="0" i="0" u="none" strike="noStrike" baseline="-25000">
                <a:effectLst/>
              </a:rPr>
              <a:t>n</a:t>
            </a:r>
            <a:r>
              <a:rPr lang="en-GB" sz="1440" b="0" i="0" u="none" strike="noStrike" baseline="0"/>
              <a:t> </a:t>
            </a:r>
            <a:r>
              <a:rPr lang="pt-PT"/>
              <a:t> em função de d</a:t>
            </a:r>
          </a:p>
        </c:rich>
      </c:tx>
      <c:layout>
        <c:manualLayout>
          <c:xMode val="edge"/>
          <c:yMode val="edge"/>
          <c:x val="0.29523395532937519"/>
          <c:y val="5.0121432908318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0148717459090117"/>
          <c:y val="0.18898168753396999"/>
          <c:w val="0.81601502857828045"/>
          <c:h val="0.64477025361527018"/>
        </c:manualLayout>
      </c:layout>
      <c:scatterChart>
        <c:scatterStyle val="lineMarker"/>
        <c:varyColors val="0"/>
        <c:ser>
          <c:idx val="0"/>
          <c:order val="0"/>
          <c:tx>
            <c:v>Ln(Vn)[d]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2'!$D$5:$D$11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2'!$J$5:$J$11</c:f>
              <c:numCache>
                <c:formatCode>0.000</c:formatCode>
                <c:ptCount val="7"/>
                <c:pt idx="0">
                  <c:v>2.2137538792874301</c:v>
                </c:pt>
                <c:pt idx="1">
                  <c:v>1.6882490928583902</c:v>
                </c:pt>
                <c:pt idx="2">
                  <c:v>1.1693813595563169</c:v>
                </c:pt>
                <c:pt idx="3">
                  <c:v>0.65232518603969014</c:v>
                </c:pt>
                <c:pt idx="4">
                  <c:v>8.6177696241052412E-2</c:v>
                </c:pt>
                <c:pt idx="5">
                  <c:v>-0.47160491061270937</c:v>
                </c:pt>
                <c:pt idx="6">
                  <c:v>-1.3470736479666092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9-4999-91A9-D1303460EE06}"/>
            </c:ext>
          </c:extLst>
        </c:ser>
        <c:ser>
          <c:idx val="1"/>
          <c:order val="1"/>
          <c:tx>
            <c:v>Aj. 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2'!$D$5:$D$11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2'!$P$5:$P$11</c:f>
              <c:numCache>
                <c:formatCode>0.00</c:formatCode>
                <c:ptCount val="7"/>
                <c:pt idx="0">
                  <c:v>2.2936077634883212</c:v>
                </c:pt>
                <c:pt idx="1">
                  <c:v>1.7191293973447648</c:v>
                </c:pt>
                <c:pt idx="2">
                  <c:v>1.1446510312012081</c:v>
                </c:pt>
                <c:pt idx="3">
                  <c:v>0.57017266505765174</c:v>
                </c:pt>
                <c:pt idx="4">
                  <c:v>-4.3057010859048894E-3</c:v>
                </c:pt>
                <c:pt idx="5">
                  <c:v>-0.5787840672294613</c:v>
                </c:pt>
                <c:pt idx="6">
                  <c:v>-1.1532624333730177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A9-4999-91A9-D1303460E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610991"/>
        <c:axId val="1397614367"/>
      </c:scatterChart>
      <c:valAx>
        <c:axId val="139761099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97614367"/>
        <c:crossesAt val="-90"/>
        <c:crossBetween val="midCat"/>
      </c:valAx>
      <c:valAx>
        <c:axId val="13976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ln (Vn)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9761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27335094077718"/>
          <c:y val="0.17776168791742561"/>
          <c:w val="0.18060633355243527"/>
          <c:h val="9.953281473130207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40" b="0" i="0" u="none" strike="noStrike" baseline="0">
                <a:effectLst/>
              </a:rPr>
              <a:t>Gráfico de </a:t>
            </a:r>
            <a:r>
              <a:rPr lang="en-GB" sz="1440" b="0" i="0" u="none" strike="noStrike" baseline="0">
                <a:effectLst/>
              </a:rPr>
              <a:t>V</a:t>
            </a:r>
            <a:r>
              <a:rPr lang="en-GB" sz="1440" b="0" i="0" u="none" strike="noStrike" baseline="-25000">
                <a:effectLst/>
              </a:rPr>
              <a:t>n</a:t>
            </a:r>
            <a:r>
              <a:rPr lang="en-GB" sz="1440" b="0" i="0" u="none" strike="noStrike" baseline="0"/>
              <a:t> </a:t>
            </a:r>
            <a:r>
              <a:rPr lang="pt-PT" sz="1440" b="0" i="0" u="none" strike="noStrike" baseline="0">
                <a:effectLst/>
              </a:rPr>
              <a:t> - V. Ajuste em função de d</a:t>
            </a:r>
            <a:endParaRPr lang="en-US"/>
          </a:p>
        </c:rich>
      </c:tx>
      <c:layout>
        <c:manualLayout>
          <c:xMode val="edge"/>
          <c:yMode val="edge"/>
          <c:x val="0.26297533220243147"/>
          <c:y val="3.9542197935640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5202799650043744"/>
          <c:y val="0.16749205239635992"/>
          <c:w val="0.7788129921259842"/>
          <c:h val="0.6834105728919804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'Parte 2'!$I$5:$I$11</c:f>
                <c:numCache>
                  <c:formatCode>General</c:formatCode>
                  <c:ptCount val="7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1E-3</c:v>
                  </c:pt>
                  <c:pt idx="6">
                    <c:v>1E-3</c:v>
                  </c:pt>
                </c:numCache>
              </c:numRef>
            </c:plus>
            <c:minus>
              <c:numRef>
                <c:f>'Parte 2'!$I$5:$I$11</c:f>
                <c:numCache>
                  <c:formatCode>General</c:formatCode>
                  <c:ptCount val="7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1E-3</c:v>
                  </c:pt>
                  <c:pt idx="6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2'!$D$5:$D$11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2'!$S$5:$S$11</c:f>
              <c:numCache>
                <c:formatCode>0.0</c:formatCode>
                <c:ptCount val="7"/>
                <c:pt idx="0">
                  <c:v>0.76062846402792594</c:v>
                </c:pt>
                <c:pt idx="1">
                  <c:v>0.16966867474660852</c:v>
                </c:pt>
                <c:pt idx="2" formatCode="0.00">
                  <c:v>-7.8655065826626291E-2</c:v>
                </c:pt>
                <c:pt idx="3">
                  <c:v>-0.15142760427349899</c:v>
                </c:pt>
                <c:pt idx="4" formatCode="0.00">
                  <c:v>-9.4296444844619076E-2</c:v>
                </c:pt>
                <c:pt idx="5" formatCode="0.00">
                  <c:v>-6.3420420591941085E-2</c:v>
                </c:pt>
                <c:pt idx="6" formatCode="0.00">
                  <c:v>5.5605446241755285E-2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50-41FE-B962-6D675C130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550847"/>
        <c:axId val="1421457263"/>
      </c:scatterChart>
      <c:valAx>
        <c:axId val="139755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21457263"/>
        <c:crossesAt val="-10"/>
        <c:crossBetween val="midCat"/>
      </c:valAx>
      <c:valAx>
        <c:axId val="14214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Vn</a:t>
                </a:r>
                <a:r>
                  <a:rPr lang="pt-PT" baseline="0"/>
                  <a:t> - V. Ajuste</a:t>
                </a:r>
                <a:r>
                  <a:rPr lang="pt-PT"/>
                  <a:t>(V)</a:t>
                </a:r>
              </a:p>
            </c:rich>
          </c:tx>
          <c:layout>
            <c:manualLayout>
              <c:xMode val="edge"/>
              <c:yMode val="edge"/>
              <c:x val="3.8837468193384225E-2"/>
              <c:y val="0.31274043715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97550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03208934124963"/>
          <c:y val="0.16501639344262295"/>
          <c:w val="0.2051007209499576"/>
          <c:h val="7.681281939314674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</a:t>
            </a:r>
            <a:r>
              <a:rPr lang="en-US"/>
              <a:t>Ln(</a:t>
            </a:r>
            <a:r>
              <a:rPr lang="en-GB" sz="1440" b="0" i="0" u="none" strike="noStrike" baseline="0">
                <a:effectLst/>
              </a:rPr>
              <a:t>V</a:t>
            </a:r>
            <a:r>
              <a:rPr lang="en-GB" sz="1440" b="0" i="0" u="none" strike="noStrike" baseline="-25000">
                <a:effectLst/>
              </a:rPr>
              <a:t>n</a:t>
            </a:r>
            <a:r>
              <a:rPr lang="en-GB" sz="1440" b="0" i="0" u="none" strike="noStrike" baseline="0"/>
              <a:t> </a:t>
            </a:r>
            <a:r>
              <a:rPr lang="en-US"/>
              <a:t>) - Ln(V.Ajuste) em</a:t>
            </a:r>
            <a:r>
              <a:rPr lang="en-US" baseline="0"/>
              <a:t> função de d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474250777495052"/>
          <c:y val="3.26384335154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5202799650043744"/>
          <c:y val="0.15816676622205122"/>
          <c:w val="0.77560476815398072"/>
          <c:h val="0.6603286539243117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2'!$K$5:$K$11</c:f>
                <c:numCache>
                  <c:formatCode>General</c:formatCode>
                  <c:ptCount val="7"/>
                  <c:pt idx="0">
                    <c:v>1.092896174863388E-3</c:v>
                  </c:pt>
                  <c:pt idx="1">
                    <c:v>1.8484288354898336E-3</c:v>
                  </c:pt>
                  <c:pt idx="2">
                    <c:v>3.105590062111801E-3</c:v>
                  </c:pt>
                  <c:pt idx="3">
                    <c:v>5.2083333333333339E-3</c:v>
                  </c:pt>
                  <c:pt idx="4">
                    <c:v>9.1743119266055034E-3</c:v>
                  </c:pt>
                  <c:pt idx="5">
                    <c:v>1.6025641025641025E-3</c:v>
                  </c:pt>
                  <c:pt idx="6">
                    <c:v>3.8461538461538459E-3</c:v>
                  </c:pt>
                </c:numCache>
              </c:numRef>
            </c:plus>
            <c:minus>
              <c:numRef>
                <c:f>'Parte 2'!$K$5:$K$11</c:f>
                <c:numCache>
                  <c:formatCode>General</c:formatCode>
                  <c:ptCount val="7"/>
                  <c:pt idx="0">
                    <c:v>1.092896174863388E-3</c:v>
                  </c:pt>
                  <c:pt idx="1">
                    <c:v>1.8484288354898336E-3</c:v>
                  </c:pt>
                  <c:pt idx="2">
                    <c:v>3.105590062111801E-3</c:v>
                  </c:pt>
                  <c:pt idx="3">
                    <c:v>5.2083333333333339E-3</c:v>
                  </c:pt>
                  <c:pt idx="4">
                    <c:v>9.1743119266055034E-3</c:v>
                  </c:pt>
                  <c:pt idx="5">
                    <c:v>1.6025641025641025E-3</c:v>
                  </c:pt>
                  <c:pt idx="6">
                    <c:v>3.8461538461538459E-3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2'!$D$6:$D$11</c:f>
              <c:numCache>
                <c:formatCode>0.0</c:formatCode>
                <c:ptCount val="6"/>
                <c:pt idx="0">
                  <c:v>123</c:v>
                </c:pt>
                <c:pt idx="1">
                  <c:v>246</c:v>
                </c:pt>
                <c:pt idx="2">
                  <c:v>369</c:v>
                </c:pt>
                <c:pt idx="3">
                  <c:v>492</c:v>
                </c:pt>
                <c:pt idx="4">
                  <c:v>615</c:v>
                </c:pt>
                <c:pt idx="5">
                  <c:v>738</c:v>
                </c:pt>
              </c:numCache>
            </c:numRef>
          </c:xVal>
          <c:yVal>
            <c:numRef>
              <c:f>'Parte 2'!$Q$5:$Q$11</c:f>
              <c:numCache>
                <c:formatCode>0.00</c:formatCode>
                <c:ptCount val="7"/>
                <c:pt idx="0">
                  <c:v>7.9853884200891123E-2</c:v>
                </c:pt>
                <c:pt idx="1">
                  <c:v>3.0880304486374577E-2</c:v>
                </c:pt>
                <c:pt idx="2">
                  <c:v>-2.4730328355108799E-2</c:v>
                </c:pt>
                <c:pt idx="3">
                  <c:v>-8.2152520982038402E-2</c:v>
                </c:pt>
                <c:pt idx="4">
                  <c:v>-9.0483397326957302E-2</c:v>
                </c:pt>
                <c:pt idx="5">
                  <c:v>-0.10717915661675192</c:v>
                </c:pt>
                <c:pt idx="6">
                  <c:v>0.19381121459359152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6-47B1-BB2C-5961F2A26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947839"/>
        <c:axId val="1442932191"/>
      </c:scatterChart>
      <c:valAx>
        <c:axId val="143394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layout>
            <c:manualLayout>
              <c:xMode val="edge"/>
              <c:yMode val="edge"/>
              <c:x val="0.49652471566054246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42932191"/>
        <c:crossesAt val="-10"/>
        <c:crossBetween val="midCat"/>
      </c:valAx>
      <c:valAx>
        <c:axId val="144293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Ln(Vn)</a:t>
                </a:r>
                <a:r>
                  <a:rPr lang="pt-PT" baseline="0"/>
                  <a:t> - Ln(V.Ajuste)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3.1925537178399771E-2"/>
              <c:y val="0.28700667880995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33947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36414108888675"/>
          <c:y val="0.15475634688108356"/>
          <c:w val="0.13122084726182734"/>
          <c:h val="7.681281939314674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ln(</a:t>
            </a:r>
            <a:r>
              <a:rPr lang="en-GB" sz="1600" b="0" i="0" u="none" strike="noStrike" baseline="0">
                <a:effectLst/>
              </a:rPr>
              <a:t>V</a:t>
            </a:r>
            <a:r>
              <a:rPr lang="en-GB" sz="1600" b="0" i="0" u="none" strike="noStrike" baseline="-25000">
                <a:effectLst/>
              </a:rPr>
              <a:t>n</a:t>
            </a:r>
            <a:r>
              <a:rPr lang="en-GB" sz="1600" b="0" i="0" u="none" strike="noStrike" baseline="0"/>
              <a:t> </a:t>
            </a:r>
            <a:r>
              <a:rPr lang="en-GB" sz="1600"/>
              <a:t>)[n]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685213687145338"/>
          <c:y val="0.18533459457503612"/>
          <c:w val="0.84624433228757001"/>
          <c:h val="0.66332636992041916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2'!$J$5:$J$11</c:f>
              <c:numCache>
                <c:formatCode>0.000</c:formatCode>
                <c:ptCount val="7"/>
                <c:pt idx="0">
                  <c:v>2.2137538792874301</c:v>
                </c:pt>
                <c:pt idx="1">
                  <c:v>1.6882490928583902</c:v>
                </c:pt>
                <c:pt idx="2">
                  <c:v>1.1693813595563169</c:v>
                </c:pt>
                <c:pt idx="3">
                  <c:v>0.65232518603969014</c:v>
                </c:pt>
                <c:pt idx="4">
                  <c:v>8.6177696241052412E-2</c:v>
                </c:pt>
                <c:pt idx="5">
                  <c:v>-0.47160491061270937</c:v>
                </c:pt>
                <c:pt idx="6">
                  <c:v>-1.3470736479666092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E2-794D-8FF9-1830BCDD22FB}"/>
            </c:ext>
          </c:extLst>
        </c:ser>
        <c:ser>
          <c:idx val="1"/>
          <c:order val="1"/>
          <c:tx>
            <c:v>aj. linear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2'!$C$5:$C$11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2'!$L$5:$L$11</c:f>
              <c:numCache>
                <c:formatCode>0.00</c:formatCode>
                <c:ptCount val="7"/>
                <c:pt idx="0">
                  <c:v>2.2936077634883212</c:v>
                </c:pt>
                <c:pt idx="1">
                  <c:v>1.7191293973447648</c:v>
                </c:pt>
                <c:pt idx="2">
                  <c:v>1.1446510312012081</c:v>
                </c:pt>
                <c:pt idx="3">
                  <c:v>0.57017266505765152</c:v>
                </c:pt>
                <c:pt idx="4">
                  <c:v>-4.3057010859048894E-3</c:v>
                </c:pt>
                <c:pt idx="5">
                  <c:v>-0.5787840672294613</c:v>
                </c:pt>
                <c:pt idx="6">
                  <c:v>-1.1532624333730181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E2-794D-8FF9-1830BCDD2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789135"/>
        <c:axId val="472859183"/>
      </c:scatterChart>
      <c:valAx>
        <c:axId val="472789135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72859183"/>
        <c:crossesAt val="-2"/>
        <c:crossBetween val="midCat"/>
      </c:valAx>
      <c:valAx>
        <c:axId val="47285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ln(</a:t>
                </a:r>
                <a:r>
                  <a:rPr lang="en-GB" sz="1400" b="0" i="0" u="none" strike="noStrike" baseline="0">
                    <a:effectLst/>
                  </a:rPr>
                  <a:t>V</a:t>
                </a:r>
                <a:r>
                  <a:rPr lang="en-GB" sz="1400" b="0" i="0" u="none" strike="noStrike" baseline="-25000">
                    <a:effectLst/>
                  </a:rPr>
                  <a:t>n</a:t>
                </a:r>
                <a:r>
                  <a:rPr lang="en-GB" sz="1400" b="0" i="0" u="none" strike="noStrike" baseline="0"/>
                  <a:t> )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72789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87115989463897"/>
          <c:y val="0.18834680506136031"/>
          <c:w val="0.15655347215812679"/>
          <c:h val="0.1113987482881688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u="none" strike="noStrike" baseline="0">
                <a:effectLst/>
              </a:rPr>
              <a:t>V</a:t>
            </a:r>
            <a:r>
              <a:rPr lang="en-GB" sz="1600" b="0" i="0" u="none" strike="noStrike" baseline="-25000">
                <a:effectLst/>
              </a:rPr>
              <a:t>n</a:t>
            </a:r>
            <a:r>
              <a:rPr lang="en-GB" sz="1600" b="0" i="0" u="none" strike="noStrike" baseline="0"/>
              <a:t> (n)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3250620951273497E-2"/>
          <c:y val="0.14840446164180093"/>
          <c:w val="0.87863659252811555"/>
          <c:h val="0.71539383496844877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2'!$H$5:$H$11</c:f>
              <c:numCache>
                <c:formatCode>General</c:formatCode>
                <c:ptCount val="7"/>
                <c:pt idx="0">
                  <c:v>9.15</c:v>
                </c:pt>
                <c:pt idx="1">
                  <c:v>5.41</c:v>
                </c:pt>
                <c:pt idx="2">
                  <c:v>3.22</c:v>
                </c:pt>
                <c:pt idx="3">
                  <c:v>1.92</c:v>
                </c:pt>
                <c:pt idx="4">
                  <c:v>1.0900000000000001</c:v>
                </c:pt>
                <c:pt idx="5">
                  <c:v>0.624</c:v>
                </c:pt>
                <c:pt idx="6" formatCode="0.000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27-2B40-B65B-8D0C4E877DFF}"/>
            </c:ext>
          </c:extLst>
        </c:ser>
        <c:ser>
          <c:idx val="1"/>
          <c:order val="1"/>
          <c:tx>
            <c:v>aj. exponencial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2'!$C$5:$C$11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2'!$N$5:$N$11</c:f>
              <c:numCache>
                <c:formatCode>0.00</c:formatCode>
                <c:ptCount val="7"/>
                <c:pt idx="0">
                  <c:v>9.9106284640279263</c:v>
                </c:pt>
                <c:pt idx="1">
                  <c:v>5.5796686747466087</c:v>
                </c:pt>
                <c:pt idx="2">
                  <c:v>3.1413449341733739</c:v>
                </c:pt>
                <c:pt idx="3">
                  <c:v>1.7685723957265005</c:v>
                </c:pt>
                <c:pt idx="4">
                  <c:v>0.995703555155381</c:v>
                </c:pt>
                <c:pt idx="5">
                  <c:v>0.56057957940805891</c:v>
                </c:pt>
                <c:pt idx="6">
                  <c:v>0.31560544624175513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A6-304E-BFBD-613028D71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03151"/>
        <c:axId val="2091484464"/>
      </c:scatterChart>
      <c:valAx>
        <c:axId val="624703151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1484464"/>
        <c:crosses val="autoZero"/>
        <c:crossBetween val="midCat"/>
      </c:valAx>
      <c:valAx>
        <c:axId val="209148446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u="none" strike="noStrike" baseline="0">
                    <a:effectLst/>
                  </a:rPr>
                  <a:t>V</a:t>
                </a:r>
                <a:r>
                  <a:rPr lang="en-GB" sz="1400" b="0" i="0" u="none" strike="noStrike" baseline="-25000">
                    <a:effectLst/>
                  </a:rPr>
                  <a:t>n</a:t>
                </a:r>
                <a:r>
                  <a:rPr lang="en-GB" sz="1400" b="0" i="0" u="none" strike="noStrike" baseline="0"/>
                  <a:t> 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24703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06252302739455"/>
          <c:y val="0.14809103904180901"/>
          <c:w val="0.18030041867381291"/>
          <c:h val="9.676872203206501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d(t)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233257539463975"/>
          <c:y val="0.15837485281515962"/>
          <c:w val="0.80250136842137609"/>
          <c:h val="0.71050278171560743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2'!$G$5:$G$11</c:f>
              <c:numCache>
                <c:formatCode>0.000E+00</c:formatCode>
                <c:ptCount val="7"/>
                <c:pt idx="0">
                  <c:v>0</c:v>
                </c:pt>
                <c:pt idx="1">
                  <c:v>6.6000000000000003E-7</c:v>
                </c:pt>
                <c:pt idx="2">
                  <c:v>1.3200000000000001E-6</c:v>
                </c:pt>
                <c:pt idx="3">
                  <c:v>1.9800000000000001E-6</c:v>
                </c:pt>
                <c:pt idx="4">
                  <c:v>2.6400000000000001E-6</c:v>
                </c:pt>
                <c:pt idx="5">
                  <c:v>3.3200000000000004E-6</c:v>
                </c:pt>
                <c:pt idx="6">
                  <c:v>3.98E-6</c:v>
                </c:pt>
              </c:numCache>
            </c:numRef>
          </c:xVal>
          <c:yVal>
            <c:numRef>
              <c:f>'Parte 2'!$D$5:$D$11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C-DD43-9B84-BA4AE0CB6B65}"/>
            </c:ext>
          </c:extLst>
        </c:ser>
        <c:ser>
          <c:idx val="1"/>
          <c:order val="1"/>
          <c:tx>
            <c:v>aj. linear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2'!$AQ$5:$AQ$11</c:f>
              <c:numCache>
                <c:formatCode>0.000E+00</c:formatCode>
                <c:ptCount val="7"/>
                <c:pt idx="0">
                  <c:v>0</c:v>
                </c:pt>
                <c:pt idx="1">
                  <c:v>6.6000000000000003E-7</c:v>
                </c:pt>
                <c:pt idx="2">
                  <c:v>1.3200000000000001E-6</c:v>
                </c:pt>
                <c:pt idx="3">
                  <c:v>1.9800000000000001E-6</c:v>
                </c:pt>
                <c:pt idx="4">
                  <c:v>2.6400000000000001E-6</c:v>
                </c:pt>
                <c:pt idx="5">
                  <c:v>3.3200000000000004E-6</c:v>
                </c:pt>
                <c:pt idx="6">
                  <c:v>3.98E-6</c:v>
                </c:pt>
              </c:numCache>
            </c:numRef>
          </c:xVal>
          <c:yVal>
            <c:numRef>
              <c:f>'Parte 2'!$AS$5:$AS$11</c:f>
              <c:numCache>
                <c:formatCode>0.00</c:formatCode>
                <c:ptCount val="7"/>
                <c:pt idx="0">
                  <c:v>0.93320016314123677</c:v>
                </c:pt>
                <c:pt idx="1">
                  <c:v>123.26907176359359</c:v>
                </c:pt>
                <c:pt idx="2">
                  <c:v>245.60494336404594</c:v>
                </c:pt>
                <c:pt idx="3">
                  <c:v>367.94081496449832</c:v>
                </c:pt>
                <c:pt idx="4">
                  <c:v>490.27668656495064</c:v>
                </c:pt>
                <c:pt idx="5">
                  <c:v>616.31970578965911</c:v>
                </c:pt>
                <c:pt idx="6">
                  <c:v>738.65557739011149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1-AE41-A8B6-A669D8C5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47023"/>
        <c:axId val="817120591"/>
      </c:scatterChart>
      <c:valAx>
        <c:axId val="47264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17120591"/>
        <c:crosses val="autoZero"/>
        <c:crossBetween val="midCat"/>
        <c:majorUnit val="7.0000000000000029E-7"/>
      </c:valAx>
      <c:valAx>
        <c:axId val="81712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d</a:t>
                </a:r>
                <a:r>
                  <a:rPr lang="en-GB" sz="1400" baseline="0"/>
                  <a:t> (m)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7264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05098003951511"/>
          <c:y val="0.77918304543903916"/>
          <c:w val="0.15078725074182733"/>
          <c:h val="8.564084778485714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ln(</a:t>
            </a:r>
            <a:r>
              <a:rPr lang="en-GB" sz="1400" b="0" i="0" u="none" strike="noStrike" baseline="0">
                <a:effectLst/>
              </a:rPr>
              <a:t>V</a:t>
            </a:r>
            <a:r>
              <a:rPr lang="en-GB" sz="1400" b="0" i="0" u="none" strike="noStrike" baseline="-25000">
                <a:effectLst/>
              </a:rPr>
              <a:t>n</a:t>
            </a:r>
            <a:r>
              <a:rPr lang="en-GB" sz="1400" b="0" i="0" u="none" strike="noStrike" baseline="0"/>
              <a:t> )</a:t>
            </a:r>
            <a:r>
              <a:rPr lang="en-GB"/>
              <a:t>(d)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6476839694928401E-2"/>
          <c:y val="0.11926714696311677"/>
          <c:w val="0.86843357707982771"/>
          <c:h val="0.77371883665278107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2'!$D$100:$D$106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2'!$J$100:$J$106</c:f>
              <c:numCache>
                <c:formatCode>0.000</c:formatCode>
                <c:ptCount val="7"/>
                <c:pt idx="0">
                  <c:v>2.253394848803274</c:v>
                </c:pt>
                <c:pt idx="1">
                  <c:v>1.7439688053917064</c:v>
                </c:pt>
                <c:pt idx="2">
                  <c:v>1.2470322937863829</c:v>
                </c:pt>
                <c:pt idx="3">
                  <c:v>0.77010822169607374</c:v>
                </c:pt>
                <c:pt idx="4">
                  <c:v>0.29266961396282004</c:v>
                </c:pt>
                <c:pt idx="5">
                  <c:v>-0.1743533871447778</c:v>
                </c:pt>
                <c:pt idx="6">
                  <c:v>-0.69314718055994529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3E-2747-A430-06E1096582ED}"/>
            </c:ext>
          </c:extLst>
        </c:ser>
        <c:ser>
          <c:idx val="1"/>
          <c:order val="1"/>
          <c:tx>
            <c:v>Aj. linear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2'!$D$100:$D$106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2'!$P$100:$P$106</c:f>
              <c:numCache>
                <c:formatCode>0.00</c:formatCode>
                <c:ptCount val="7"/>
                <c:pt idx="0">
                  <c:v>2.2375211543821685</c:v>
                </c:pt>
                <c:pt idx="1">
                  <c:v>1.7507128274898045</c:v>
                </c:pt>
                <c:pt idx="2">
                  <c:v>1.2639045005974405</c:v>
                </c:pt>
                <c:pt idx="3">
                  <c:v>0.77709617370507655</c:v>
                </c:pt>
                <c:pt idx="4">
                  <c:v>0.29028784681271258</c:v>
                </c:pt>
                <c:pt idx="5">
                  <c:v>-0.19652048007965117</c:v>
                </c:pt>
                <c:pt idx="6">
                  <c:v>-0.68332880697201537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3E-2747-A430-06E10965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421887"/>
        <c:axId val="135681887"/>
      </c:scatterChart>
      <c:valAx>
        <c:axId val="95742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5681887"/>
        <c:crossesAt val="-1"/>
        <c:crossBetween val="midCat"/>
      </c:valAx>
      <c:valAx>
        <c:axId val="13568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ln(</a:t>
                </a:r>
                <a:r>
                  <a:rPr lang="en-GB" sz="1400" b="0" i="0" u="none" strike="noStrike" baseline="0">
                    <a:effectLst/>
                  </a:rPr>
                  <a:t>V</a:t>
                </a:r>
                <a:r>
                  <a:rPr lang="en-GB" sz="1400" b="0" i="0" u="none" strike="noStrike" baseline="-25000">
                    <a:effectLst/>
                  </a:rPr>
                  <a:t>n</a:t>
                </a:r>
                <a:r>
                  <a:rPr lang="en-GB" sz="1400" b="0" i="0" u="none" strike="noStrike" baseline="0"/>
                  <a:t> )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57421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27566930704334"/>
          <c:y val="0.11802421893323131"/>
          <c:w val="0.12000565458563629"/>
          <c:h val="0.10909158490390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baseline="0">
                <a:effectLst/>
              </a:rPr>
              <a:t>ln(V</a:t>
            </a:r>
            <a:r>
              <a:rPr lang="en-GB" sz="1600" b="0" i="0" baseline="-25000">
                <a:effectLst/>
              </a:rPr>
              <a:t>n</a:t>
            </a:r>
            <a:r>
              <a:rPr lang="en-GB" sz="1600" b="0" i="0" baseline="0">
                <a:effectLst/>
              </a:rPr>
              <a:t> )</a:t>
            </a:r>
            <a:r>
              <a:rPr lang="en-GB" sz="1600"/>
              <a:t>[n]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7.5429688818387394E-2"/>
          <c:y val="0.14580606568646881"/>
          <c:w val="0.88651215869587219"/>
          <c:h val="0.72840515852180476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2'!$C$100:$C$106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2'!$J$100:$J$106</c:f>
              <c:numCache>
                <c:formatCode>0.000</c:formatCode>
                <c:ptCount val="7"/>
                <c:pt idx="0">
                  <c:v>2.253394848803274</c:v>
                </c:pt>
                <c:pt idx="1">
                  <c:v>1.7439688053917064</c:v>
                </c:pt>
                <c:pt idx="2">
                  <c:v>1.2470322937863829</c:v>
                </c:pt>
                <c:pt idx="3">
                  <c:v>0.77010822169607374</c:v>
                </c:pt>
                <c:pt idx="4">
                  <c:v>0.29266961396282004</c:v>
                </c:pt>
                <c:pt idx="5">
                  <c:v>-0.1743533871447778</c:v>
                </c:pt>
                <c:pt idx="6">
                  <c:v>-0.69314718055994529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4-A646-984B-A78583D07D73}"/>
            </c:ext>
          </c:extLst>
        </c:ser>
        <c:ser>
          <c:idx val="1"/>
          <c:order val="1"/>
          <c:tx>
            <c:v>aj. linear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2'!$C$100:$C$106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2'!$L$100:$L$106</c:f>
              <c:numCache>
                <c:formatCode>0.00</c:formatCode>
                <c:ptCount val="7"/>
                <c:pt idx="0">
                  <c:v>2.2375211543821685</c:v>
                </c:pt>
                <c:pt idx="1">
                  <c:v>1.7507128274898045</c:v>
                </c:pt>
                <c:pt idx="2">
                  <c:v>1.2639045005974405</c:v>
                </c:pt>
                <c:pt idx="3">
                  <c:v>0.77709617370507655</c:v>
                </c:pt>
                <c:pt idx="4">
                  <c:v>0.29028784681271258</c:v>
                </c:pt>
                <c:pt idx="5">
                  <c:v>-0.19652048007965117</c:v>
                </c:pt>
                <c:pt idx="6">
                  <c:v>-0.68332880697201537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64-A646-984B-A78583D07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547519"/>
        <c:axId val="957891023"/>
      </c:scatterChart>
      <c:valAx>
        <c:axId val="237547519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57891023"/>
        <c:crossesAt val="-1"/>
        <c:crossBetween val="midCat"/>
      </c:valAx>
      <c:valAx>
        <c:axId val="95789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ln(V</a:t>
                </a:r>
                <a:r>
                  <a:rPr lang="en-GB" sz="1400" b="0" i="0" baseline="-25000">
                    <a:effectLst/>
                  </a:rPr>
                  <a:t>n</a:t>
                </a:r>
                <a:r>
                  <a:rPr lang="en-GB" sz="1400" b="0" i="0" baseline="0">
                    <a:effectLst/>
                  </a:rPr>
                  <a:t> 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3754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185732306186511"/>
          <c:y val="0.14895209014551655"/>
          <c:w val="0.11628387728239226"/>
          <c:h val="7.923795343732488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Resíduos</a:t>
            </a:r>
            <a:r>
              <a:rPr lang="en-GB" sz="1600" baseline="0"/>
              <a:t> de </a:t>
            </a:r>
            <a:r>
              <a:rPr lang="en-GB" sz="1600" b="0" i="0" baseline="0">
                <a:effectLst/>
              </a:rPr>
              <a:t>ln(V</a:t>
            </a:r>
            <a:r>
              <a:rPr lang="en-GB" sz="1600" b="0" i="0" baseline="-25000">
                <a:effectLst/>
              </a:rPr>
              <a:t>n</a:t>
            </a:r>
            <a:r>
              <a:rPr lang="en-GB" sz="1600" b="0" i="0" baseline="0">
                <a:effectLst/>
              </a:rPr>
              <a:t> )</a:t>
            </a:r>
            <a:endParaRPr lang="en-PT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37345594425926"/>
          <c:y val="0.15884630987890835"/>
          <c:w val="0.85755620868460392"/>
          <c:h val="0.6792932217667493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xVal>
            <c:numRef>
              <c:f>'Parte 2'!$C$5:$C$11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2'!$M$5:$M$11</c:f>
              <c:numCache>
                <c:formatCode>0.00</c:formatCode>
                <c:ptCount val="7"/>
                <c:pt idx="0">
                  <c:v>7.9853884200891123E-2</c:v>
                </c:pt>
                <c:pt idx="1">
                  <c:v>3.0880304486374577E-2</c:v>
                </c:pt>
                <c:pt idx="2">
                  <c:v>-2.4730328355108799E-2</c:v>
                </c:pt>
                <c:pt idx="3">
                  <c:v>-8.2152520982038624E-2</c:v>
                </c:pt>
                <c:pt idx="4">
                  <c:v>-9.0483397326957302E-2</c:v>
                </c:pt>
                <c:pt idx="5">
                  <c:v>-0.10717915661675192</c:v>
                </c:pt>
                <c:pt idx="6">
                  <c:v>0.19381121459359107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1A-D74D-BBF8-7BFA2BBEB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964575"/>
        <c:axId val="1823078719"/>
      </c:scatterChart>
      <c:valAx>
        <c:axId val="1822964575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3078719"/>
        <c:crossesAt val="-0.15000000000000002"/>
        <c:crossBetween val="midCat"/>
      </c:valAx>
      <c:valAx>
        <c:axId val="182307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296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Resíduos</a:t>
            </a:r>
            <a:r>
              <a:rPr lang="en-GB" sz="1600" baseline="0"/>
              <a:t> de </a:t>
            </a:r>
            <a:r>
              <a:rPr lang="en-GB" sz="1600" b="0" i="0" baseline="0">
                <a:effectLst/>
              </a:rPr>
              <a:t>V</a:t>
            </a:r>
            <a:r>
              <a:rPr lang="en-GB" sz="1600" b="0" i="0" baseline="-25000">
                <a:effectLst/>
              </a:rPr>
              <a:t>n</a:t>
            </a:r>
            <a:r>
              <a:rPr lang="en-GB" sz="1600" b="0" i="0" baseline="0">
                <a:effectLst/>
              </a:rPr>
              <a:t> </a:t>
            </a:r>
            <a:endParaRPr lang="en-PT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37345594425926"/>
          <c:y val="0.15884630987890835"/>
          <c:w val="0.85755620868460392"/>
          <c:h val="0.6792932217667493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2'!$O$5:$O$11</c:f>
              <c:numCache>
                <c:formatCode>0.00</c:formatCode>
                <c:ptCount val="7"/>
                <c:pt idx="0">
                  <c:v>0.76062846402792594</c:v>
                </c:pt>
                <c:pt idx="1">
                  <c:v>0.16966867474660852</c:v>
                </c:pt>
                <c:pt idx="2">
                  <c:v>-7.8655065826626291E-2</c:v>
                </c:pt>
                <c:pt idx="3">
                  <c:v>-0.15142760427349944</c:v>
                </c:pt>
                <c:pt idx="4">
                  <c:v>-9.4296444844619076E-2</c:v>
                </c:pt>
                <c:pt idx="5">
                  <c:v>-6.3420420591941085E-2</c:v>
                </c:pt>
                <c:pt idx="6">
                  <c:v>5.5605446241755119E-2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B3-C943-B05D-58221BC75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964575"/>
        <c:axId val="1823078719"/>
      </c:scatterChart>
      <c:valAx>
        <c:axId val="1822964575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3078719"/>
        <c:crossesAt val="-0.2"/>
        <c:crossBetween val="midCat"/>
      </c:valAx>
      <c:valAx>
        <c:axId val="1823078719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296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Resíduos de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0593088549463328"/>
          <c:y val="0.14298748380962309"/>
          <c:w val="0.82020457474582908"/>
          <c:h val="0.722164729233660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'Parte 2'!$E$5:$E$11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0.1</c:v>
                  </c:pt>
                  <c:pt idx="2">
                    <c:v>0.2</c:v>
                  </c:pt>
                  <c:pt idx="3">
                    <c:v>0.30000000000000004</c:v>
                  </c:pt>
                  <c:pt idx="4">
                    <c:v>0.4</c:v>
                  </c:pt>
                  <c:pt idx="5">
                    <c:v>0.5</c:v>
                  </c:pt>
                  <c:pt idx="6">
                    <c:v>0.60000000000000009</c:v>
                  </c:pt>
                </c:numCache>
              </c:numRef>
            </c:plus>
            <c:minus>
              <c:numRef>
                <c:f>'Parte 2'!$E$5:$E$11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0.1</c:v>
                  </c:pt>
                  <c:pt idx="2">
                    <c:v>0.2</c:v>
                  </c:pt>
                  <c:pt idx="3">
                    <c:v>0.30000000000000004</c:v>
                  </c:pt>
                  <c:pt idx="4">
                    <c:v>0.4</c:v>
                  </c:pt>
                  <c:pt idx="5">
                    <c:v>0.5</c:v>
                  </c:pt>
                  <c:pt idx="6">
                    <c:v>0.60000000000000009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2'!$AQ$5:$AQ$11</c:f>
              <c:numCache>
                <c:formatCode>0.000E+00</c:formatCode>
                <c:ptCount val="7"/>
                <c:pt idx="0">
                  <c:v>0</c:v>
                </c:pt>
                <c:pt idx="1">
                  <c:v>6.6000000000000003E-7</c:v>
                </c:pt>
                <c:pt idx="2">
                  <c:v>1.3200000000000001E-6</c:v>
                </c:pt>
                <c:pt idx="3">
                  <c:v>1.9800000000000001E-6</c:v>
                </c:pt>
                <c:pt idx="4">
                  <c:v>2.6400000000000001E-6</c:v>
                </c:pt>
                <c:pt idx="5">
                  <c:v>3.3200000000000004E-6</c:v>
                </c:pt>
                <c:pt idx="6">
                  <c:v>3.98E-6</c:v>
                </c:pt>
              </c:numCache>
            </c:numRef>
          </c:xVal>
          <c:yVal>
            <c:numRef>
              <c:f>'Parte 2'!$AT$5:$AT$11</c:f>
              <c:numCache>
                <c:formatCode>0.00</c:formatCode>
                <c:ptCount val="7"/>
                <c:pt idx="0">
                  <c:v>0.93320016314123677</c:v>
                </c:pt>
                <c:pt idx="1">
                  <c:v>0.26907176359358687</c:v>
                </c:pt>
                <c:pt idx="2">
                  <c:v>-0.39505663595406304</c:v>
                </c:pt>
                <c:pt idx="3">
                  <c:v>-1.0591850355016845</c:v>
                </c:pt>
                <c:pt idx="4">
                  <c:v>-1.7233134350493629</c:v>
                </c:pt>
                <c:pt idx="5">
                  <c:v>1.3197057896591105</c:v>
                </c:pt>
                <c:pt idx="6">
                  <c:v>0.65557739011148897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F-444A-872C-1EAF1700DBE7}"/>
            </c:ext>
          </c:extLst>
        </c:ser>
        <c:ser>
          <c:idx val="1"/>
          <c:order val="1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'Parte 2'!$AQ$10:$AQ$11</c:f>
              <c:numCache>
                <c:formatCode>0.000E+00</c:formatCode>
                <c:ptCount val="2"/>
                <c:pt idx="0">
                  <c:v>3.3200000000000004E-6</c:v>
                </c:pt>
                <c:pt idx="1">
                  <c:v>3.98E-6</c:v>
                </c:pt>
              </c:numCache>
            </c:numRef>
          </c:xVal>
          <c:yVal>
            <c:numRef>
              <c:f>'Parte 2'!$AT$10:$AT$11</c:f>
              <c:numCache>
                <c:formatCode>0.00</c:formatCode>
                <c:ptCount val="2"/>
                <c:pt idx="0">
                  <c:v>1.3197057896591105</c:v>
                </c:pt>
                <c:pt idx="1">
                  <c:v>0.65557739011148897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4F-444A-872C-1EAF1700D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66000"/>
        <c:axId val="460897056"/>
      </c:scatterChart>
      <c:valAx>
        <c:axId val="46106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t (s)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60897056"/>
        <c:crossesAt val="-2.5"/>
        <c:crossBetween val="midCat"/>
        <c:majorUnit val="7.0000000000000029E-7"/>
      </c:valAx>
      <c:valAx>
        <c:axId val="4608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6106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88657596825348"/>
          <c:y val="0.77356305290455418"/>
          <c:w val="0.17763614794983087"/>
          <c:h val="9.527401216717892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Resíduos</a:t>
            </a:r>
            <a:r>
              <a:rPr lang="en-GB" sz="1600" baseline="0"/>
              <a:t> de </a:t>
            </a:r>
            <a:r>
              <a:rPr lang="en-GB" sz="1600" b="0" i="0" baseline="0">
                <a:effectLst/>
              </a:rPr>
              <a:t>ln(V</a:t>
            </a:r>
            <a:r>
              <a:rPr lang="en-GB" sz="1600" b="0" i="0" baseline="-25000">
                <a:effectLst/>
              </a:rPr>
              <a:t>n</a:t>
            </a:r>
            <a:r>
              <a:rPr lang="en-GB" sz="1600" b="0" i="0" baseline="0">
                <a:effectLst/>
              </a:rPr>
              <a:t> )</a:t>
            </a:r>
            <a:endParaRPr lang="en-PT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37345594425926"/>
          <c:y val="0.15884630987890835"/>
          <c:w val="0.85755620868460392"/>
          <c:h val="0.6792932217667493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2'!$C$100:$C$106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2'!$M$100:$M$106</c:f>
              <c:numCache>
                <c:formatCode>0.000</c:formatCode>
                <c:ptCount val="7"/>
                <c:pt idx="0">
                  <c:v>-1.5873694421105533E-2</c:v>
                </c:pt>
                <c:pt idx="1">
                  <c:v>6.7440220980981014E-3</c:v>
                </c:pt>
                <c:pt idx="2">
                  <c:v>1.6872206811057611E-2</c:v>
                </c:pt>
                <c:pt idx="3">
                  <c:v>6.987952009002818E-3</c:v>
                </c:pt>
                <c:pt idx="4">
                  <c:v>-2.3817671501074611E-3</c:v>
                </c:pt>
                <c:pt idx="5">
                  <c:v>-2.2167092934873373E-2</c:v>
                </c:pt>
                <c:pt idx="6">
                  <c:v>9.8183735879299183E-3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1C-6E45-AF29-328B4DC0F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964575"/>
        <c:axId val="1823078719"/>
      </c:scatterChart>
      <c:valAx>
        <c:axId val="1822964575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3078719"/>
        <c:crossesAt val="-0.15000000000000002"/>
        <c:crossBetween val="midCat"/>
      </c:valAx>
      <c:valAx>
        <c:axId val="182307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296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u="none" strike="noStrike" baseline="0">
                <a:effectLst/>
              </a:rPr>
              <a:t>V</a:t>
            </a:r>
            <a:r>
              <a:rPr lang="en-GB" sz="1600" b="0" i="0" u="none" strike="noStrike" baseline="-25000">
                <a:effectLst/>
              </a:rPr>
              <a:t>n</a:t>
            </a:r>
            <a:r>
              <a:rPr lang="en-GB" sz="1600" b="0" i="0" u="none" strike="noStrike" baseline="0"/>
              <a:t> (n)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3250620951273497E-2"/>
          <c:y val="0.14840446164180093"/>
          <c:w val="0.87863659252811555"/>
          <c:h val="0.71539383496844877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2'!$C$100:$C$106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2'!$H$100:$H$106</c:f>
              <c:numCache>
                <c:formatCode>General</c:formatCode>
                <c:ptCount val="7"/>
                <c:pt idx="0">
                  <c:v>9.52</c:v>
                </c:pt>
                <c:pt idx="1">
                  <c:v>5.72</c:v>
                </c:pt>
                <c:pt idx="2">
                  <c:v>3.48</c:v>
                </c:pt>
                <c:pt idx="3">
                  <c:v>2.16</c:v>
                </c:pt>
                <c:pt idx="4">
                  <c:v>1.34</c:v>
                </c:pt>
                <c:pt idx="5" formatCode="0.00">
                  <c:v>0.84</c:v>
                </c:pt>
                <c:pt idx="6" formatCode="0.0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F-DB4E-9882-5E561A80B59D}"/>
            </c:ext>
          </c:extLst>
        </c:ser>
        <c:ser>
          <c:idx val="1"/>
          <c:order val="1"/>
          <c:tx>
            <c:v>aj. exponencial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2'!$C$100:$C$106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2'!$N$100:$N$106</c:f>
              <c:numCache>
                <c:formatCode>0.00</c:formatCode>
                <c:ptCount val="7"/>
                <c:pt idx="0">
                  <c:v>9.3700755049995337</c:v>
                </c:pt>
                <c:pt idx="1">
                  <c:v>5.7587061773566166</c:v>
                </c:pt>
                <c:pt idx="2">
                  <c:v>3.5392134054235571</c:v>
                </c:pt>
                <c:pt idx="3">
                  <c:v>2.1751468373890122</c:v>
                </c:pt>
                <c:pt idx="4">
                  <c:v>1.3368122297890104</c:v>
                </c:pt>
                <c:pt idx="5">
                  <c:v>0.82158450500684965</c:v>
                </c:pt>
                <c:pt idx="6">
                  <c:v>0.5049333659775731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6F-DB4E-9882-5E561A80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03151"/>
        <c:axId val="2091484464"/>
      </c:scatterChart>
      <c:valAx>
        <c:axId val="624703151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1484464"/>
        <c:crosses val="autoZero"/>
        <c:crossBetween val="midCat"/>
      </c:valAx>
      <c:valAx>
        <c:axId val="209148446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u="none" strike="noStrike" baseline="0">
                    <a:effectLst/>
                  </a:rPr>
                  <a:t>V</a:t>
                </a:r>
                <a:r>
                  <a:rPr lang="en-GB" sz="1400" b="0" i="0" u="none" strike="noStrike" baseline="-25000">
                    <a:effectLst/>
                  </a:rPr>
                  <a:t>n</a:t>
                </a:r>
                <a:r>
                  <a:rPr lang="en-GB" sz="1400" b="0" i="0" u="none" strike="noStrike" baseline="0"/>
                  <a:t> 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24703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06252302739455"/>
          <c:y val="0.14809103904180901"/>
          <c:w val="0.18030041867381291"/>
          <c:h val="9.676872203206501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Resíduos</a:t>
            </a:r>
            <a:r>
              <a:rPr lang="en-GB" sz="1600" baseline="0"/>
              <a:t> de </a:t>
            </a:r>
            <a:r>
              <a:rPr lang="en-GB" sz="1600" b="0" i="0" baseline="0">
                <a:effectLst/>
              </a:rPr>
              <a:t>V</a:t>
            </a:r>
            <a:r>
              <a:rPr lang="en-GB" sz="1600" b="0" i="0" baseline="-25000">
                <a:effectLst/>
              </a:rPr>
              <a:t>n</a:t>
            </a:r>
            <a:r>
              <a:rPr lang="en-GB" sz="1600" b="0" i="0" baseline="0">
                <a:effectLst/>
              </a:rPr>
              <a:t> </a:t>
            </a:r>
            <a:endParaRPr lang="en-PT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37345594425926"/>
          <c:y val="0.15884630987890835"/>
          <c:w val="0.85755620868460392"/>
          <c:h val="0.6792932217667493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2'!$C$100:$C$106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'Parte 2'!$O$100:$O$106</c:f>
              <c:numCache>
                <c:formatCode>0.00</c:formatCode>
                <c:ptCount val="7"/>
                <c:pt idx="0">
                  <c:v>-0.1499244950004659</c:v>
                </c:pt>
                <c:pt idx="1">
                  <c:v>3.8706177356616855E-2</c:v>
                </c:pt>
                <c:pt idx="2">
                  <c:v>5.9213405423557131E-2</c:v>
                </c:pt>
                <c:pt idx="3">
                  <c:v>1.5146837389012013E-2</c:v>
                </c:pt>
                <c:pt idx="4">
                  <c:v>-3.1877702109897044E-3</c:v>
                </c:pt>
                <c:pt idx="5">
                  <c:v>-1.8415494993150316E-2</c:v>
                </c:pt>
                <c:pt idx="6">
                  <c:v>4.9333659775731009E-3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3-8543-9956-02EEE6379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964575"/>
        <c:axId val="1823078719"/>
      </c:scatterChart>
      <c:valAx>
        <c:axId val="1822964575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3078719"/>
        <c:crossesAt val="-0.2"/>
        <c:crossBetween val="midCat"/>
      </c:valAx>
      <c:valAx>
        <c:axId val="1823078719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296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de </a:t>
            </a:r>
            <a:r>
              <a:rPr lang="en-GB" sz="1600" b="0" i="0" u="none" strike="noStrike" baseline="0">
                <a:effectLst/>
              </a:rPr>
              <a:t>ln(V</a:t>
            </a:r>
            <a:r>
              <a:rPr lang="en-GB" sz="1600" b="0" i="0" u="none" strike="noStrike" baseline="-25000">
                <a:effectLst/>
              </a:rPr>
              <a:t>n</a:t>
            </a:r>
            <a:r>
              <a:rPr lang="en-GB" sz="1600" b="0" i="0" u="none" strike="noStrike" baseline="0">
                <a:effectLst/>
              </a:rPr>
              <a:t> )</a:t>
            </a:r>
            <a:r>
              <a:rPr lang="pt-PT" sz="1600"/>
              <a:t> </a:t>
            </a:r>
            <a:endParaRPr lang="en-US" sz="1600"/>
          </a:p>
        </c:rich>
      </c:tx>
      <c:layout>
        <c:manualLayout>
          <c:xMode val="edge"/>
          <c:yMode val="edge"/>
          <c:x val="0.40691059457673351"/>
          <c:y val="2.5893217068570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2212441728330174"/>
          <c:y val="0.15816676622205122"/>
          <c:w val="0.82984189652996809"/>
          <c:h val="0.6843148286107961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2'!$K$5:$K$11</c:f>
                <c:numCache>
                  <c:formatCode>General</c:formatCode>
                  <c:ptCount val="7"/>
                  <c:pt idx="0">
                    <c:v>1.092896174863388E-3</c:v>
                  </c:pt>
                  <c:pt idx="1">
                    <c:v>1.8484288354898336E-3</c:v>
                  </c:pt>
                  <c:pt idx="2">
                    <c:v>3.105590062111801E-3</c:v>
                  </c:pt>
                  <c:pt idx="3">
                    <c:v>5.2083333333333339E-3</c:v>
                  </c:pt>
                  <c:pt idx="4">
                    <c:v>9.1743119266055034E-3</c:v>
                  </c:pt>
                  <c:pt idx="5">
                    <c:v>1.6025641025641025E-3</c:v>
                  </c:pt>
                  <c:pt idx="6">
                    <c:v>3.8461538461538459E-3</c:v>
                  </c:pt>
                </c:numCache>
              </c:numRef>
            </c:plus>
            <c:minus>
              <c:numRef>
                <c:f>'Parte 2'!$K$5:$K$11</c:f>
                <c:numCache>
                  <c:formatCode>General</c:formatCode>
                  <c:ptCount val="7"/>
                  <c:pt idx="0">
                    <c:v>1.092896174863388E-3</c:v>
                  </c:pt>
                  <c:pt idx="1">
                    <c:v>1.8484288354898336E-3</c:v>
                  </c:pt>
                  <c:pt idx="2">
                    <c:v>3.105590062111801E-3</c:v>
                  </c:pt>
                  <c:pt idx="3">
                    <c:v>5.2083333333333339E-3</c:v>
                  </c:pt>
                  <c:pt idx="4">
                    <c:v>9.1743119266055034E-3</c:v>
                  </c:pt>
                  <c:pt idx="5">
                    <c:v>1.6025641025641025E-3</c:v>
                  </c:pt>
                  <c:pt idx="6">
                    <c:v>3.8461538461538459E-3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2'!$D$100:$D$106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2'!$M$100:$M$106</c:f>
              <c:numCache>
                <c:formatCode>0.000</c:formatCode>
                <c:ptCount val="7"/>
                <c:pt idx="0">
                  <c:v>-1.5873694421105533E-2</c:v>
                </c:pt>
                <c:pt idx="1">
                  <c:v>6.7440220980981014E-3</c:v>
                </c:pt>
                <c:pt idx="2">
                  <c:v>1.6872206811057611E-2</c:v>
                </c:pt>
                <c:pt idx="3">
                  <c:v>6.987952009002818E-3</c:v>
                </c:pt>
                <c:pt idx="4">
                  <c:v>-2.3817671501074611E-3</c:v>
                </c:pt>
                <c:pt idx="5">
                  <c:v>-2.2167092934873373E-2</c:v>
                </c:pt>
                <c:pt idx="6">
                  <c:v>9.8183735879299183E-3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E-714C-AC0E-98517A8EA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947839"/>
        <c:axId val="1442932191"/>
      </c:scatterChart>
      <c:valAx>
        <c:axId val="143394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layout>
            <c:manualLayout>
              <c:xMode val="edge"/>
              <c:yMode val="edge"/>
              <c:x val="0.49652471566054246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42932191"/>
        <c:crossesAt val="-10"/>
        <c:crossBetween val="midCat"/>
      </c:valAx>
      <c:valAx>
        <c:axId val="144293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1.6973722954861752E-2"/>
              <c:y val="0.39155680096280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33947839"/>
        <c:crosses val="autoZero"/>
        <c:crossBetween val="midCat"/>
        <c:majorUnit val="9.0000000000000028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123925682801645"/>
          <c:y val="0.15809108756280812"/>
          <c:w val="0.1595501837146405"/>
          <c:h val="7.681281939314674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u="none" strike="noStrike" baseline="0">
                <a:effectLst/>
              </a:rPr>
              <a:t>V</a:t>
            </a:r>
            <a:r>
              <a:rPr lang="en-GB" sz="1600" b="0" i="0" u="none" strike="noStrike" baseline="-25000">
                <a:effectLst/>
              </a:rPr>
              <a:t>n</a:t>
            </a:r>
            <a:r>
              <a:rPr lang="en-GB" sz="1600" b="0" i="0" u="none" strike="noStrike" baseline="0"/>
              <a:t> </a:t>
            </a:r>
            <a:r>
              <a:rPr lang="pt-PT" sz="1600" baseline="0"/>
              <a:t>(d)</a:t>
            </a:r>
            <a:endParaRPr lang="pt-PT" sz="1600"/>
          </a:p>
        </c:rich>
      </c:tx>
      <c:layout>
        <c:manualLayout>
          <c:xMode val="edge"/>
          <c:yMode val="edge"/>
          <c:x val="0.44389068783456492"/>
          <c:y val="3.646721290260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1595463372048214E-2"/>
          <c:y val="0.14884153469301439"/>
          <c:w val="0.84370976850664492"/>
          <c:h val="0.68704163839271148"/>
        </c:manualLayout>
      </c:layout>
      <c:scatterChart>
        <c:scatterStyle val="lineMarker"/>
        <c:varyColors val="0"/>
        <c:ser>
          <c:idx val="0"/>
          <c:order val="0"/>
          <c:tx>
            <c:v>Vn[d]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2'!$D$100:$D$106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2'!$H$100:$H$106</c:f>
              <c:numCache>
                <c:formatCode>General</c:formatCode>
                <c:ptCount val="7"/>
                <c:pt idx="0">
                  <c:v>9.52</c:v>
                </c:pt>
                <c:pt idx="1">
                  <c:v>5.72</c:v>
                </c:pt>
                <c:pt idx="2">
                  <c:v>3.48</c:v>
                </c:pt>
                <c:pt idx="3">
                  <c:v>2.16</c:v>
                </c:pt>
                <c:pt idx="4">
                  <c:v>1.34</c:v>
                </c:pt>
                <c:pt idx="5" formatCode="0.00">
                  <c:v>0.84</c:v>
                </c:pt>
                <c:pt idx="6" formatCode="0.0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E-6E41-A8AB-F1FCE97E961B}"/>
            </c:ext>
          </c:extLst>
        </c:ser>
        <c:ser>
          <c:idx val="1"/>
          <c:order val="1"/>
          <c:tx>
            <c:v>aj. exponencial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2'!$D$100:$D$106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2'!$R$100:$R$106</c:f>
              <c:numCache>
                <c:formatCode>0.0</c:formatCode>
                <c:ptCount val="7"/>
                <c:pt idx="0">
                  <c:v>9.3700755049995337</c:v>
                </c:pt>
                <c:pt idx="1">
                  <c:v>5.7587061773566166</c:v>
                </c:pt>
                <c:pt idx="2" formatCode="0.00">
                  <c:v>3.5392134054235571</c:v>
                </c:pt>
                <c:pt idx="3">
                  <c:v>2.1751468373890122</c:v>
                </c:pt>
                <c:pt idx="4" formatCode="0.00">
                  <c:v>1.3368122297890104</c:v>
                </c:pt>
                <c:pt idx="5" formatCode="0.00">
                  <c:v>0.82158450500684965</c:v>
                </c:pt>
                <c:pt idx="6" formatCode="0.00">
                  <c:v>0.5049333659775731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FE-6E41-A8AB-F1FCE97E9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544543"/>
        <c:axId val="1426269375"/>
      </c:scatterChart>
      <c:valAx>
        <c:axId val="139754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26269375"/>
        <c:crosses val="autoZero"/>
        <c:crossBetween val="midCat"/>
      </c:valAx>
      <c:valAx>
        <c:axId val="142626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Vn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97544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70416313259811"/>
          <c:y val="0.14859200771381473"/>
          <c:w val="0.20434814108001131"/>
          <c:h val="0.1534306376460486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 b="0" i="0" u="none" strike="noStrike" baseline="0">
                <a:effectLst/>
              </a:rPr>
              <a:t>Resíduos de </a:t>
            </a:r>
            <a:r>
              <a:rPr lang="en-GB" sz="1600" b="0" i="0" u="none" strike="noStrike" baseline="0">
                <a:effectLst/>
              </a:rPr>
              <a:t>V</a:t>
            </a:r>
            <a:r>
              <a:rPr lang="en-GB" sz="1600" b="0" i="0" u="none" strike="noStrike" baseline="-25000">
                <a:effectLst/>
              </a:rPr>
              <a:t>n</a:t>
            </a:r>
            <a:r>
              <a:rPr lang="en-GB" sz="1600" b="0" i="0" u="none" strike="noStrike" baseline="0"/>
              <a:t> </a:t>
            </a:r>
            <a:r>
              <a:rPr lang="pt-PT" sz="1600" b="0" i="0" u="none" strike="noStrike" baseline="0">
                <a:effectLst/>
              </a:rPr>
              <a:t> </a:t>
            </a:r>
            <a:endParaRPr lang="en-US" sz="1600"/>
          </a:p>
        </c:rich>
      </c:tx>
      <c:layout>
        <c:manualLayout>
          <c:xMode val="edge"/>
          <c:yMode val="edge"/>
          <c:x val="0.39822901574415309"/>
          <c:y val="4.32138187080925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622548154380312"/>
          <c:y val="0.16749205239635992"/>
          <c:w val="0.81461548304261977"/>
          <c:h val="0.6834106060111079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2'!$I$5:$I$11</c:f>
                <c:numCache>
                  <c:formatCode>General</c:formatCode>
                  <c:ptCount val="7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1E-3</c:v>
                  </c:pt>
                  <c:pt idx="6">
                    <c:v>1E-3</c:v>
                  </c:pt>
                </c:numCache>
              </c:numRef>
            </c:plus>
            <c:minus>
              <c:numRef>
                <c:f>'Parte 2'!$I$5:$I$11</c:f>
                <c:numCache>
                  <c:formatCode>General</c:formatCode>
                  <c:ptCount val="7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1E-3</c:v>
                  </c:pt>
                  <c:pt idx="6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2'!$D$100:$D$106</c:f>
              <c:numCache>
                <c:formatCode>0.0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  <c:pt idx="5">
                  <c:v>615</c:v>
                </c:pt>
                <c:pt idx="6">
                  <c:v>738</c:v>
                </c:pt>
              </c:numCache>
            </c:numRef>
          </c:xVal>
          <c:yVal>
            <c:numRef>
              <c:f>'Parte 2'!$S$100:$S$106</c:f>
              <c:numCache>
                <c:formatCode>0.0</c:formatCode>
                <c:ptCount val="7"/>
                <c:pt idx="0">
                  <c:v>-0.1499244950004659</c:v>
                </c:pt>
                <c:pt idx="1">
                  <c:v>3.8706177356616855E-2</c:v>
                </c:pt>
                <c:pt idx="2" formatCode="0.00">
                  <c:v>5.9213405423557131E-2</c:v>
                </c:pt>
                <c:pt idx="3">
                  <c:v>1.5146837389012013E-2</c:v>
                </c:pt>
                <c:pt idx="4" formatCode="0.00">
                  <c:v>-3.1877702109897044E-3</c:v>
                </c:pt>
                <c:pt idx="5" formatCode="0.00">
                  <c:v>-1.8415494993150316E-2</c:v>
                </c:pt>
                <c:pt idx="6" formatCode="0.00">
                  <c:v>4.9333659775731009E-3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2-5E41-9A5E-9F174EDA7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550847"/>
        <c:axId val="1421457263"/>
      </c:scatterChart>
      <c:valAx>
        <c:axId val="139755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21457263"/>
        <c:crossesAt val="-10"/>
        <c:crossBetween val="midCat"/>
      </c:valAx>
      <c:valAx>
        <c:axId val="14214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layout>
            <c:manualLayout>
              <c:xMode val="edge"/>
              <c:yMode val="edge"/>
              <c:x val="1.4969216309944642E-2"/>
              <c:y val="0.411874310306297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97550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03208934124963"/>
          <c:y val="0.16501639344262295"/>
          <c:w val="0.2051007209499576"/>
          <c:h val="7.681281939314674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baseline="0">
                <a:effectLst/>
              </a:rPr>
              <a:t>d(t)</a:t>
            </a:r>
            <a:endParaRPr lang="en-PT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0494858332971753"/>
          <c:y val="0.18415383622030604"/>
          <c:w val="0.81308457310062043"/>
          <c:h val="0.65749621578012274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2'!$AQ$5:$AQ$9</c:f>
              <c:numCache>
                <c:formatCode>0.000E+00</c:formatCode>
                <c:ptCount val="5"/>
                <c:pt idx="0">
                  <c:v>0</c:v>
                </c:pt>
                <c:pt idx="1">
                  <c:v>6.6000000000000003E-7</c:v>
                </c:pt>
                <c:pt idx="2">
                  <c:v>1.3200000000000001E-6</c:v>
                </c:pt>
                <c:pt idx="3">
                  <c:v>1.9800000000000001E-6</c:v>
                </c:pt>
                <c:pt idx="4">
                  <c:v>2.6400000000000001E-6</c:v>
                </c:pt>
              </c:numCache>
            </c:numRef>
          </c:xVal>
          <c:yVal>
            <c:numRef>
              <c:f>'Parte 2'!$AR$5:$AR$9</c:f>
              <c:numCache>
                <c:formatCode>0.0</c:formatCode>
                <c:ptCount val="5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369</c:v>
                </c:pt>
                <c:pt idx="4">
                  <c:v>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AB-B247-8D11-C5182C5961BF}"/>
            </c:ext>
          </c:extLst>
        </c:ser>
        <c:ser>
          <c:idx val="1"/>
          <c:order val="1"/>
          <c:tx>
            <c:v>aj. 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'Parte 2'!$AQ$5:$AQ$9</c:f>
              <c:numCache>
                <c:formatCode>0.000E+00</c:formatCode>
                <c:ptCount val="5"/>
                <c:pt idx="0">
                  <c:v>0</c:v>
                </c:pt>
                <c:pt idx="1">
                  <c:v>6.6000000000000003E-7</c:v>
                </c:pt>
                <c:pt idx="2">
                  <c:v>1.3200000000000001E-6</c:v>
                </c:pt>
                <c:pt idx="3">
                  <c:v>1.9800000000000001E-6</c:v>
                </c:pt>
                <c:pt idx="4">
                  <c:v>2.6400000000000001E-6</c:v>
                </c:pt>
              </c:numCache>
            </c:numRef>
          </c:xVal>
          <c:yVal>
            <c:numRef>
              <c:f>'Parte 2'!$AU$5:$AU$9</c:f>
              <c:numCache>
                <c:formatCode>0.00</c:formatCode>
                <c:ptCount val="5"/>
                <c:pt idx="0" formatCode="0.0000000E+00">
                  <c:v>-5.6843418860808015E-14</c:v>
                </c:pt>
                <c:pt idx="1">
                  <c:v>122.99999999999997</c:v>
                </c:pt>
                <c:pt idx="2">
                  <c:v>246</c:v>
                </c:pt>
                <c:pt idx="3">
                  <c:v>369.00000000000006</c:v>
                </c:pt>
                <c:pt idx="4">
                  <c:v>492.00000000000006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AB-B247-8D11-C5182C596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828720"/>
        <c:axId val="396843040"/>
      </c:scatterChart>
      <c:valAx>
        <c:axId val="271828720"/>
        <c:scaling>
          <c:orientation val="minMax"/>
          <c:max val="2.8000000000000007E-6"/>
          <c:min val="-2.000000000000001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t (s)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96843040"/>
        <c:crossesAt val="-100"/>
        <c:crossBetween val="midCat"/>
        <c:majorUnit val="5.000000000000003E-7"/>
        <c:minorUnit val="2.000000000000001E-7"/>
      </c:valAx>
      <c:valAx>
        <c:axId val="396843040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d (m)</a:t>
                </a:r>
                <a:endParaRPr lang="en-PT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71828720"/>
        <c:crossesAt val="-2.9999999999989995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55787629626404"/>
          <c:y val="0.68998761168515677"/>
          <c:w val="0.14949342647633099"/>
          <c:h val="0.1202922179038338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3014224618058576"/>
          <c:y val="0.16532436341901643"/>
          <c:w val="0.80990741590615833"/>
          <c:h val="0.68636241720551261"/>
        </c:manualLayout>
      </c:layout>
      <c:scatterChart>
        <c:scatterStyle val="lineMarker"/>
        <c:varyColors val="0"/>
        <c:ser>
          <c:idx val="0"/>
          <c:order val="0"/>
          <c:tx>
            <c:v>Resíduos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'Parte 3'!$E$4:$E$10</c:f>
                <c:numCache>
                  <c:formatCode>General</c:formatCode>
                  <c:ptCount val="7"/>
                  <c:pt idx="0">
                    <c:v>10</c:v>
                  </c:pt>
                  <c:pt idx="1">
                    <c:v>100</c:v>
                  </c:pt>
                  <c:pt idx="2">
                    <c:v>100</c:v>
                  </c:pt>
                  <c:pt idx="3">
                    <c:v>100</c:v>
                  </c:pt>
                  <c:pt idx="4">
                    <c:v>100</c:v>
                  </c:pt>
                  <c:pt idx="5">
                    <c:v>100</c:v>
                  </c:pt>
                  <c:pt idx="6">
                    <c:v>100</c:v>
                  </c:pt>
                </c:numCache>
              </c:numRef>
            </c:plus>
            <c:minus>
              <c:numRef>
                <c:f>'Parte 3'!$E$4:$E$10</c:f>
                <c:numCache>
                  <c:formatCode>General</c:formatCode>
                  <c:ptCount val="7"/>
                  <c:pt idx="0">
                    <c:v>10</c:v>
                  </c:pt>
                  <c:pt idx="1">
                    <c:v>100</c:v>
                  </c:pt>
                  <c:pt idx="2">
                    <c:v>100</c:v>
                  </c:pt>
                  <c:pt idx="3">
                    <c:v>100</c:v>
                  </c:pt>
                  <c:pt idx="4">
                    <c:v>100</c:v>
                  </c:pt>
                  <c:pt idx="5">
                    <c:v>100</c:v>
                  </c:pt>
                  <c:pt idx="6">
                    <c:v>100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3'!$G$4:$G$10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3.1415926535897931</c:v>
                </c:pt>
                <c:pt idx="2">
                  <c:v>6.2831853071795862</c:v>
                </c:pt>
                <c:pt idx="3">
                  <c:v>9.4247779607693793</c:v>
                </c:pt>
                <c:pt idx="4">
                  <c:v>12.566370614359172</c:v>
                </c:pt>
                <c:pt idx="5">
                  <c:v>15.707963267948966</c:v>
                </c:pt>
                <c:pt idx="6">
                  <c:v>18.849555921538759</c:v>
                </c:pt>
              </c:numCache>
            </c:numRef>
          </c:xVal>
          <c:yVal>
            <c:numRef>
              <c:f>'Parte 3'!$I$4:$I$10</c:f>
              <c:numCache>
                <c:formatCode>0E+00</c:formatCode>
                <c:ptCount val="7"/>
                <c:pt idx="0">
                  <c:v>-35264.285714284517</c:v>
                </c:pt>
                <c:pt idx="1">
                  <c:v>5257.1428571436554</c:v>
                </c:pt>
                <c:pt idx="2">
                  <c:v>32318.571428571828</c:v>
                </c:pt>
                <c:pt idx="3">
                  <c:v>33780</c:v>
                </c:pt>
                <c:pt idx="4">
                  <c:v>13741.428571428172</c:v>
                </c:pt>
                <c:pt idx="5">
                  <c:v>-72797.142857142724</c:v>
                </c:pt>
                <c:pt idx="6">
                  <c:v>22964.285714283586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93-4511-B5F2-850EFFD33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383487"/>
        <c:axId val="1428852959"/>
      </c:scatterChart>
      <c:valAx>
        <c:axId val="142938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φ (</a:t>
                </a:r>
                <a:r>
                  <a:rPr lang="pt-PT" sz="1400"/>
                  <a:t>rad</a:t>
                </a:r>
                <a:r>
                  <a:rPr lang="el-GR" sz="1400"/>
                  <a:t>)</a:t>
                </a:r>
                <a:r>
                  <a:rPr lang="pt-PT" sz="140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28852959"/>
        <c:crossesAt val="-99000000000"/>
        <c:crossBetween val="midCat"/>
      </c:valAx>
      <c:valAx>
        <c:axId val="14288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Resíduos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29383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52333780196157"/>
          <c:y val="0.76958148893360157"/>
          <c:w val="0.13327739275890979"/>
          <c:h val="7.80026271258020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f(</a:t>
            </a:r>
            <a:r>
              <a:rPr lang="el-GR" sz="1440" b="0" i="0" u="none" strike="noStrike" baseline="0">
                <a:effectLst/>
              </a:rPr>
              <a:t>φ</a:t>
            </a:r>
            <a:r>
              <a:rPr lang="pt-PT" sz="1440" b="0" i="0" u="none" strike="noStrike" baseline="0">
                <a:effectLst/>
              </a:rPr>
              <a:t>)</a:t>
            </a:r>
            <a:r>
              <a:rPr lang="pt-PT" baseline="0"/>
              <a:t>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834293720631726"/>
          <c:y val="0.15322702890723691"/>
          <c:w val="0.8157122618766951"/>
          <c:h val="0.70842947198324169"/>
        </c:manualLayout>
      </c:layout>
      <c:scatterChart>
        <c:scatterStyle val="lineMarker"/>
        <c:varyColors val="0"/>
        <c:ser>
          <c:idx val="0"/>
          <c:order val="0"/>
          <c:tx>
            <c:v>f[φ]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3'!$G$4:$G$10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3.1415926535897931</c:v>
                </c:pt>
                <c:pt idx="2">
                  <c:v>6.2831853071795862</c:v>
                </c:pt>
                <c:pt idx="3">
                  <c:v>9.4247779607693793</c:v>
                </c:pt>
                <c:pt idx="4">
                  <c:v>12.566370614359172</c:v>
                </c:pt>
                <c:pt idx="5">
                  <c:v>15.707963267948966</c:v>
                </c:pt>
                <c:pt idx="6">
                  <c:v>18.849555921538759</c:v>
                </c:pt>
              </c:numCache>
            </c:numRef>
          </c:xVal>
          <c:yVal>
            <c:numRef>
              <c:f>'Parte 3'!$D$4:$D$10</c:f>
              <c:numCache>
                <c:formatCode>General</c:formatCode>
                <c:ptCount val="7"/>
                <c:pt idx="0">
                  <c:v>1060</c:v>
                </c:pt>
                <c:pt idx="1">
                  <c:v>1503600</c:v>
                </c:pt>
                <c:pt idx="2">
                  <c:v>3019600</c:v>
                </c:pt>
                <c:pt idx="3">
                  <c:v>4561200</c:v>
                </c:pt>
                <c:pt idx="4">
                  <c:v>6124300</c:v>
                </c:pt>
                <c:pt idx="5">
                  <c:v>7753900</c:v>
                </c:pt>
                <c:pt idx="6">
                  <c:v>9201200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E-401C-8437-21F94D2E2619}"/>
            </c:ext>
          </c:extLst>
        </c:ser>
        <c:ser>
          <c:idx val="1"/>
          <c:order val="1"/>
          <c:tx>
            <c:v>Aj. lin.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3'!$G$4:$G$10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3.1415926535897931</c:v>
                </c:pt>
                <c:pt idx="2">
                  <c:v>6.2831853071795862</c:v>
                </c:pt>
                <c:pt idx="3">
                  <c:v>9.4247779607693793</c:v>
                </c:pt>
                <c:pt idx="4">
                  <c:v>12.566370614359172</c:v>
                </c:pt>
                <c:pt idx="5">
                  <c:v>15.707963267948966</c:v>
                </c:pt>
                <c:pt idx="6">
                  <c:v>18.849555921538759</c:v>
                </c:pt>
              </c:numCache>
            </c:numRef>
          </c:xVal>
          <c:yVal>
            <c:numRef>
              <c:f>'Parte 3'!$H$4:$H$10</c:f>
              <c:numCache>
                <c:formatCode>0.00E+00</c:formatCode>
                <c:ptCount val="7"/>
                <c:pt idx="0">
                  <c:v>-34204.285714284517</c:v>
                </c:pt>
                <c:pt idx="1">
                  <c:v>1508857.1428571437</c:v>
                </c:pt>
                <c:pt idx="2">
                  <c:v>3051918.5714285718</c:v>
                </c:pt>
                <c:pt idx="3">
                  <c:v>4594980</c:v>
                </c:pt>
                <c:pt idx="4">
                  <c:v>6138041.4285714282</c:v>
                </c:pt>
                <c:pt idx="5">
                  <c:v>7681102.8571428573</c:v>
                </c:pt>
                <c:pt idx="6">
                  <c:v>9224164.2857142836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8E-401C-8437-21F94D2E2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882431"/>
        <c:axId val="1431748095"/>
      </c:scatterChart>
      <c:valAx>
        <c:axId val="143188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φ (</a:t>
                </a:r>
                <a:r>
                  <a:rPr lang="pt-PT"/>
                  <a:t>rad</a:t>
                </a:r>
                <a:r>
                  <a:rPr lang="el-GR"/>
                  <a:t>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31748095"/>
        <c:crossesAt val="-99999999990"/>
        <c:crossBetween val="midCat"/>
      </c:valAx>
      <c:valAx>
        <c:axId val="1431748095"/>
        <c:scaling>
          <c:orientation val="minMax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31882431"/>
        <c:crosses val="autoZero"/>
        <c:crossBetween val="midCat"/>
        <c:majorUnit val="200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563539746292876"/>
          <c:y val="0.75565980867375881"/>
          <c:w val="0.1472064591935866"/>
          <c:h val="9.912890523453203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21</xdr:row>
      <xdr:rowOff>153511</xdr:rowOff>
    </xdr:from>
    <xdr:to>
      <xdr:col>21</xdr:col>
      <xdr:colOff>9525</xdr:colOff>
      <xdr:row>39</xdr:row>
      <xdr:rowOff>17220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D363C2E-70FB-F86B-5F06-B72298DB304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31898</xdr:colOff>
      <xdr:row>55</xdr:row>
      <xdr:rowOff>116218</xdr:rowOff>
    </xdr:from>
    <xdr:to>
      <xdr:col>20</xdr:col>
      <xdr:colOff>635001</xdr:colOff>
      <xdr:row>72</xdr:row>
      <xdr:rowOff>142368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1D277B-C291-48D0-8E1E-84E1D7039AF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39251</xdr:colOff>
      <xdr:row>73</xdr:row>
      <xdr:rowOff>51141</xdr:rowOff>
    </xdr:from>
    <xdr:to>
      <xdr:col>21</xdr:col>
      <xdr:colOff>1322</xdr:colOff>
      <xdr:row>90</xdr:row>
      <xdr:rowOff>136360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0998653-A59B-4621-ABB1-8E68ACE1B08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75597</xdr:colOff>
      <xdr:row>4</xdr:row>
      <xdr:rowOff>10948</xdr:rowOff>
    </xdr:from>
    <xdr:to>
      <xdr:col>32</xdr:col>
      <xdr:colOff>664536</xdr:colOff>
      <xdr:row>22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202CF-BA65-C113-1BF7-B91A2E3C5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679302</xdr:colOff>
      <xdr:row>3</xdr:row>
      <xdr:rowOff>206744</xdr:rowOff>
    </xdr:from>
    <xdr:to>
      <xdr:col>43</xdr:col>
      <xdr:colOff>-1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95421F-9A8F-8260-F16A-8B43A8C5D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57</xdr:col>
      <xdr:colOff>6500</xdr:colOff>
      <xdr:row>4</xdr:row>
      <xdr:rowOff>3546</xdr:rowOff>
    </xdr:from>
    <xdr:to>
      <xdr:col>66</xdr:col>
      <xdr:colOff>0</xdr:colOff>
      <xdr:row>22</xdr:row>
      <xdr:rowOff>10160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A989B4-799D-A67A-B59A-6B80FA837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45</xdr:col>
      <xdr:colOff>17722</xdr:colOff>
      <xdr:row>4</xdr:row>
      <xdr:rowOff>1774</xdr:rowOff>
    </xdr:from>
    <xdr:to>
      <xdr:col>55</xdr:col>
      <xdr:colOff>0</xdr:colOff>
      <xdr:row>22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5E8CE45-3D0C-031C-D434-7652D7D38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7452</xdr:colOff>
      <xdr:row>130</xdr:row>
      <xdr:rowOff>1350</xdr:rowOff>
    </xdr:from>
    <xdr:to>
      <xdr:col>17</xdr:col>
      <xdr:colOff>971175</xdr:colOff>
      <xdr:row>147</xdr:row>
      <xdr:rowOff>29882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D3C727D-9A3D-3830-51EC-7E3D48AEC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7468</xdr:colOff>
      <xdr:row>130</xdr:row>
      <xdr:rowOff>17928</xdr:rowOff>
    </xdr:from>
    <xdr:to>
      <xdr:col>28</xdr:col>
      <xdr:colOff>29882</xdr:colOff>
      <xdr:row>147</xdr:row>
      <xdr:rowOff>14940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134D164-46A4-F2C8-4C42-A997C85E7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13469</xdr:colOff>
      <xdr:row>32</xdr:row>
      <xdr:rowOff>13854</xdr:rowOff>
    </xdr:from>
    <xdr:to>
      <xdr:col>33</xdr:col>
      <xdr:colOff>19242</xdr:colOff>
      <xdr:row>52</xdr:row>
      <xdr:rowOff>38484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C2AEAF-D72C-5DE9-06F3-6D792EE8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5522</xdr:colOff>
      <xdr:row>47</xdr:row>
      <xdr:rowOff>30360</xdr:rowOff>
    </xdr:from>
    <xdr:to>
      <xdr:col>43</xdr:col>
      <xdr:colOff>18406</xdr:colOff>
      <xdr:row>67</xdr:row>
      <xdr:rowOff>18406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765DD95-4C6F-38A2-4400-8B758C7A7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644721</xdr:colOff>
      <xdr:row>24</xdr:row>
      <xdr:rowOff>35759</xdr:rowOff>
    </xdr:from>
    <xdr:to>
      <xdr:col>43</xdr:col>
      <xdr:colOff>-1</xdr:colOff>
      <xdr:row>44</xdr:row>
      <xdr:rowOff>21526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E6F39DB-442B-1246-AE10-9A0C4AECE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707895</xdr:colOff>
      <xdr:row>181</xdr:row>
      <xdr:rowOff>21808</xdr:rowOff>
    </xdr:from>
    <xdr:to>
      <xdr:col>28</xdr:col>
      <xdr:colOff>228600</xdr:colOff>
      <xdr:row>200</xdr:row>
      <xdr:rowOff>6350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974BD7C-B093-9F27-13CE-D5C7452F5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18077</xdr:colOff>
      <xdr:row>153</xdr:row>
      <xdr:rowOff>11256</xdr:rowOff>
    </xdr:from>
    <xdr:to>
      <xdr:col>28</xdr:col>
      <xdr:colOff>44336</xdr:colOff>
      <xdr:row>170</xdr:row>
      <xdr:rowOff>30306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32A82FA-A8A0-BC4D-8986-01F2DFCD6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6193</xdr:colOff>
      <xdr:row>180</xdr:row>
      <xdr:rowOff>184923</xdr:rowOff>
    </xdr:from>
    <xdr:to>
      <xdr:col>18</xdr:col>
      <xdr:colOff>15487</xdr:colOff>
      <xdr:row>199</xdr:row>
      <xdr:rowOff>185853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45041B0-5FAD-1EB3-083A-1596CB185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30</xdr:col>
      <xdr:colOff>42059</xdr:colOff>
      <xdr:row>129</xdr:row>
      <xdr:rowOff>179658</xdr:rowOff>
    </xdr:from>
    <xdr:to>
      <xdr:col>39</xdr:col>
      <xdr:colOff>46012</xdr:colOff>
      <xdr:row>147</xdr:row>
      <xdr:rowOff>25563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AEAB4DC-4D70-2008-015E-D2D6A202B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45</xdr:col>
      <xdr:colOff>757496</xdr:colOff>
      <xdr:row>155</xdr:row>
      <xdr:rowOff>7940</xdr:rowOff>
    </xdr:from>
    <xdr:to>
      <xdr:col>55</xdr:col>
      <xdr:colOff>112169</xdr:colOff>
      <xdr:row>172</xdr:row>
      <xdr:rowOff>191355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216E386-1C6C-EAD9-EEC5-A062D3E53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30</xdr:col>
      <xdr:colOff>536621</xdr:colOff>
      <xdr:row>180</xdr:row>
      <xdr:rowOff>178873</xdr:rowOff>
    </xdr:from>
    <xdr:to>
      <xdr:col>39</xdr:col>
      <xdr:colOff>540574</xdr:colOff>
      <xdr:row>198</xdr:row>
      <xdr:rowOff>42665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AFCF9D8-CC05-1A41-96DD-43B924E7D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45</xdr:col>
      <xdr:colOff>681014</xdr:colOff>
      <xdr:row>176</xdr:row>
      <xdr:rowOff>165652</xdr:rowOff>
    </xdr:from>
    <xdr:to>
      <xdr:col>55</xdr:col>
      <xdr:colOff>18244</xdr:colOff>
      <xdr:row>195</xdr:row>
      <xdr:rowOff>40302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29D80D5-1CA2-F048-B1EB-DEE6DA720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45</xdr:col>
      <xdr:colOff>736232</xdr:colOff>
      <xdr:row>130</xdr:row>
      <xdr:rowOff>128840</xdr:rowOff>
    </xdr:from>
    <xdr:to>
      <xdr:col>55</xdr:col>
      <xdr:colOff>74199</xdr:colOff>
      <xdr:row>148</xdr:row>
      <xdr:rowOff>153682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7C9E6592-AB68-3240-A9F1-7F78C1CAB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34829</xdr:colOff>
      <xdr:row>26</xdr:row>
      <xdr:rowOff>15174</xdr:rowOff>
    </xdr:from>
    <xdr:to>
      <xdr:col>7</xdr:col>
      <xdr:colOff>0</xdr:colOff>
      <xdr:row>43</xdr:row>
      <xdr:rowOff>98349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211F81-4322-4C54-880C-CD774B9651C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17421</xdr:colOff>
      <xdr:row>13</xdr:row>
      <xdr:rowOff>207049</xdr:rowOff>
    </xdr:from>
    <xdr:to>
      <xdr:col>15</xdr:col>
      <xdr:colOff>1061493</xdr:colOff>
      <xdr:row>32</xdr:row>
      <xdr:rowOff>173184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EC8882-B1B0-4331-9FCC-31F98A1FC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9605</xdr:colOff>
      <xdr:row>45</xdr:row>
      <xdr:rowOff>14680</xdr:rowOff>
    </xdr:from>
    <xdr:to>
      <xdr:col>7</xdr:col>
      <xdr:colOff>19242</xdr:colOff>
      <xdr:row>62</xdr:row>
      <xdr:rowOff>19243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A2FC48-5088-4D62-B558-9BF00D272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956354</xdr:colOff>
      <xdr:row>35</xdr:row>
      <xdr:rowOff>2389</xdr:rowOff>
    </xdr:from>
    <xdr:to>
      <xdr:col>15</xdr:col>
      <xdr:colOff>1080326</xdr:colOff>
      <xdr:row>53</xdr:row>
      <xdr:rowOff>123699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CFCCBD-7C89-4C8E-9827-9A0AE9D2D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635000</xdr:colOff>
      <xdr:row>27</xdr:row>
      <xdr:rowOff>67733</xdr:rowOff>
    </xdr:from>
    <xdr:ext cx="65" cy="172098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A0B46ADD-A885-4E59-B363-F4A7B067DADE}"/>
            </a:ext>
          </a:extLst>
        </xdr:cNvPr>
        <xdr:cNvSpPr txBox="1"/>
      </xdr:nvSpPr>
      <xdr:spPr>
        <a:xfrm>
          <a:off x="9074150" y="5982758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24</xdr:col>
      <xdr:colOff>209918</xdr:colOff>
      <xdr:row>1</xdr:row>
      <xdr:rowOff>135466</xdr:rowOff>
    </xdr:from>
    <xdr:to>
      <xdr:col>31</xdr:col>
      <xdr:colOff>220133</xdr:colOff>
      <xdr:row>18</xdr:row>
      <xdr:rowOff>67733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79A2E6-4D21-A45A-C7B5-F3FAFB5B1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17112</xdr:colOff>
      <xdr:row>1</xdr:row>
      <xdr:rowOff>131052</xdr:rowOff>
    </xdr:from>
    <xdr:to>
      <xdr:col>39</xdr:col>
      <xdr:colOff>135465</xdr:colOff>
      <xdr:row>18</xdr:row>
      <xdr:rowOff>118533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F9C06F-8F08-58E4-91D6-8893F469B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620035</xdr:colOff>
      <xdr:row>3</xdr:row>
      <xdr:rowOff>412995</xdr:rowOff>
    </xdr:from>
    <xdr:to>
      <xdr:col>55</xdr:col>
      <xdr:colOff>610430</xdr:colOff>
      <xdr:row>20</xdr:row>
      <xdr:rowOff>157900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4FA3ABF-2507-6EC1-E78B-3714F537A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7455</xdr:colOff>
      <xdr:row>110</xdr:row>
      <xdr:rowOff>13450</xdr:rowOff>
    </xdr:from>
    <xdr:to>
      <xdr:col>14</xdr:col>
      <xdr:colOff>0</xdr:colOff>
      <xdr:row>130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FCFF2CD-70EB-FC7B-572E-53DBF6AF4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12398</xdr:colOff>
      <xdr:row>112</xdr:row>
      <xdr:rowOff>2722</xdr:rowOff>
    </xdr:from>
    <xdr:to>
      <xdr:col>28</xdr:col>
      <xdr:colOff>33867</xdr:colOff>
      <xdr:row>132</xdr:row>
      <xdr:rowOff>16933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820ED64-569B-4ACC-312E-A3D61F510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192942</xdr:colOff>
      <xdr:row>20</xdr:row>
      <xdr:rowOff>12650</xdr:rowOff>
    </xdr:from>
    <xdr:to>
      <xdr:col>31</xdr:col>
      <xdr:colOff>235044</xdr:colOff>
      <xdr:row>39</xdr:row>
      <xdr:rowOff>25778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D4CB97A-0E76-0F6B-BC7D-3893248F3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978663</xdr:colOff>
      <xdr:row>20</xdr:row>
      <xdr:rowOff>0</xdr:rowOff>
    </xdr:from>
    <xdr:to>
      <xdr:col>39</xdr:col>
      <xdr:colOff>186266</xdr:colOff>
      <xdr:row>39</xdr:row>
      <xdr:rowOff>33867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8EAA227-49F8-E34D-B0F4-DA86C2EAA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56</xdr:col>
      <xdr:colOff>550698</xdr:colOff>
      <xdr:row>4</xdr:row>
      <xdr:rowOff>42698</xdr:rowOff>
    </xdr:from>
    <xdr:to>
      <xdr:col>62</xdr:col>
      <xdr:colOff>569749</xdr:colOff>
      <xdr:row>21</xdr:row>
      <xdr:rowOff>36348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2E4C9C3-7E04-52E1-923C-EFC7E2B95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331305</xdr:colOff>
      <xdr:row>135</xdr:row>
      <xdr:rowOff>1</xdr:rowOff>
    </xdr:from>
    <xdr:to>
      <xdr:col>27</xdr:col>
      <xdr:colOff>815146</xdr:colOff>
      <xdr:row>154</xdr:row>
      <xdr:rowOff>31535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DB55FFD-E313-1741-A2B5-AB6B289C6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18406</xdr:colOff>
      <xdr:row>112</xdr:row>
      <xdr:rowOff>110435</xdr:rowOff>
    </xdr:from>
    <xdr:to>
      <xdr:col>36</xdr:col>
      <xdr:colOff>136758</xdr:colOff>
      <xdr:row>131</xdr:row>
      <xdr:rowOff>24292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89DEB58-EB3F-BC4D-BC22-89DE5D5F8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41640</xdr:colOff>
      <xdr:row>135</xdr:row>
      <xdr:rowOff>1</xdr:rowOff>
    </xdr:from>
    <xdr:to>
      <xdr:col>36</xdr:col>
      <xdr:colOff>227768</xdr:colOff>
      <xdr:row>154</xdr:row>
      <xdr:rowOff>33868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30515FE-7BBC-784A-B789-DAA4178C1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8466</xdr:colOff>
      <xdr:row>133</xdr:row>
      <xdr:rowOff>21166</xdr:rowOff>
    </xdr:from>
    <xdr:to>
      <xdr:col>14</xdr:col>
      <xdr:colOff>12700</xdr:colOff>
      <xdr:row>151</xdr:row>
      <xdr:rowOff>190499</xdr:rowOff>
    </xdr:to>
    <xdr:graphicFrame macro="">
      <xdr:nvGraphicFramePr>
        <xdr:cNvPr id="19" name="Gráfico 4">
          <a:extLst>
            <a:ext uri="{FF2B5EF4-FFF2-40B4-BE49-F238E27FC236}">
              <a16:creationId xmlns:a16="http://schemas.microsoft.com/office/drawing/2014/main" id="{D06C7184-F5DE-C240-95CA-1CB96F65C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575733</xdr:colOff>
      <xdr:row>118</xdr:row>
      <xdr:rowOff>84667</xdr:rowOff>
    </xdr:from>
    <xdr:to>
      <xdr:col>6</xdr:col>
      <xdr:colOff>507037</xdr:colOff>
      <xdr:row>135</xdr:row>
      <xdr:rowOff>184775</xdr:rowOff>
    </xdr:to>
    <xdr:graphicFrame macro="">
      <xdr:nvGraphicFramePr>
        <xdr:cNvPr id="20" name="Gráfico 1">
          <a:extLst>
            <a:ext uri="{FF2B5EF4-FFF2-40B4-BE49-F238E27FC236}">
              <a16:creationId xmlns:a16="http://schemas.microsoft.com/office/drawing/2014/main" id="{EA1E51F5-FCEB-DF4A-A94B-FE5615509EF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622300</xdr:colOff>
      <xdr:row>137</xdr:row>
      <xdr:rowOff>139700</xdr:rowOff>
    </xdr:from>
    <xdr:to>
      <xdr:col>6</xdr:col>
      <xdr:colOff>606537</xdr:colOff>
      <xdr:row>154</xdr:row>
      <xdr:rowOff>144263</xdr:rowOff>
    </xdr:to>
    <xdr:graphicFrame macro="">
      <xdr:nvGraphicFramePr>
        <xdr:cNvPr id="21" name="Gráfico 3">
          <a:extLst>
            <a:ext uri="{FF2B5EF4-FFF2-40B4-BE49-F238E27FC236}">
              <a16:creationId xmlns:a16="http://schemas.microsoft.com/office/drawing/2014/main" id="{0B75E789-241D-B34D-A804-714E118D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49</xdr:col>
      <xdr:colOff>617608</xdr:colOff>
      <xdr:row>23</xdr:row>
      <xdr:rowOff>26388</xdr:rowOff>
    </xdr:from>
    <xdr:to>
      <xdr:col>55</xdr:col>
      <xdr:colOff>650240</xdr:colOff>
      <xdr:row>37</xdr:row>
      <xdr:rowOff>203199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863549A-025B-B2F3-76C5-CBE44C41E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14103</xdr:colOff>
      <xdr:row>33</xdr:row>
      <xdr:rowOff>23624</xdr:rowOff>
    </xdr:from>
    <xdr:to>
      <xdr:col>7</xdr:col>
      <xdr:colOff>520700</xdr:colOff>
      <xdr:row>52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E01ACC-45C1-4A65-9DE4-ED267BFDE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980241</xdr:colOff>
      <xdr:row>12</xdr:row>
      <xdr:rowOff>8030</xdr:rowOff>
    </xdr:from>
    <xdr:to>
      <xdr:col>7</xdr:col>
      <xdr:colOff>585056</xdr:colOff>
      <xdr:row>30</xdr:row>
      <xdr:rowOff>142696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962E68-E91E-45D8-A367-125E248D4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N200"/>
  <sheetViews>
    <sheetView zoomScale="83" zoomScaleNormal="69" workbookViewId="0">
      <selection activeCell="AD179" sqref="AD179"/>
    </sheetView>
  </sheetViews>
  <sheetFormatPr baseColWidth="10" defaultColWidth="8.83203125" defaultRowHeight="15" x14ac:dyDescent="0.2"/>
  <cols>
    <col min="1" max="1" width="18" bestFit="1" customWidth="1"/>
    <col min="2" max="2" width="8.1640625" customWidth="1"/>
    <col min="3" max="3" width="12.6640625" customWidth="1"/>
    <col min="4" max="4" width="12.33203125" customWidth="1"/>
    <col min="5" max="5" width="17.5" bestFit="1" customWidth="1"/>
    <col min="6" max="6" width="17.6640625" bestFit="1" customWidth="1"/>
    <col min="7" max="7" width="17.83203125" bestFit="1" customWidth="1"/>
    <col min="8" max="8" width="18.6640625" bestFit="1" customWidth="1"/>
    <col min="9" max="9" width="18.5" customWidth="1"/>
    <col min="10" max="10" width="12.6640625" bestFit="1" customWidth="1"/>
    <col min="11" max="11" width="14" bestFit="1" customWidth="1"/>
    <col min="12" max="12" width="11.6640625" customWidth="1"/>
    <col min="13" max="13" width="12.33203125" bestFit="1" customWidth="1"/>
    <col min="14" max="14" width="16.6640625" bestFit="1" customWidth="1"/>
    <col min="15" max="15" width="10" customWidth="1"/>
    <col min="16" max="16" width="9.33203125" customWidth="1"/>
    <col min="17" max="17" width="12.6640625" bestFit="1" customWidth="1"/>
    <col min="18" max="18" width="12.83203125" bestFit="1" customWidth="1"/>
    <col min="19" max="19" width="9.33203125" bestFit="1" customWidth="1"/>
    <col min="27" max="27" width="12.5" bestFit="1" customWidth="1"/>
    <col min="28" max="28" width="9" bestFit="1" customWidth="1"/>
    <col min="29" max="29" width="11.83203125" bestFit="1" customWidth="1"/>
    <col min="30" max="31" width="9" bestFit="1" customWidth="1"/>
    <col min="37" max="37" width="11.83203125" bestFit="1" customWidth="1"/>
    <col min="39" max="39" width="12" bestFit="1" customWidth="1"/>
    <col min="42" max="42" width="19.6640625" bestFit="1" customWidth="1"/>
    <col min="43" max="43" width="14.6640625" bestFit="1" customWidth="1"/>
    <col min="44" max="44" width="19.33203125" bestFit="1" customWidth="1"/>
    <col min="45" max="45" width="14" bestFit="1" customWidth="1"/>
    <col min="46" max="46" width="11.83203125" bestFit="1" customWidth="1"/>
    <col min="72" max="72" width="11.83203125" bestFit="1" customWidth="1"/>
  </cols>
  <sheetData>
    <row r="2" spans="2:19" ht="17" x14ac:dyDescent="0.2">
      <c r="B2" s="50" t="s">
        <v>94</v>
      </c>
      <c r="C2" s="50" t="s">
        <v>63</v>
      </c>
      <c r="D2" s="50" t="s">
        <v>64</v>
      </c>
      <c r="E2" s="50" t="s">
        <v>62</v>
      </c>
      <c r="F2" s="50" t="s">
        <v>71</v>
      </c>
      <c r="G2" s="50" t="s">
        <v>76</v>
      </c>
      <c r="H2" s="50" t="s">
        <v>72</v>
      </c>
      <c r="I2" s="50"/>
      <c r="J2" s="50" t="s">
        <v>73</v>
      </c>
      <c r="K2" s="50" t="s">
        <v>75</v>
      </c>
      <c r="L2" s="50" t="s">
        <v>74</v>
      </c>
      <c r="N2" s="50" t="s">
        <v>8</v>
      </c>
      <c r="O2" s="2"/>
      <c r="R2" s="51" t="s">
        <v>9</v>
      </c>
      <c r="S2" s="4">
        <v>50</v>
      </c>
    </row>
    <row r="3" spans="2:19" x14ac:dyDescent="0.2">
      <c r="B3" s="34">
        <v>0</v>
      </c>
      <c r="C3" s="34">
        <v>-2.3199999999999998</v>
      </c>
      <c r="D3" s="34">
        <f>0</f>
        <v>0</v>
      </c>
      <c r="E3" s="34">
        <v>-2.2999999999999998</v>
      </c>
      <c r="F3" s="42"/>
      <c r="G3" s="42"/>
      <c r="H3" s="42"/>
      <c r="I3" s="42"/>
      <c r="J3" s="42"/>
      <c r="K3" s="42"/>
      <c r="L3" s="42"/>
      <c r="M3" s="35"/>
      <c r="N3" s="36"/>
      <c r="R3" s="51"/>
      <c r="S3" s="4"/>
    </row>
    <row r="4" spans="2:19" ht="17" x14ac:dyDescent="0.2">
      <c r="B4" s="1">
        <v>1</v>
      </c>
      <c r="C4" s="1">
        <v>-2.2799999999999998</v>
      </c>
      <c r="D4" s="1">
        <v>0</v>
      </c>
      <c r="E4" s="1">
        <v>-2.2400000000000002</v>
      </c>
      <c r="F4" s="1">
        <f>AA$26*(B4^3)+AB$26*(B4^2)+AC$26*B4+AD$26</f>
        <v>-2.2402661671124275</v>
      </c>
      <c r="G4" s="42"/>
      <c r="H4" s="1">
        <f>AA$59*(B4^4)+AB$59*(B4^3)+AC$59*(B4^2)+AD$59*B4+AE$59</f>
        <v>-2.2415638260891506</v>
      </c>
      <c r="I4" s="1"/>
      <c r="J4" s="1">
        <f>E4-F4</f>
        <v>2.6616711242732904E-4</v>
      </c>
      <c r="K4" s="42"/>
      <c r="L4" s="1">
        <f>E4-H4</f>
        <v>1.5638260891503997E-3</v>
      </c>
      <c r="R4" s="51" t="s">
        <v>10</v>
      </c>
      <c r="S4" s="4"/>
    </row>
    <row r="5" spans="2:19" ht="17" x14ac:dyDescent="0.2">
      <c r="B5" s="1">
        <v>2</v>
      </c>
      <c r="C5" s="1">
        <v>-2.2000000000000002</v>
      </c>
      <c r="D5" s="1">
        <f>0*10^-3</f>
        <v>0</v>
      </c>
      <c r="E5" s="1">
        <f>D5+C5</f>
        <v>-2.2000000000000002</v>
      </c>
      <c r="F5" s="1">
        <f t="shared" ref="F5:F68" si="0">AA$26*(B5^3)+AB$26*(B5^2)+AC$26*B5+AD$26</f>
        <v>-2.1704937120599546</v>
      </c>
      <c r="G5" s="42"/>
      <c r="H5" s="1">
        <f t="shared" ref="H5:H68" si="1">AA$59*(B5^4)+AB$59*(B5^3)+AC$59*(B5^2)+AD$59*B5+AE$59</f>
        <v>-2.1715292177080472</v>
      </c>
      <c r="I5" s="1"/>
      <c r="J5" s="1">
        <f t="shared" ref="J5:J68" si="2">E5-F5</f>
        <v>-2.9506287940045617E-2</v>
      </c>
      <c r="K5" s="42"/>
      <c r="L5" s="1">
        <f t="shared" ref="L5:L68" si="3">E5-H5</f>
        <v>-2.847078229195299E-2</v>
      </c>
      <c r="R5" s="51" t="s">
        <v>11</v>
      </c>
      <c r="S5" s="4">
        <v>0.01</v>
      </c>
    </row>
    <row r="6" spans="2:19" ht="17" x14ac:dyDescent="0.2">
      <c r="B6" s="1">
        <v>3</v>
      </c>
      <c r="C6" s="1">
        <v>-2.16</v>
      </c>
      <c r="D6" s="1">
        <f>20*10^-3</f>
        <v>0.02</v>
      </c>
      <c r="E6" s="1">
        <f t="shared" ref="E6:E68" si="4">D6+C6</f>
        <v>-2.14</v>
      </c>
      <c r="F6" s="1">
        <f t="shared" si="0"/>
        <v>-2.101924630774386</v>
      </c>
      <c r="G6" s="42"/>
      <c r="H6" s="1">
        <f t="shared" si="1"/>
        <v>-2.1027220583995381</v>
      </c>
      <c r="I6" s="1"/>
      <c r="J6" s="1">
        <f t="shared" si="2"/>
        <v>-3.8075369225614164E-2</v>
      </c>
      <c r="K6" s="42"/>
      <c r="L6" s="1">
        <f t="shared" si="3"/>
        <v>-3.727794160046205E-2</v>
      </c>
      <c r="R6" s="51" t="s">
        <v>12</v>
      </c>
      <c r="S6" s="1" t="e">
        <f>(S5/S4)*100</f>
        <v>#DIV/0!</v>
      </c>
    </row>
    <row r="7" spans="2:19" x14ac:dyDescent="0.2">
      <c r="B7" s="1">
        <v>4</v>
      </c>
      <c r="C7" s="1">
        <v>-2.1</v>
      </c>
      <c r="D7" s="1">
        <f>40*10^-3</f>
        <v>0.04</v>
      </c>
      <c r="E7" s="1">
        <f t="shared" si="4"/>
        <v>-2.06</v>
      </c>
      <c r="F7" s="1">
        <f t="shared" si="0"/>
        <v>-2.0345462928908962</v>
      </c>
      <c r="G7" s="42"/>
      <c r="H7" s="1">
        <f t="shared" si="1"/>
        <v>-2.0351285595366693</v>
      </c>
      <c r="I7" s="1"/>
      <c r="J7" s="1">
        <f t="shared" si="2"/>
        <v>-2.5453707109103885E-2</v>
      </c>
      <c r="K7" s="42"/>
      <c r="L7" s="1">
        <f t="shared" si="3"/>
        <v>-2.4871440463330785E-2</v>
      </c>
      <c r="R7" s="51" t="s">
        <v>13</v>
      </c>
      <c r="S7" s="4">
        <f>(S2-S4)/S2*100</f>
        <v>100</v>
      </c>
    </row>
    <row r="8" spans="2:19" x14ac:dyDescent="0.2">
      <c r="B8" s="1">
        <v>5</v>
      </c>
      <c r="C8" s="1">
        <v>-2.02</v>
      </c>
      <c r="D8" s="1">
        <v>0.06</v>
      </c>
      <c r="E8" s="1">
        <f t="shared" si="4"/>
        <v>-1.96</v>
      </c>
      <c r="F8" s="1">
        <f t="shared" si="0"/>
        <v>-1.9683460680446607</v>
      </c>
      <c r="G8" s="42"/>
      <c r="H8" s="1">
        <f t="shared" si="1"/>
        <v>-1.9687349566229475</v>
      </c>
      <c r="I8" s="1"/>
      <c r="J8" s="1">
        <f t="shared" si="2"/>
        <v>8.3460680446607594E-3</v>
      </c>
      <c r="K8" s="42"/>
      <c r="L8" s="1">
        <f t="shared" si="3"/>
        <v>8.7349566229475428E-3</v>
      </c>
      <c r="R8" s="51" t="s">
        <v>14</v>
      </c>
      <c r="S8" s="4"/>
    </row>
    <row r="9" spans="2:19" x14ac:dyDescent="0.2">
      <c r="B9" s="1">
        <v>6</v>
      </c>
      <c r="C9" s="1">
        <v>-1.98</v>
      </c>
      <c r="D9" s="1">
        <f>100*10^-3</f>
        <v>0.1</v>
      </c>
      <c r="E9" s="1">
        <f t="shared" si="4"/>
        <v>-1.88</v>
      </c>
      <c r="F9" s="1">
        <f t="shared" si="0"/>
        <v>-1.9033113258708549</v>
      </c>
      <c r="G9" s="42"/>
      <c r="H9" s="1">
        <f t="shared" si="1"/>
        <v>-1.9035275092923407</v>
      </c>
      <c r="I9" s="1"/>
      <c r="J9" s="1">
        <f t="shared" si="2"/>
        <v>2.3311325870855049E-2</v>
      </c>
      <c r="K9" s="42"/>
      <c r="L9" s="1">
        <f t="shared" si="3"/>
        <v>2.352750929234082E-2</v>
      </c>
      <c r="R9" s="51" t="s">
        <v>15</v>
      </c>
      <c r="S9" s="4">
        <f>(S2-S8)/S2*100</f>
        <v>100</v>
      </c>
    </row>
    <row r="10" spans="2:19" x14ac:dyDescent="0.2">
      <c r="B10" s="1">
        <v>7</v>
      </c>
      <c r="C10" s="1">
        <v>-1.94</v>
      </c>
      <c r="D10" s="1">
        <f>120*10^-3</f>
        <v>0.12</v>
      </c>
      <c r="E10" s="1">
        <f t="shared" si="4"/>
        <v>-1.8199999999999998</v>
      </c>
      <c r="F10" s="1">
        <f t="shared" si="0"/>
        <v>-1.8394294360046541</v>
      </c>
      <c r="G10" s="42"/>
      <c r="H10" s="1">
        <f t="shared" si="1"/>
        <v>-1.839492501309278</v>
      </c>
      <c r="I10" s="1"/>
      <c r="J10" s="1">
        <f t="shared" si="2"/>
        <v>1.9429436004654299E-2</v>
      </c>
      <c r="K10" s="42"/>
      <c r="L10" s="1">
        <f t="shared" si="3"/>
        <v>1.9492501309278154E-2</v>
      </c>
    </row>
    <row r="11" spans="2:19" x14ac:dyDescent="0.2">
      <c r="B11" s="1">
        <v>8</v>
      </c>
      <c r="C11" s="1">
        <v>-1.9</v>
      </c>
      <c r="D11" s="1">
        <f>140*10^-3</f>
        <v>0.14000000000000001</v>
      </c>
      <c r="E11" s="1">
        <f t="shared" si="4"/>
        <v>-1.7599999999999998</v>
      </c>
      <c r="F11" s="1">
        <f t="shared" si="0"/>
        <v>-1.7766877680812336</v>
      </c>
      <c r="G11" s="42"/>
      <c r="H11" s="1">
        <f t="shared" si="1"/>
        <v>-1.776616240568649</v>
      </c>
      <c r="I11" s="1"/>
      <c r="J11" s="1">
        <f t="shared" si="2"/>
        <v>1.6687768081233845E-2</v>
      </c>
      <c r="K11" s="42"/>
      <c r="L11" s="1">
        <f t="shared" si="3"/>
        <v>1.6616240568649188E-2</v>
      </c>
    </row>
    <row r="12" spans="2:19" x14ac:dyDescent="0.2">
      <c r="B12" s="1">
        <v>9</v>
      </c>
      <c r="C12" s="1">
        <v>-1.86</v>
      </c>
      <c r="D12" s="1">
        <f>180*10^-3</f>
        <v>0.18</v>
      </c>
      <c r="E12" s="1">
        <f t="shared" si="4"/>
        <v>-1.6800000000000002</v>
      </c>
      <c r="F12" s="1">
        <f t="shared" si="0"/>
        <v>-1.7150736917357685</v>
      </c>
      <c r="G12" s="42"/>
      <c r="H12" s="1">
        <f t="shared" si="1"/>
        <v>-1.7148850590958049</v>
      </c>
      <c r="I12" s="1"/>
      <c r="J12" s="1">
        <f t="shared" si="2"/>
        <v>3.5073691735768353E-2</v>
      </c>
      <c r="K12" s="42"/>
      <c r="L12" s="1">
        <f t="shared" si="3"/>
        <v>3.4885059095804749E-2</v>
      </c>
    </row>
    <row r="13" spans="2:19" ht="17" x14ac:dyDescent="0.2">
      <c r="B13" s="1">
        <v>10</v>
      </c>
      <c r="C13" s="1">
        <v>-1.68</v>
      </c>
      <c r="D13" s="1">
        <f>60*10^-3</f>
        <v>0.06</v>
      </c>
      <c r="E13" s="1">
        <f t="shared" si="4"/>
        <v>-1.6199999999999999</v>
      </c>
      <c r="F13" s="1">
        <f t="shared" si="0"/>
        <v>-1.6545745766034341</v>
      </c>
      <c r="G13" s="42"/>
      <c r="H13" s="1">
        <f t="shared" si="1"/>
        <v>-1.6542853130465576</v>
      </c>
      <c r="I13" s="1"/>
      <c r="J13" s="1">
        <f t="shared" si="2"/>
        <v>3.4574576603434215E-2</v>
      </c>
      <c r="K13" s="42"/>
      <c r="L13" s="1">
        <f t="shared" si="3"/>
        <v>3.4285313046557686E-2</v>
      </c>
      <c r="N13" s="3"/>
      <c r="O13" s="50" t="s">
        <v>5</v>
      </c>
      <c r="P13" s="50" t="s">
        <v>3</v>
      </c>
      <c r="Q13" s="50" t="s">
        <v>4</v>
      </c>
    </row>
    <row r="14" spans="2:19" x14ac:dyDescent="0.2">
      <c r="B14" s="1">
        <v>11</v>
      </c>
      <c r="C14" s="1">
        <v>-1.64</v>
      </c>
      <c r="D14" s="1">
        <f>80*10^-3</f>
        <v>0.08</v>
      </c>
      <c r="E14" s="1">
        <f t="shared" si="4"/>
        <v>-1.5599999999999998</v>
      </c>
      <c r="F14" s="1">
        <f t="shared" si="0"/>
        <v>-1.5951777923194055</v>
      </c>
      <c r="G14" s="42"/>
      <c r="H14" s="1">
        <f t="shared" si="1"/>
        <v>-1.5948033827071801</v>
      </c>
      <c r="I14" s="1"/>
      <c r="J14" s="1">
        <f t="shared" si="2"/>
        <v>3.5177792319405654E-2</v>
      </c>
      <c r="K14" s="42"/>
      <c r="L14" s="1">
        <f t="shared" si="3"/>
        <v>3.4803382707180308E-2</v>
      </c>
      <c r="N14" s="52" t="s">
        <v>2</v>
      </c>
      <c r="O14" s="1">
        <f t="array" ref="O14:Q16">LINEST(E3:E115,B3:B115^{1,2},TRUE,TRUE)</f>
        <v>-2.5454510820923237E-5</v>
      </c>
      <c r="P14" s="1">
        <v>2.0559908534008405E-2</v>
      </c>
      <c r="Q14" s="1">
        <v>-1.2486893633725198</v>
      </c>
    </row>
    <row r="15" spans="2:19" ht="17" x14ac:dyDescent="0.25">
      <c r="B15" s="1">
        <v>12</v>
      </c>
      <c r="C15" s="1">
        <v>-1.62</v>
      </c>
      <c r="D15" s="1">
        <f>100*10^-3</f>
        <v>0.1</v>
      </c>
      <c r="E15" s="1">
        <f t="shared" si="4"/>
        <v>-1.52</v>
      </c>
      <c r="F15" s="1">
        <f t="shared" si="0"/>
        <v>-1.5368707085188582</v>
      </c>
      <c r="G15" s="42"/>
      <c r="H15" s="1">
        <f t="shared" si="1"/>
        <v>-1.5364256724944065</v>
      </c>
      <c r="I15" s="1"/>
      <c r="J15" s="1">
        <f t="shared" si="2"/>
        <v>1.6870708518858191E-2</v>
      </c>
      <c r="K15" s="42"/>
      <c r="L15" s="1">
        <f t="shared" si="3"/>
        <v>1.6425672494406518E-2</v>
      </c>
      <c r="N15" s="50" t="s">
        <v>7</v>
      </c>
      <c r="O15" s="1">
        <v>1.9831705729992015E-6</v>
      </c>
      <c r="P15" s="1">
        <v>1.2107536623285108E-3</v>
      </c>
      <c r="Q15" s="1">
        <v>7.5970666272793877E-2</v>
      </c>
      <c r="S15" t="s">
        <v>65</v>
      </c>
    </row>
    <row r="16" spans="2:19" ht="17" x14ac:dyDescent="0.2">
      <c r="B16" s="1">
        <v>13</v>
      </c>
      <c r="C16" s="1">
        <v>-1.58</v>
      </c>
      <c r="D16" s="1">
        <f>120*10^-3</f>
        <v>0.12</v>
      </c>
      <c r="E16" s="1">
        <f t="shared" si="4"/>
        <v>-1.46</v>
      </c>
      <c r="F16" s="1">
        <f t="shared" si="0"/>
        <v>-1.4796406948369678</v>
      </c>
      <c r="G16" s="42"/>
      <c r="H16" s="1">
        <f t="shared" si="1"/>
        <v>-1.4791386109554321</v>
      </c>
      <c r="I16" s="1"/>
      <c r="J16" s="1">
        <f t="shared" si="2"/>
        <v>1.9640694836967842E-2</v>
      </c>
      <c r="K16" s="42"/>
      <c r="L16" s="1">
        <f t="shared" si="3"/>
        <v>1.9138610955432123E-2</v>
      </c>
      <c r="N16" s="50" t="s">
        <v>6</v>
      </c>
      <c r="O16" s="1">
        <v>0.80296869680835603</v>
      </c>
      <c r="P16" s="1">
        <v>0.4664364730557598</v>
      </c>
      <c r="Q16" s="1" t="e">
        <v>#N/A</v>
      </c>
    </row>
    <row r="17" spans="2:66" x14ac:dyDescent="0.2">
      <c r="B17" s="1">
        <v>14</v>
      </c>
      <c r="C17" s="1">
        <v>-1.56</v>
      </c>
      <c r="D17" s="1">
        <f>160*10^-3</f>
        <v>0.16</v>
      </c>
      <c r="E17" s="1">
        <f t="shared" si="4"/>
        <v>-1.4000000000000001</v>
      </c>
      <c r="F17" s="1">
        <f t="shared" si="0"/>
        <v>-1.4234751209089089</v>
      </c>
      <c r="G17" s="42"/>
      <c r="H17" s="1">
        <f t="shared" si="1"/>
        <v>-1.4229286507679129</v>
      </c>
      <c r="I17" s="1"/>
      <c r="J17" s="1">
        <f t="shared" si="2"/>
        <v>2.3475120908908798E-2</v>
      </c>
      <c r="K17" s="42"/>
      <c r="L17" s="1">
        <f t="shared" si="3"/>
        <v>2.2928650767912728E-2</v>
      </c>
    </row>
    <row r="18" spans="2:66" x14ac:dyDescent="0.2">
      <c r="B18" s="1">
        <v>15</v>
      </c>
      <c r="C18" s="1">
        <v>-1.54</v>
      </c>
      <c r="D18" s="1">
        <f>180*10^-3</f>
        <v>0.18</v>
      </c>
      <c r="E18" s="1">
        <f t="shared" si="4"/>
        <v>-1.36</v>
      </c>
      <c r="F18" s="1">
        <f t="shared" si="0"/>
        <v>-1.3683613563698573</v>
      </c>
      <c r="G18" s="42"/>
      <c r="H18" s="1">
        <f t="shared" si="1"/>
        <v>-1.3677822687399659</v>
      </c>
      <c r="I18" s="1"/>
      <c r="J18" s="1">
        <f t="shared" si="2"/>
        <v>8.3613563698572424E-3</v>
      </c>
      <c r="K18" s="42"/>
      <c r="L18" s="1">
        <f t="shared" si="3"/>
        <v>7.7822687399657919E-3</v>
      </c>
    </row>
    <row r="19" spans="2:66" x14ac:dyDescent="0.2">
      <c r="B19" s="1">
        <v>16</v>
      </c>
      <c r="C19" s="1">
        <v>-1.5</v>
      </c>
      <c r="D19" s="1">
        <f>200*10^-3</f>
        <v>0.2</v>
      </c>
      <c r="E19" s="1">
        <f t="shared" si="4"/>
        <v>-1.3</v>
      </c>
      <c r="F19" s="1">
        <f t="shared" si="0"/>
        <v>-1.3142867708549879</v>
      </c>
      <c r="G19" s="42"/>
      <c r="H19" s="1">
        <f t="shared" si="1"/>
        <v>-1.3136859658101692</v>
      </c>
      <c r="I19" s="1"/>
      <c r="J19" s="1">
        <f t="shared" si="2"/>
        <v>1.4286770854987862E-2</v>
      </c>
      <c r="K19" s="42"/>
      <c r="L19" s="1">
        <f t="shared" si="3"/>
        <v>1.3685965810169121E-2</v>
      </c>
    </row>
    <row r="20" spans="2:66" x14ac:dyDescent="0.2">
      <c r="B20" s="1">
        <v>17</v>
      </c>
      <c r="C20" s="1">
        <v>-1.5</v>
      </c>
      <c r="D20" s="1">
        <f>220*10^-3</f>
        <v>0.22</v>
      </c>
      <c r="E20" s="1">
        <f t="shared" si="4"/>
        <v>-1.28</v>
      </c>
      <c r="F20" s="1">
        <f t="shared" si="0"/>
        <v>-1.2612387339994759</v>
      </c>
      <c r="G20" s="42"/>
      <c r="H20" s="1">
        <f t="shared" si="1"/>
        <v>-1.2606262670475625</v>
      </c>
      <c r="I20" s="1"/>
      <c r="J20" s="1">
        <f t="shared" si="2"/>
        <v>-1.8761266000524079E-2</v>
      </c>
      <c r="K20" s="42"/>
      <c r="L20" s="1">
        <f t="shared" si="3"/>
        <v>-1.9373732952437495E-2</v>
      </c>
    </row>
    <row r="21" spans="2:66" ht="19" x14ac:dyDescent="0.25">
      <c r="B21" s="1">
        <v>18</v>
      </c>
      <c r="C21" s="1">
        <v>-1.48</v>
      </c>
      <c r="D21" s="1">
        <f>260*10^-3</f>
        <v>0.26</v>
      </c>
      <c r="E21" s="1">
        <f t="shared" si="4"/>
        <v>-1.22</v>
      </c>
      <c r="F21" s="1">
        <f t="shared" si="0"/>
        <v>-1.2092046154384972</v>
      </c>
      <c r="G21" s="42"/>
      <c r="H21" s="1">
        <f t="shared" si="1"/>
        <v>-1.2085897216516457</v>
      </c>
      <c r="I21" s="1"/>
      <c r="J21" s="1">
        <f t="shared" si="2"/>
        <v>-1.0795384561502752E-2</v>
      </c>
      <c r="K21" s="42"/>
      <c r="L21" s="1">
        <f t="shared" si="3"/>
        <v>-1.1410278348354286E-2</v>
      </c>
      <c r="N21" s="56" t="s">
        <v>93</v>
      </c>
      <c r="O21" s="55"/>
      <c r="P21" s="55"/>
      <c r="Q21" s="55"/>
      <c r="R21" s="55"/>
      <c r="S21" s="55"/>
      <c r="T21" s="55"/>
      <c r="U21" s="55"/>
    </row>
    <row r="22" spans="2:66" x14ac:dyDescent="0.2">
      <c r="B22" s="1">
        <v>19</v>
      </c>
      <c r="C22" s="1">
        <v>-1.46</v>
      </c>
      <c r="D22" s="1">
        <f>300*10^-3</f>
        <v>0.3</v>
      </c>
      <c r="E22" s="1">
        <f t="shared" si="4"/>
        <v>-1.1599999999999999</v>
      </c>
      <c r="F22" s="1">
        <f t="shared" si="0"/>
        <v>-1.1581717848072264</v>
      </c>
      <c r="G22" s="42"/>
      <c r="H22" s="1">
        <f t="shared" si="1"/>
        <v>-1.1575629029523802</v>
      </c>
      <c r="I22" s="1"/>
      <c r="J22" s="1">
        <f t="shared" si="2"/>
        <v>-1.8282151927735413E-3</v>
      </c>
      <c r="K22" s="42"/>
      <c r="L22" s="1">
        <f t="shared" si="3"/>
        <v>-2.4370970476197407E-3</v>
      </c>
    </row>
    <row r="23" spans="2:66" x14ac:dyDescent="0.2">
      <c r="B23" s="1">
        <v>20</v>
      </c>
      <c r="C23" s="1">
        <v>-1.36</v>
      </c>
      <c r="D23" s="1">
        <f>220*10^-3</f>
        <v>0.22</v>
      </c>
      <c r="E23" s="1">
        <f t="shared" si="4"/>
        <v>-1.1400000000000001</v>
      </c>
      <c r="F23" s="1">
        <f t="shared" si="0"/>
        <v>-1.1081276117408392</v>
      </c>
      <c r="G23" s="42"/>
      <c r="H23" s="1">
        <f t="shared" si="1"/>
        <v>-1.1075324084101881</v>
      </c>
      <c r="I23" s="1"/>
      <c r="J23" s="1">
        <f t="shared" si="2"/>
        <v>-3.1872388259160944E-2</v>
      </c>
      <c r="K23" s="42"/>
      <c r="L23" s="1">
        <f t="shared" si="3"/>
        <v>-3.246759158981205E-2</v>
      </c>
    </row>
    <row r="24" spans="2:66" ht="16" customHeight="1" x14ac:dyDescent="0.25">
      <c r="B24" s="1">
        <v>21</v>
      </c>
      <c r="C24" s="1">
        <v>-1.34</v>
      </c>
      <c r="D24" s="1">
        <f>260*10^-3</f>
        <v>0.26</v>
      </c>
      <c r="E24" s="1">
        <f t="shared" si="4"/>
        <v>-1.08</v>
      </c>
      <c r="F24" s="1">
        <f t="shared" si="0"/>
        <v>-1.0590594658745105</v>
      </c>
      <c r="G24" s="42"/>
      <c r="H24" s="1">
        <f t="shared" si="1"/>
        <v>-1.0584848596159531</v>
      </c>
      <c r="I24" s="1"/>
      <c r="J24" s="1">
        <f t="shared" si="2"/>
        <v>-2.0940534125489574E-2</v>
      </c>
      <c r="K24" s="42"/>
      <c r="L24" s="1">
        <f t="shared" si="3"/>
        <v>-2.1515140384047005E-2</v>
      </c>
      <c r="AA24" s="53" t="s">
        <v>66</v>
      </c>
      <c r="AB24" s="53"/>
      <c r="AC24" s="53"/>
      <c r="AD24" s="53"/>
      <c r="AT24" s="53" t="s">
        <v>77</v>
      </c>
      <c r="AU24" s="53"/>
      <c r="AV24" s="53"/>
      <c r="AW24" s="53"/>
      <c r="AY24" s="60" t="s">
        <v>107</v>
      </c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</row>
    <row r="25" spans="2:66" x14ac:dyDescent="0.2">
      <c r="B25" s="1">
        <v>22</v>
      </c>
      <c r="C25" s="1">
        <v>-1.32</v>
      </c>
      <c r="D25" s="1">
        <f>280*10^-3</f>
        <v>0.28000000000000003</v>
      </c>
      <c r="E25" s="1">
        <f t="shared" si="4"/>
        <v>-1.04</v>
      </c>
      <c r="F25" s="1">
        <f t="shared" si="0"/>
        <v>-1.0109547168434159</v>
      </c>
      <c r="G25" s="42"/>
      <c r="H25" s="1">
        <f t="shared" si="1"/>
        <v>-1.0104069022910189</v>
      </c>
      <c r="I25" s="1"/>
      <c r="J25" s="1">
        <f t="shared" si="2"/>
        <v>-2.9045283156584167E-2</v>
      </c>
      <c r="K25" s="42"/>
      <c r="L25" s="1">
        <f t="shared" si="3"/>
        <v>-2.9593097708981109E-2</v>
      </c>
      <c r="AA25" s="50" t="s">
        <v>67</v>
      </c>
      <c r="AB25" s="50" t="s">
        <v>68</v>
      </c>
      <c r="AC25" s="50" t="s">
        <v>69</v>
      </c>
      <c r="AD25" s="50" t="s">
        <v>27</v>
      </c>
      <c r="AT25" s="50" t="s">
        <v>67</v>
      </c>
      <c r="AU25" s="50" t="s">
        <v>68</v>
      </c>
      <c r="AV25" s="50" t="s">
        <v>69</v>
      </c>
      <c r="AW25" s="50" t="s">
        <v>27</v>
      </c>
    </row>
    <row r="26" spans="2:66" x14ac:dyDescent="0.2">
      <c r="B26" s="1">
        <v>23</v>
      </c>
      <c r="C26" s="1">
        <v>-1.3</v>
      </c>
      <c r="D26" s="1">
        <f>300*10^-3</f>
        <v>0.3</v>
      </c>
      <c r="E26" s="46">
        <f t="shared" si="4"/>
        <v>-1</v>
      </c>
      <c r="F26" s="1">
        <f t="shared" si="0"/>
        <v>-0.96380073428273061</v>
      </c>
      <c r="G26" s="42"/>
      <c r="H26" s="1">
        <f t="shared" si="1"/>
        <v>-0.96328520628719172</v>
      </c>
      <c r="I26" s="1"/>
      <c r="J26" s="1">
        <f t="shared" si="2"/>
        <v>-3.6199265717269391E-2</v>
      </c>
      <c r="K26" s="42"/>
      <c r="L26" s="1">
        <f t="shared" si="3"/>
        <v>-3.671479371280828E-2</v>
      </c>
      <c r="AA26" s="2">
        <f t="array" ref="AA26:AD30">LINEST(E4:E103,B4:B103^{1,2,3},1,1)</f>
        <v>2.1050608041217793E-6</v>
      </c>
      <c r="AB26" s="2">
        <v>-6.1431724827665333E-4</v>
      </c>
      <c r="AC26" s="2">
        <v>7.1600671371673835E-2</v>
      </c>
      <c r="AD26" s="2">
        <v>-2.3112546262966287</v>
      </c>
      <c r="AT26" s="2" cm="1">
        <f t="array" ref="AT26:AW30">LINEST(E33:E103,B33:B103^{1,2,3},1,1)</f>
        <v>3.8703939934253684E-7</v>
      </c>
      <c r="AU26" s="2">
        <v>-2.4805373200159408E-4</v>
      </c>
      <c r="AV26" s="2">
        <v>4.6602794074927276E-2</v>
      </c>
      <c r="AW26" s="2">
        <v>-1.7697781529819168</v>
      </c>
    </row>
    <row r="27" spans="2:66" x14ac:dyDescent="0.2">
      <c r="B27" s="1">
        <v>24</v>
      </c>
      <c r="C27" s="1">
        <v>-1.3</v>
      </c>
      <c r="D27" s="1">
        <f>320*10^-3</f>
        <v>0.32</v>
      </c>
      <c r="E27" s="1">
        <f t="shared" si="4"/>
        <v>-0.98</v>
      </c>
      <c r="F27" s="1">
        <f t="shared" si="0"/>
        <v>-0.91758488782762937</v>
      </c>
      <c r="G27" s="42"/>
      <c r="H27" s="1">
        <f t="shared" si="1"/>
        <v>-0.91710646558673758</v>
      </c>
      <c r="I27" s="1"/>
      <c r="J27" s="1">
        <f t="shared" si="2"/>
        <v>-6.2415112172370613E-2</v>
      </c>
      <c r="K27" s="42"/>
      <c r="L27" s="1">
        <f t="shared" si="3"/>
        <v>-6.2893534413262397E-2</v>
      </c>
      <c r="Z27" s="54" t="s">
        <v>0</v>
      </c>
      <c r="AA27" s="2">
        <v>1.8106891619230417E-7</v>
      </c>
      <c r="AB27" s="2">
        <v>2.781311005450756E-5</v>
      </c>
      <c r="AC27" s="2">
        <v>1.2121604378796207E-3</v>
      </c>
      <c r="AD27" s="2">
        <v>1.4207330068909674E-2</v>
      </c>
      <c r="AS27" s="54" t="s">
        <v>0</v>
      </c>
      <c r="AT27" s="2">
        <v>4.5364517187673908E-7</v>
      </c>
      <c r="AU27" s="2">
        <v>8.8836287876131774E-5</v>
      </c>
      <c r="AV27" s="2">
        <v>5.5121689857142988E-3</v>
      </c>
      <c r="AW27" s="2">
        <v>0.10738783749233105</v>
      </c>
    </row>
    <row r="28" spans="2:66" ht="17" x14ac:dyDescent="0.2">
      <c r="B28" s="1">
        <v>25</v>
      </c>
      <c r="C28" s="1">
        <v>-1.28</v>
      </c>
      <c r="D28" s="1">
        <f>340*10^-3</f>
        <v>0.34</v>
      </c>
      <c r="E28" s="1">
        <f t="shared" si="4"/>
        <v>-0.94</v>
      </c>
      <c r="F28" s="1">
        <f t="shared" si="0"/>
        <v>-0.87229454711328813</v>
      </c>
      <c r="G28" s="42"/>
      <c r="H28" s="1">
        <f t="shared" si="1"/>
        <v>-0.87185739830238407</v>
      </c>
      <c r="I28" s="1"/>
      <c r="J28" s="1">
        <f t="shared" si="2"/>
        <v>-6.7705452886711814E-2</v>
      </c>
      <c r="K28" s="42"/>
      <c r="L28" s="1">
        <f t="shared" si="3"/>
        <v>-6.8142601697615879E-2</v>
      </c>
      <c r="Z28" s="54" t="s">
        <v>70</v>
      </c>
      <c r="AA28" s="40">
        <v>0.99848940081932225</v>
      </c>
      <c r="AB28" s="41">
        <v>3.419485557675124E-2</v>
      </c>
      <c r="AC28" s="2" t="e">
        <v>#N/A</v>
      </c>
      <c r="AD28" s="2" t="e">
        <v>#N/A</v>
      </c>
      <c r="AS28" s="54" t="s">
        <v>70</v>
      </c>
      <c r="AT28" s="2">
        <v>0.99619738074053799</v>
      </c>
      <c r="AU28" s="2">
        <v>2.5818916418617725E-2</v>
      </c>
      <c r="AV28" s="2" t="e">
        <v>#N/A</v>
      </c>
      <c r="AW28" s="2" t="e">
        <v>#N/A</v>
      </c>
    </row>
    <row r="29" spans="2:66" x14ac:dyDescent="0.2">
      <c r="B29" s="1">
        <v>26</v>
      </c>
      <c r="C29" s="1">
        <v>-1.26</v>
      </c>
      <c r="D29" s="1">
        <f>360*10^-3</f>
        <v>0.36</v>
      </c>
      <c r="E29" s="1">
        <f t="shared" si="4"/>
        <v>-0.9</v>
      </c>
      <c r="F29" s="1">
        <f t="shared" si="0"/>
        <v>-0.82791708177488221</v>
      </c>
      <c r="G29" s="42"/>
      <c r="H29" s="1">
        <f t="shared" si="1"/>
        <v>-0.82752474667731946</v>
      </c>
      <c r="I29" s="1"/>
      <c r="J29" s="1">
        <f t="shared" si="2"/>
        <v>-7.2082918225117809E-2</v>
      </c>
      <c r="K29" s="42"/>
      <c r="L29" s="1">
        <f t="shared" si="3"/>
        <v>-7.2475253322680566E-2</v>
      </c>
      <c r="AA29">
        <v>21151.647131094716</v>
      </c>
      <c r="AB29">
        <v>96</v>
      </c>
      <c r="AC29" t="e">
        <v>#N/A</v>
      </c>
      <c r="AD29" t="e">
        <v>#N/A</v>
      </c>
      <c r="AT29">
        <v>5850.8114149244675</v>
      </c>
      <c r="AU29">
        <v>67</v>
      </c>
      <c r="AV29" t="e">
        <v>#N/A</v>
      </c>
      <c r="AW29" t="e">
        <v>#N/A</v>
      </c>
    </row>
    <row r="30" spans="2:66" x14ac:dyDescent="0.2">
      <c r="B30" s="1">
        <v>27</v>
      </c>
      <c r="C30" s="1">
        <v>-1.24</v>
      </c>
      <c r="D30" s="1">
        <f>400*10^-3</f>
        <v>0.4</v>
      </c>
      <c r="E30" s="1">
        <f t="shared" si="4"/>
        <v>-0.84</v>
      </c>
      <c r="F30" s="1">
        <f t="shared" si="0"/>
        <v>-0.78443986144758648</v>
      </c>
      <c r="G30" s="42"/>
      <c r="H30" s="1">
        <f t="shared" si="1"/>
        <v>-0.78409527708519322</v>
      </c>
      <c r="I30" s="1"/>
      <c r="J30" s="1">
        <f t="shared" si="2"/>
        <v>-5.5560138552413485E-2</v>
      </c>
      <c r="K30" s="42"/>
      <c r="L30" s="1">
        <f t="shared" si="3"/>
        <v>-5.5904722914806748E-2</v>
      </c>
      <c r="AA30">
        <v>74.197110897800187</v>
      </c>
      <c r="AB30">
        <v>0.11225166219982805</v>
      </c>
      <c r="AC30" t="e">
        <v>#N/A</v>
      </c>
      <c r="AD30" t="e">
        <v>#N/A</v>
      </c>
      <c r="AT30">
        <v>11.700741317901198</v>
      </c>
      <c r="AU30">
        <v>4.4663301817115052E-2</v>
      </c>
      <c r="AV30" t="e">
        <v>#N/A</v>
      </c>
      <c r="AW30" t="e">
        <v>#N/A</v>
      </c>
    </row>
    <row r="31" spans="2:66" x14ac:dyDescent="0.2">
      <c r="B31" s="1">
        <v>28</v>
      </c>
      <c r="C31" s="1">
        <v>-1.24</v>
      </c>
      <c r="D31" s="1">
        <f>420*10^-3</f>
        <v>0.42</v>
      </c>
      <c r="E31" s="1">
        <f t="shared" si="4"/>
        <v>-0.82000000000000006</v>
      </c>
      <c r="F31" s="1">
        <f t="shared" si="0"/>
        <v>-0.74185025576657626</v>
      </c>
      <c r="G31" s="42"/>
      <c r="H31" s="1">
        <f t="shared" si="1"/>
        <v>-0.74155578003011646</v>
      </c>
      <c r="I31" s="1"/>
      <c r="J31" s="1">
        <f t="shared" si="2"/>
        <v>-7.8149744233423801E-2</v>
      </c>
      <c r="K31" s="42"/>
      <c r="L31" s="1">
        <f t="shared" si="3"/>
        <v>-7.84442199698836E-2</v>
      </c>
    </row>
    <row r="32" spans="2:66" x14ac:dyDescent="0.2">
      <c r="B32" s="1">
        <v>29</v>
      </c>
      <c r="C32" s="1">
        <v>-1.22</v>
      </c>
      <c r="D32" s="1">
        <f>460*10^-3</f>
        <v>0.46</v>
      </c>
      <c r="E32" s="1">
        <f t="shared" si="4"/>
        <v>-0.76</v>
      </c>
      <c r="F32" s="1">
        <f t="shared" si="0"/>
        <v>-0.70013563436702664</v>
      </c>
      <c r="G32" s="42"/>
      <c r="H32" s="1">
        <f t="shared" si="1"/>
        <v>-0.69989307014665991</v>
      </c>
      <c r="I32" s="1"/>
      <c r="J32" s="1">
        <f t="shared" si="2"/>
        <v>-5.9864365632973371E-2</v>
      </c>
      <c r="K32" s="42"/>
      <c r="L32" s="1">
        <f t="shared" si="3"/>
        <v>-6.0106929853340096E-2</v>
      </c>
    </row>
    <row r="33" spans="2:53" x14ac:dyDescent="0.2">
      <c r="B33" s="1">
        <v>30</v>
      </c>
      <c r="C33" s="1">
        <v>-1.08</v>
      </c>
      <c r="D33" s="1">
        <f>480*10^-3</f>
        <v>0.48</v>
      </c>
      <c r="E33" s="1">
        <f t="shared" si="4"/>
        <v>-0.60000000000000009</v>
      </c>
      <c r="F33" s="1">
        <f t="shared" si="0"/>
        <v>-0.65928336688411382</v>
      </c>
      <c r="G33" s="1">
        <f>AT$26*(B33^3)+AU$26*(B33^2)+AV$26*B33+AW$26</f>
        <v>-0.58449262575328476</v>
      </c>
      <c r="H33" s="1">
        <f t="shared" si="1"/>
        <v>-0.65909398619985704</v>
      </c>
      <c r="I33" s="1"/>
      <c r="J33" s="1">
        <f t="shared" si="2"/>
        <v>5.9283366884113731E-2</v>
      </c>
      <c r="K33" s="1">
        <f>E33-G33</f>
        <v>-1.5507374246715333E-2</v>
      </c>
      <c r="L33" s="1">
        <f t="shared" si="3"/>
        <v>5.9093986199856952E-2</v>
      </c>
    </row>
    <row r="34" spans="2:53" x14ac:dyDescent="0.2">
      <c r="B34" s="37">
        <v>31</v>
      </c>
      <c r="C34" s="37">
        <f>-960 * 10^-3</f>
        <v>-0.96</v>
      </c>
      <c r="D34" s="65">
        <f>480*10^-3</f>
        <v>0.48</v>
      </c>
      <c r="E34" s="37">
        <f t="shared" si="4"/>
        <v>-0.48</v>
      </c>
      <c r="F34" s="37">
        <f t="shared" si="0"/>
        <v>-0.61928082295301179</v>
      </c>
      <c r="G34" s="37">
        <f>AT$26*(B34^3)+AU$26*(B34^2)+AV$26*B34+AW$26</f>
        <v>-0.55194088236688943</v>
      </c>
      <c r="H34" s="37">
        <f t="shared" si="1"/>
        <v>-0.61914539108520072</v>
      </c>
      <c r="I34" s="37"/>
      <c r="J34" s="37">
        <f t="shared" si="2"/>
        <v>0.13928082295301181</v>
      </c>
      <c r="K34" s="37">
        <f t="shared" ref="K34:K97" si="5">E34-G34</f>
        <v>7.1940882366889447E-2</v>
      </c>
      <c r="L34" s="37">
        <f t="shared" si="3"/>
        <v>0.13914539108520074</v>
      </c>
    </row>
    <row r="35" spans="2:53" x14ac:dyDescent="0.2">
      <c r="B35" s="1">
        <v>32</v>
      </c>
      <c r="C35" s="1">
        <f>-960*10^-3</f>
        <v>-0.96</v>
      </c>
      <c r="D35" s="1">
        <f>432*10^-3</f>
        <v>0.432</v>
      </c>
      <c r="E35" s="1">
        <f t="shared" si="4"/>
        <v>-0.52800000000000002</v>
      </c>
      <c r="F35" s="1">
        <f t="shared" si="0"/>
        <v>-0.58011537220889653</v>
      </c>
      <c r="G35" s="1">
        <f>AT$26*(B35^3)+AU$26*(B35^2)+AV$26*B35+AW$26</f>
        <v>-0.51981325711621995</v>
      </c>
      <c r="H35" s="1">
        <f t="shared" si="1"/>
        <v>-0.58003417182864636</v>
      </c>
      <c r="I35" s="1"/>
      <c r="J35" s="1">
        <f t="shared" si="2"/>
        <v>5.2115372208896504E-2</v>
      </c>
      <c r="K35" s="1">
        <f t="shared" si="5"/>
        <v>-8.1867428837800738E-3</v>
      </c>
      <c r="L35" s="1">
        <f t="shared" si="3"/>
        <v>5.2034171828646336E-2</v>
      </c>
    </row>
    <row r="36" spans="2:53" x14ac:dyDescent="0.2">
      <c r="B36" s="1">
        <v>33</v>
      </c>
      <c r="C36" s="1">
        <f>-960*10^-3</f>
        <v>-0.96</v>
      </c>
      <c r="D36" s="1">
        <f>456*10^-3</f>
        <v>0.45600000000000002</v>
      </c>
      <c r="E36" s="1">
        <f t="shared" si="4"/>
        <v>-0.504</v>
      </c>
      <c r="F36" s="1">
        <f t="shared" si="0"/>
        <v>-0.54177438428694313</v>
      </c>
      <c r="G36" s="1">
        <f>AT$26*(B36^3)+AU$26*(B36^2)+AV$26*B36+AW$26</f>
        <v>-0.48810742776488003</v>
      </c>
      <c r="H36" s="1">
        <f t="shared" si="1"/>
        <v>-0.5417472395866092</v>
      </c>
      <c r="I36" s="1"/>
      <c r="J36" s="1">
        <f t="shared" si="2"/>
        <v>3.777438428694313E-2</v>
      </c>
      <c r="K36" s="1">
        <f t="shared" si="5"/>
        <v>-1.5892572235119973E-2</v>
      </c>
      <c r="L36" s="1">
        <f t="shared" si="3"/>
        <v>3.7747239586609194E-2</v>
      </c>
    </row>
    <row r="37" spans="2:53" x14ac:dyDescent="0.2">
      <c r="B37" s="1">
        <v>34</v>
      </c>
      <c r="C37" s="1">
        <f>-952*10^-3</f>
        <v>-0.95200000000000007</v>
      </c>
      <c r="D37" s="1">
        <f>488*10^-3</f>
        <v>0.48799999999999999</v>
      </c>
      <c r="E37" s="1">
        <f t="shared" si="4"/>
        <v>-0.46400000000000008</v>
      </c>
      <c r="F37" s="1">
        <f t="shared" si="0"/>
        <v>-0.50424522882232692</v>
      </c>
      <c r="G37" s="1">
        <f>AT$26*(B37^3)+AU$26*(B37^2)+AV$26*B37+AW$26</f>
        <v>-0.45682107207647316</v>
      </c>
      <c r="H37" s="1">
        <f t="shared" si="1"/>
        <v>-0.50427152964596567</v>
      </c>
      <c r="I37" s="1"/>
      <c r="J37" s="1">
        <f t="shared" si="2"/>
        <v>4.024522882232684E-2</v>
      </c>
      <c r="K37" s="1">
        <f t="shared" si="5"/>
        <v>-7.1789279235269232E-3</v>
      </c>
      <c r="L37" s="1">
        <f t="shared" si="3"/>
        <v>4.0271529645965587E-2</v>
      </c>
    </row>
    <row r="38" spans="2:53" x14ac:dyDescent="0.2">
      <c r="B38" s="1">
        <v>35</v>
      </c>
      <c r="C38" s="1">
        <f>-936*10^-3</f>
        <v>-0.93600000000000005</v>
      </c>
      <c r="D38" s="1">
        <f>512*10^-3</f>
        <v>0.51200000000000001</v>
      </c>
      <c r="E38" s="1">
        <f t="shared" si="4"/>
        <v>-0.42400000000000004</v>
      </c>
      <c r="F38" s="1">
        <f t="shared" si="0"/>
        <v>-0.46751527545022364</v>
      </c>
      <c r="G38" s="1">
        <f>AT$26*(B38^3)+AU$26*(B38^2)+AV$26*B38+AW$26</f>
        <v>-0.4259518678146037</v>
      </c>
      <c r="H38" s="1">
        <f t="shared" si="1"/>
        <v>-0.46759400142405427</v>
      </c>
      <c r="I38" s="1"/>
      <c r="J38" s="1">
        <f t="shared" si="2"/>
        <v>4.3515275450223601E-2</v>
      </c>
      <c r="K38" s="1">
        <f t="shared" si="5"/>
        <v>1.9518678146036583E-3</v>
      </c>
      <c r="L38" s="1">
        <f t="shared" si="3"/>
        <v>4.359400142405423E-2</v>
      </c>
    </row>
    <row r="39" spans="2:53" x14ac:dyDescent="0.2">
      <c r="B39" s="1">
        <v>36</v>
      </c>
      <c r="C39" s="1">
        <f>-936*10^-3</f>
        <v>-0.93600000000000005</v>
      </c>
      <c r="D39" s="1">
        <f>536*10^-3</f>
        <v>0.53600000000000003</v>
      </c>
      <c r="E39" s="1">
        <f t="shared" si="4"/>
        <v>-0.4</v>
      </c>
      <c r="F39" s="1">
        <f t="shared" si="0"/>
        <v>-0.43157189380580774</v>
      </c>
      <c r="G39" s="1">
        <f>AT$26*(B39^3)+AU$26*(B39^2)+AV$26*B39+AW$26</f>
        <v>-0.39549749274287538</v>
      </c>
      <c r="H39" s="1">
        <f t="shared" si="1"/>
        <v>-0.43170163846867315</v>
      </c>
      <c r="I39" s="1"/>
      <c r="J39" s="1">
        <f t="shared" si="2"/>
        <v>3.1571893805807716E-2</v>
      </c>
      <c r="K39" s="1">
        <f t="shared" si="5"/>
        <v>-4.5025072571246438E-3</v>
      </c>
      <c r="L39" s="1">
        <f t="shared" si="3"/>
        <v>3.1701638468673132E-2</v>
      </c>
    </row>
    <row r="40" spans="2:53" x14ac:dyDescent="0.2">
      <c r="B40" s="1">
        <v>37</v>
      </c>
      <c r="C40" s="1">
        <f>-912*10^-3</f>
        <v>-0.91200000000000003</v>
      </c>
      <c r="D40" s="1">
        <f>568*10^-3</f>
        <v>0.56800000000000006</v>
      </c>
      <c r="E40" s="1">
        <f t="shared" si="4"/>
        <v>-0.34399999999999997</v>
      </c>
      <c r="F40" s="1">
        <f t="shared" si="0"/>
        <v>-0.39640245352425474</v>
      </c>
      <c r="G40" s="1">
        <f>AT$26*(B40^3)+AU$26*(B40^2)+AV$26*B40+AW$26</f>
        <v>-0.36545562462489234</v>
      </c>
      <c r="H40" s="1">
        <f t="shared" si="1"/>
        <v>-0.39658144845808274</v>
      </c>
      <c r="I40" s="1"/>
      <c r="J40" s="1">
        <f t="shared" si="2"/>
        <v>5.2402453524254766E-2</v>
      </c>
      <c r="K40" s="1">
        <f t="shared" si="5"/>
        <v>2.1455624624892367E-2</v>
      </c>
      <c r="L40" s="1">
        <f t="shared" si="3"/>
        <v>5.2581448458082769E-2</v>
      </c>
    </row>
    <row r="41" spans="2:53" x14ac:dyDescent="0.2">
      <c r="B41" s="1">
        <v>38</v>
      </c>
      <c r="C41" s="1">
        <f>-912*10^-3</f>
        <v>-0.91200000000000003</v>
      </c>
      <c r="D41" s="1">
        <f>592*10^-3</f>
        <v>0.59199999999999997</v>
      </c>
      <c r="E41" s="1">
        <f t="shared" si="4"/>
        <v>-0.32000000000000006</v>
      </c>
      <c r="F41" s="1">
        <f t="shared" si="0"/>
        <v>-0.36199432424074018</v>
      </c>
      <c r="G41" s="1">
        <f>AT$26*(B41^3)+AU$26*(B41^2)+AV$26*B41+AW$26</f>
        <v>-0.33582394122425829</v>
      </c>
      <c r="H41" s="1">
        <f t="shared" si="1"/>
        <v>-0.36222046320100354</v>
      </c>
      <c r="I41" s="1"/>
      <c r="J41" s="1">
        <f t="shared" si="2"/>
        <v>4.1994324240740122E-2</v>
      </c>
      <c r="K41" s="1">
        <f t="shared" si="5"/>
        <v>1.5823941224258231E-2</v>
      </c>
      <c r="L41" s="1">
        <f t="shared" si="3"/>
        <v>4.2220463201003477E-2</v>
      </c>
    </row>
    <row r="42" spans="2:53" x14ac:dyDescent="0.2">
      <c r="B42" s="1">
        <v>39</v>
      </c>
      <c r="C42" s="1">
        <f>-896*10^-3</f>
        <v>-0.89600000000000002</v>
      </c>
      <c r="D42" s="1">
        <f>616*10^-3</f>
        <v>0.61599999999999999</v>
      </c>
      <c r="E42" s="1">
        <f t="shared" si="4"/>
        <v>-0.28000000000000003</v>
      </c>
      <c r="F42" s="1">
        <f t="shared" si="0"/>
        <v>-0.32833487559043872</v>
      </c>
      <c r="G42" s="1">
        <f>AT$26*(B42^3)+AU$26*(B42^2)+AV$26*B42+AW$26</f>
        <v>-0.30660012030457762</v>
      </c>
      <c r="H42" s="1">
        <f t="shared" si="1"/>
        <v>-0.32860573863661724</v>
      </c>
      <c r="I42" s="1"/>
      <c r="J42" s="1">
        <f t="shared" si="2"/>
        <v>4.8334875590438697E-2</v>
      </c>
      <c r="K42" s="1">
        <f t="shared" si="5"/>
        <v>2.660012030457759E-2</v>
      </c>
      <c r="L42" s="1">
        <f t="shared" si="3"/>
        <v>4.8605738636617213E-2</v>
      </c>
    </row>
    <row r="43" spans="2:53" x14ac:dyDescent="0.2">
      <c r="B43" s="1">
        <v>40</v>
      </c>
      <c r="C43" s="1">
        <f>-816*10^-3</f>
        <v>-0.81600000000000006</v>
      </c>
      <c r="D43" s="1">
        <f>496*10^-3</f>
        <v>0.496</v>
      </c>
      <c r="E43" s="1">
        <f t="shared" si="4"/>
        <v>-0.32000000000000006</v>
      </c>
      <c r="F43" s="1">
        <f t="shared" si="0"/>
        <v>-0.29541147720852701</v>
      </c>
      <c r="G43" s="1">
        <f>AT$26*(B43^3)+AU$26*(B43^2)+AV$26*B43+AW$26</f>
        <v>-0.2777818396294538</v>
      </c>
      <c r="H43" s="1">
        <f t="shared" si="1"/>
        <v>-0.29572435483456738</v>
      </c>
      <c r="I43" s="1"/>
      <c r="J43" s="1">
        <f t="shared" si="2"/>
        <v>-2.4588522791473055E-2</v>
      </c>
      <c r="K43" s="1">
        <f t="shared" si="5"/>
        <v>-4.2218160370546265E-2</v>
      </c>
      <c r="L43" s="1">
        <f t="shared" si="3"/>
        <v>-2.427564516543268E-2</v>
      </c>
    </row>
    <row r="44" spans="2:53" x14ac:dyDescent="0.2">
      <c r="B44" s="1">
        <v>41</v>
      </c>
      <c r="C44" s="1">
        <f>-800*10^-3</f>
        <v>-0.8</v>
      </c>
      <c r="D44" s="1">
        <f>520*10^-3</f>
        <v>0.52</v>
      </c>
      <c r="E44" s="1">
        <f t="shared" si="4"/>
        <v>-0.28000000000000003</v>
      </c>
      <c r="F44" s="1">
        <f t="shared" si="0"/>
        <v>-0.26321149873017857</v>
      </c>
      <c r="G44" s="1">
        <f>AT$26*(B44^3)+AU$26*(B44^2)+AV$26*B44+AW$26</f>
        <v>-0.24936677696249121</v>
      </c>
      <c r="H44" s="1">
        <f t="shared" si="1"/>
        <v>-0.2635634159949567</v>
      </c>
      <c r="I44" s="1"/>
      <c r="J44" s="1">
        <f t="shared" si="2"/>
        <v>-1.6788501269821454E-2</v>
      </c>
      <c r="K44" s="1">
        <f t="shared" si="5"/>
        <v>-3.0633223037508817E-2</v>
      </c>
      <c r="L44" s="1">
        <f t="shared" si="3"/>
        <v>-1.6436584005043331E-2</v>
      </c>
      <c r="BA44" s="39"/>
    </row>
    <row r="45" spans="2:53" x14ac:dyDescent="0.2">
      <c r="B45" s="1">
        <v>42</v>
      </c>
      <c r="C45" s="1">
        <f>-800*10^-3</f>
        <v>-0.8</v>
      </c>
      <c r="D45" s="1">
        <f>552*10^-3</f>
        <v>0.55200000000000005</v>
      </c>
      <c r="E45" s="1">
        <f t="shared" si="4"/>
        <v>-0.248</v>
      </c>
      <c r="F45" s="1">
        <f t="shared" si="0"/>
        <v>-0.23172230979056962</v>
      </c>
      <c r="G45" s="1">
        <f>AT$26*(B45^3)+AU$26*(B45^2)+AV$26*B45+AW$26</f>
        <v>-0.22135261006729334</v>
      </c>
      <c r="H45" s="1">
        <f t="shared" si="1"/>
        <v>-0.23211005044835131</v>
      </c>
      <c r="I45" s="1"/>
      <c r="J45" s="1">
        <f t="shared" si="2"/>
        <v>-1.6277690209430373E-2</v>
      </c>
      <c r="K45" s="1">
        <f t="shared" si="5"/>
        <v>-2.6647389932706655E-2</v>
      </c>
      <c r="L45" s="1">
        <f t="shared" si="3"/>
        <v>-1.5889949551648685E-2</v>
      </c>
    </row>
    <row r="46" spans="2:53" x14ac:dyDescent="0.2">
      <c r="B46" s="1">
        <v>43</v>
      </c>
      <c r="C46" s="1">
        <f>-792*10^-3</f>
        <v>-0.79200000000000004</v>
      </c>
      <c r="D46" s="1">
        <f>576*10^-3</f>
        <v>0.57600000000000007</v>
      </c>
      <c r="E46" s="1">
        <f t="shared" si="4"/>
        <v>-0.21599999999999997</v>
      </c>
      <c r="F46" s="1">
        <f t="shared" si="0"/>
        <v>-0.20093128002487548</v>
      </c>
      <c r="G46" s="1">
        <f>AT$26*(B46^3)+AU$26*(B46^2)+AV$26*B46+AW$26</f>
        <v>-0.19373701670746457</v>
      </c>
      <c r="H46" s="1">
        <f t="shared" si="1"/>
        <v>-0.20135141065577677</v>
      </c>
      <c r="I46" s="1"/>
      <c r="J46" s="1">
        <f t="shared" si="2"/>
        <v>-1.5068719975124489E-2</v>
      </c>
      <c r="K46" s="1">
        <f t="shared" si="5"/>
        <v>-2.2262983292535399E-2</v>
      </c>
      <c r="L46" s="1">
        <f t="shared" si="3"/>
        <v>-1.4648589344223195E-2</v>
      </c>
    </row>
    <row r="47" spans="2:53" x14ac:dyDescent="0.2">
      <c r="B47" s="1">
        <v>44</v>
      </c>
      <c r="C47" s="1">
        <f>-792*10^-3</f>
        <v>-0.79200000000000004</v>
      </c>
      <c r="D47" s="1">
        <f>600*10^-3</f>
        <v>0.6</v>
      </c>
      <c r="E47" s="1">
        <f t="shared" si="4"/>
        <v>-0.19200000000000006</v>
      </c>
      <c r="F47" s="1">
        <f t="shared" si="0"/>
        <v>-0.17082577906827101</v>
      </c>
      <c r="G47" s="1">
        <f>AT$26*(B47^3)+AU$26*(B47^2)+AV$26*B47+AW$26</f>
        <v>-0.16651767464660794</v>
      </c>
      <c r="H47" s="1">
        <f t="shared" si="1"/>
        <v>-0.17127467320872025</v>
      </c>
      <c r="I47" s="1"/>
      <c r="J47" s="1">
        <f t="shared" si="2"/>
        <v>-2.1174220931729049E-2</v>
      </c>
      <c r="K47" s="1">
        <f t="shared" si="5"/>
        <v>-2.5482325353392121E-2</v>
      </c>
      <c r="L47" s="1">
        <f t="shared" si="3"/>
        <v>-2.0725326791279808E-2</v>
      </c>
    </row>
    <row r="48" spans="2:53" x14ac:dyDescent="0.2">
      <c r="B48" s="1">
        <v>45</v>
      </c>
      <c r="C48" s="1">
        <f>-776*10^-3</f>
        <v>-0.77600000000000002</v>
      </c>
      <c r="D48" s="1">
        <f>632*10^-3</f>
        <v>0.63200000000000001</v>
      </c>
      <c r="E48" s="1">
        <f t="shared" si="4"/>
        <v>-0.14400000000000002</v>
      </c>
      <c r="F48" s="1">
        <f t="shared" si="0"/>
        <v>-0.14139317655593153</v>
      </c>
      <c r="G48" s="1">
        <f>AT$26*(B48^3)+AU$26*(B48^2)+AV$26*B48+AW$26</f>
        <v>-0.13969226164832871</v>
      </c>
      <c r="H48" s="1">
        <f t="shared" si="1"/>
        <v>-0.1418670388291301</v>
      </c>
      <c r="I48" s="1"/>
      <c r="J48" s="1">
        <f t="shared" si="2"/>
        <v>-2.6068234440684845E-3</v>
      </c>
      <c r="K48" s="1">
        <f t="shared" si="5"/>
        <v>-4.3077383516713086E-3</v>
      </c>
      <c r="L48" s="1">
        <f t="shared" si="3"/>
        <v>-2.1329611708699181E-3</v>
      </c>
    </row>
    <row r="49" spans="2:31" x14ac:dyDescent="0.2">
      <c r="B49" s="1">
        <v>46</v>
      </c>
      <c r="C49" s="1">
        <f>-776*10^-3</f>
        <v>-0.77600000000000002</v>
      </c>
      <c r="D49" s="1">
        <f>656*10^-3</f>
        <v>0.65600000000000003</v>
      </c>
      <c r="E49" s="1">
        <f t="shared" si="4"/>
        <v>-0.12</v>
      </c>
      <c r="F49" s="1">
        <f t="shared" si="0"/>
        <v>-0.11262084212303325</v>
      </c>
      <c r="G49" s="1">
        <f>AT$26*(B49^3)+AU$26*(B49^2)+AV$26*B49+AW$26</f>
        <v>-0.11325845547622992</v>
      </c>
      <c r="H49" s="1">
        <f t="shared" si="1"/>
        <v>-0.11311573236941408</v>
      </c>
      <c r="I49" s="1"/>
      <c r="J49" s="1">
        <f t="shared" si="2"/>
        <v>-7.3791578769667465E-3</v>
      </c>
      <c r="K49" s="1">
        <f t="shared" si="5"/>
        <v>-6.7415445237700711E-3</v>
      </c>
      <c r="L49" s="1">
        <f t="shared" si="3"/>
        <v>-6.8842676305859163E-3</v>
      </c>
    </row>
    <row r="50" spans="2:31" x14ac:dyDescent="0.2">
      <c r="B50" s="1">
        <v>47</v>
      </c>
      <c r="C50" s="1">
        <f>-768*10^-3</f>
        <v>-0.76800000000000002</v>
      </c>
      <c r="D50" s="1">
        <f>688*10^-3</f>
        <v>0.68800000000000006</v>
      </c>
      <c r="E50" s="1">
        <f t="shared" si="4"/>
        <v>-7.999999999999996E-2</v>
      </c>
      <c r="F50" s="1">
        <f t="shared" si="0"/>
        <v>-8.4496145404750145E-2</v>
      </c>
      <c r="G50" s="1">
        <f>AT$26*(B50^3)+AU$26*(B50^2)+AV$26*B50+AW$26</f>
        <v>-8.7213933893915963E-2</v>
      </c>
      <c r="H50" s="1">
        <f t="shared" si="1"/>
        <v>-8.500800281244425E-2</v>
      </c>
      <c r="I50" s="1"/>
      <c r="J50" s="1">
        <f t="shared" si="2"/>
        <v>4.4961454047501848E-3</v>
      </c>
      <c r="K50" s="1">
        <f t="shared" si="5"/>
        <v>7.2139338939160025E-3</v>
      </c>
      <c r="L50" s="1">
        <f t="shared" si="3"/>
        <v>5.0080028124442899E-3</v>
      </c>
    </row>
    <row r="51" spans="2:31" x14ac:dyDescent="0.2">
      <c r="B51" s="1">
        <v>48</v>
      </c>
      <c r="C51" s="1">
        <f>-760*10^-3</f>
        <v>-0.76</v>
      </c>
      <c r="D51" s="1">
        <f>712*10^-3</f>
        <v>0.71199999999999997</v>
      </c>
      <c r="E51" s="1">
        <f t="shared" si="4"/>
        <v>-4.8000000000000043E-2</v>
      </c>
      <c r="F51" s="1">
        <f t="shared" si="0"/>
        <v>-5.700645603625798E-2</v>
      </c>
      <c r="G51" s="1">
        <f>AT$26*(B51^3)+AU$26*(B51^2)+AV$26*B51+AW$26</f>
        <v>-6.1556374664990754E-2</v>
      </c>
      <c r="H51" s="1">
        <f t="shared" si="1"/>
        <v>-5.7531123271549856E-2</v>
      </c>
      <c r="I51" s="1"/>
      <c r="J51" s="1">
        <f t="shared" si="2"/>
        <v>9.0064560362579371E-3</v>
      </c>
      <c r="K51" s="1">
        <f t="shared" si="5"/>
        <v>1.3556374664990711E-2</v>
      </c>
      <c r="L51" s="1">
        <f t="shared" si="3"/>
        <v>9.5311232715498129E-3</v>
      </c>
    </row>
    <row r="52" spans="2:31" x14ac:dyDescent="0.2">
      <c r="B52" s="1">
        <v>49</v>
      </c>
      <c r="C52" s="1">
        <f>-752*10^-3</f>
        <v>-0.752</v>
      </c>
      <c r="D52" s="1">
        <f>744*10^-3</f>
        <v>0.74399999999999999</v>
      </c>
      <c r="E52" s="1">
        <f t="shared" si="4"/>
        <v>-8.0000000000000071E-3</v>
      </c>
      <c r="F52" s="1">
        <f t="shared" si="0"/>
        <v>-3.0139143652732514E-2</v>
      </c>
      <c r="G52" s="1">
        <f>AT$26*(B52^3)+AU$26*(B52^2)+AV$26*B52+AW$26</f>
        <v>-3.6283455553057342E-2</v>
      </c>
      <c r="H52" s="1">
        <f t="shared" si="1"/>
        <v>-3.0672390990524878E-2</v>
      </c>
      <c r="I52" s="1"/>
      <c r="J52" s="1">
        <f t="shared" si="2"/>
        <v>2.2139143652732507E-2</v>
      </c>
      <c r="K52" s="1">
        <f t="shared" si="5"/>
        <v>2.8283455553057335E-2</v>
      </c>
      <c r="L52" s="1">
        <f t="shared" si="3"/>
        <v>2.2672390990524871E-2</v>
      </c>
    </row>
    <row r="53" spans="2:31" x14ac:dyDescent="0.2">
      <c r="B53" s="1">
        <v>50</v>
      </c>
      <c r="C53" s="1">
        <f>-680*10^-3</f>
        <v>-0.68</v>
      </c>
      <c r="D53" s="1">
        <f>632*10^-3</f>
        <v>0.63200000000000001</v>
      </c>
      <c r="E53" s="1">
        <f t="shared" si="4"/>
        <v>-4.8000000000000043E-2</v>
      </c>
      <c r="F53" s="1">
        <f t="shared" si="0"/>
        <v>-3.8815778893477315E-3</v>
      </c>
      <c r="G53" s="1">
        <f>AT$26*(B53^3)+AU$26*(B53^2)+AV$26*B53+AW$26</f>
        <v>-1.1392854321720991E-2</v>
      </c>
      <c r="H53" s="1">
        <f t="shared" si="1"/>
        <v>-4.4191273436213763E-3</v>
      </c>
      <c r="I53" s="1"/>
      <c r="J53" s="1">
        <f t="shared" si="2"/>
        <v>-4.4118422110652311E-2</v>
      </c>
      <c r="K53" s="1">
        <f t="shared" si="5"/>
        <v>-3.6607145678279052E-2</v>
      </c>
      <c r="L53" s="1">
        <f t="shared" si="3"/>
        <v>-4.3580872656378666E-2</v>
      </c>
    </row>
    <row r="54" spans="2:31" x14ac:dyDescent="0.2">
      <c r="B54" s="1">
        <v>51</v>
      </c>
      <c r="C54" s="1">
        <f>-672*10^-3</f>
        <v>-0.67200000000000004</v>
      </c>
      <c r="D54" s="1">
        <f>656*10^-3</f>
        <v>0.65600000000000003</v>
      </c>
      <c r="E54" s="1">
        <f t="shared" si="4"/>
        <v>-1.6000000000000014E-2</v>
      </c>
      <c r="F54" s="1">
        <f t="shared" si="0"/>
        <v>2.177887161871972E-2</v>
      </c>
      <c r="G54" s="1">
        <f>AT$26*(B54^3)+AU$26*(B54^2)+AV$26*B54+AW$26</f>
        <v>1.3117751265414812E-2</v>
      </c>
      <c r="H54" s="1">
        <f t="shared" si="1"/>
        <v>2.1241322164446519E-2</v>
      </c>
      <c r="I54" s="1"/>
      <c r="J54" s="1">
        <f t="shared" si="2"/>
        <v>-3.7778871618719734E-2</v>
      </c>
      <c r="K54" s="1">
        <f t="shared" si="5"/>
        <v>-2.9117751265414826E-2</v>
      </c>
      <c r="L54" s="1">
        <f t="shared" si="3"/>
        <v>-3.7241322164446533E-2</v>
      </c>
    </row>
    <row r="55" spans="2:31" ht="16" x14ac:dyDescent="0.2">
      <c r="B55" s="1">
        <v>52</v>
      </c>
      <c r="C55" s="1">
        <f>-672*10^-3</f>
        <v>-0.67200000000000004</v>
      </c>
      <c r="D55" s="1">
        <f>680*10^-3</f>
        <v>0.68</v>
      </c>
      <c r="E55" s="45">
        <f t="shared" si="4"/>
        <v>8.0000000000000071E-3</v>
      </c>
      <c r="F55" s="1">
        <f t="shared" si="0"/>
        <v>4.6854835236294967E-2</v>
      </c>
      <c r="G55" s="1">
        <f>AT$26*(B55^3)+AU$26*(B55^2)+AV$26*B55+AW$26</f>
        <v>3.7250683444746358E-2</v>
      </c>
      <c r="H55" s="1">
        <f t="shared" si="1"/>
        <v>4.6321587898502603E-2</v>
      </c>
      <c r="I55" s="1"/>
      <c r="J55" s="1">
        <f t="shared" si="2"/>
        <v>-3.885483523629496E-2</v>
      </c>
      <c r="K55" s="1">
        <f t="shared" si="5"/>
        <v>-2.925068344474635E-2</v>
      </c>
      <c r="L55" s="1">
        <f t="shared" si="3"/>
        <v>-3.8321587898502596E-2</v>
      </c>
      <c r="N55" s="58" t="s">
        <v>92</v>
      </c>
      <c r="O55" s="58"/>
      <c r="P55" s="58"/>
      <c r="Q55" s="58"/>
      <c r="R55" s="58"/>
      <c r="S55" s="58"/>
      <c r="T55" s="58"/>
      <c r="U55" s="58"/>
    </row>
    <row r="56" spans="2:31" x14ac:dyDescent="0.2">
      <c r="B56" s="1">
        <v>53</v>
      </c>
      <c r="C56" s="1">
        <f>-672*10^-3</f>
        <v>-0.67200000000000004</v>
      </c>
      <c r="D56" s="1">
        <f>712*10^-3</f>
        <v>0.71199999999999997</v>
      </c>
      <c r="E56" s="45">
        <f t="shared" si="4"/>
        <v>3.9999999999999925E-2</v>
      </c>
      <c r="F56" s="1">
        <f t="shared" si="0"/>
        <v>7.1358943328203583E-2</v>
      </c>
      <c r="G56" s="1">
        <f>AT$26*(B56^3)+AU$26*(B56^2)+AV$26*B56+AW$26</f>
        <v>6.1008264452670158E-2</v>
      </c>
      <c r="H56" s="1">
        <f t="shared" si="1"/>
        <v>7.0834276092911708E-2</v>
      </c>
      <c r="I56" s="1"/>
      <c r="J56" s="1">
        <f t="shared" si="2"/>
        <v>-3.1358943328203659E-2</v>
      </c>
      <c r="K56" s="1">
        <f t="shared" si="5"/>
        <v>-2.1008264452670233E-2</v>
      </c>
      <c r="L56" s="1">
        <f t="shared" si="3"/>
        <v>-3.0834276092911783E-2</v>
      </c>
    </row>
    <row r="57" spans="2:31" x14ac:dyDescent="0.2">
      <c r="B57" s="1">
        <v>54</v>
      </c>
      <c r="C57" s="1">
        <f>-656*10^-3</f>
        <v>-0.65600000000000003</v>
      </c>
      <c r="D57" s="1">
        <f>744*10^-3</f>
        <v>0.74399999999999999</v>
      </c>
      <c r="E57" s="1">
        <f t="shared" si="4"/>
        <v>8.7999999999999967E-2</v>
      </c>
      <c r="F57" s="1">
        <f t="shared" si="0"/>
        <v>9.5303826259269364E-2</v>
      </c>
      <c r="G57" s="1">
        <f>AT$26*(B57^3)+AU$26*(B57^2)+AV$26*B57+AW$26</f>
        <v>8.4392816525580949E-2</v>
      </c>
      <c r="H57" s="1">
        <f t="shared" si="1"/>
        <v>9.4791968851575259E-2</v>
      </c>
      <c r="I57" s="1"/>
      <c r="J57" s="1">
        <f t="shared" si="2"/>
        <v>-7.303826259269397E-3</v>
      </c>
      <c r="K57" s="1">
        <f t="shared" si="5"/>
        <v>3.6071834744190179E-3</v>
      </c>
      <c r="L57" s="1">
        <f t="shared" si="3"/>
        <v>-6.7919688515752918E-3</v>
      </c>
      <c r="AA57" s="53" t="s">
        <v>82</v>
      </c>
      <c r="AB57" s="53"/>
      <c r="AC57" s="53"/>
      <c r="AD57" s="53"/>
      <c r="AE57" s="53"/>
    </row>
    <row r="58" spans="2:31" x14ac:dyDescent="0.2">
      <c r="B58" s="1">
        <v>55</v>
      </c>
      <c r="C58" s="1">
        <f>-648*10^-3</f>
        <v>-0.64800000000000002</v>
      </c>
      <c r="D58" s="1">
        <f>776*10^-3</f>
        <v>0.77600000000000002</v>
      </c>
      <c r="E58" s="1">
        <f t="shared" si="4"/>
        <v>0.128</v>
      </c>
      <c r="F58" s="1">
        <f t="shared" si="0"/>
        <v>0.11870211439431699</v>
      </c>
      <c r="G58" s="1">
        <f>AT$26*(B58^3)+AU$26*(B58^2)+AV$26*B58+AW$26</f>
        <v>0.10740666189987569</v>
      </c>
      <c r="H58" s="1">
        <f t="shared" si="1"/>
        <v>0.11820722414793616</v>
      </c>
      <c r="I58" s="1"/>
      <c r="J58" s="1">
        <f t="shared" si="2"/>
        <v>9.2978856056830095E-3</v>
      </c>
      <c r="K58" s="1">
        <f t="shared" si="5"/>
        <v>2.0593338100124314E-2</v>
      </c>
      <c r="L58" s="1">
        <f t="shared" si="3"/>
        <v>9.7927758520638397E-3</v>
      </c>
      <c r="AA58" s="50" t="s">
        <v>81</v>
      </c>
      <c r="AB58" s="50" t="s">
        <v>67</v>
      </c>
      <c r="AC58" s="50" t="s">
        <v>68</v>
      </c>
      <c r="AD58" s="50" t="s">
        <v>69</v>
      </c>
      <c r="AE58" s="50" t="s">
        <v>27</v>
      </c>
    </row>
    <row r="59" spans="2:31" x14ac:dyDescent="0.2">
      <c r="B59" s="1">
        <v>56</v>
      </c>
      <c r="C59" s="1">
        <f>-632*10^-3</f>
        <v>-0.63200000000000001</v>
      </c>
      <c r="D59" s="1">
        <f>800*10^-3</f>
        <v>0.8</v>
      </c>
      <c r="E59" s="1">
        <f t="shared" si="4"/>
        <v>0.16800000000000004</v>
      </c>
      <c r="F59" s="1">
        <f t="shared" si="0"/>
        <v>0.14156643809817204</v>
      </c>
      <c r="G59" s="1">
        <f>AT$26*(B59^3)+AU$26*(B59^2)+AV$26*B59+AW$26</f>
        <v>0.13005212281195044</v>
      </c>
      <c r="H59" s="1">
        <f t="shared" si="1"/>
        <v>0.14109257582497392</v>
      </c>
      <c r="I59" s="1"/>
      <c r="J59" s="1">
        <f t="shared" si="2"/>
        <v>2.6433561901827995E-2</v>
      </c>
      <c r="K59" s="1">
        <f t="shared" si="5"/>
        <v>3.7947877188049595E-2</v>
      </c>
      <c r="L59" s="1">
        <f t="shared" si="3"/>
        <v>2.6907424175026118E-2</v>
      </c>
      <c r="AA59" s="2" cm="1">
        <f t="array" ref="AA59:AE63">LINEST(E4:E103,B4:B103^{1,2,3,4},1,1)</f>
        <v>-1.0054358762529953E-9</v>
      </c>
      <c r="AB59" s="2">
        <v>2.3081588511248638E-6</v>
      </c>
      <c r="AC59" s="2">
        <v>-6.2754835350705134E-4</v>
      </c>
      <c r="AD59" s="2">
        <v>7.1901111411204879E-2</v>
      </c>
      <c r="AE59" s="2">
        <v>-2.3128396963002635</v>
      </c>
    </row>
    <row r="60" spans="2:31" x14ac:dyDescent="0.2">
      <c r="B60" s="1">
        <v>57</v>
      </c>
      <c r="C60" s="1">
        <f>-632*10^-3</f>
        <v>-0.63200000000000001</v>
      </c>
      <c r="D60" s="1">
        <f>816*10^-3</f>
        <v>0.81600000000000006</v>
      </c>
      <c r="E60" s="1">
        <f t="shared" si="4"/>
        <v>0.18400000000000005</v>
      </c>
      <c r="F60" s="1">
        <f t="shared" si="0"/>
        <v>0.16390942773565831</v>
      </c>
      <c r="G60" s="1">
        <f>AT$26*(B60^3)+AU$26*(B60^2)+AV$26*B60+AW$26</f>
        <v>0.15233152149820106</v>
      </c>
      <c r="H60" s="1">
        <f t="shared" si="1"/>
        <v>0.16346053359520907</v>
      </c>
      <c r="I60" s="1"/>
      <c r="J60" s="1">
        <f t="shared" si="2"/>
        <v>2.0090572264341744E-2</v>
      </c>
      <c r="K60" s="1">
        <f t="shared" si="5"/>
        <v>3.1668478501798991E-2</v>
      </c>
      <c r="L60" s="1">
        <f t="shared" si="3"/>
        <v>2.0539466404790985E-2</v>
      </c>
      <c r="Z60" s="54" t="s">
        <v>0</v>
      </c>
      <c r="AA60" s="2">
        <v>7.228721508653772E-9</v>
      </c>
      <c r="AB60" s="2">
        <v>1.4715004103438943E-6</v>
      </c>
      <c r="AC60" s="2">
        <v>9.9149762994806126E-5</v>
      </c>
      <c r="AD60" s="2">
        <v>2.4799873790192404E-3</v>
      </c>
      <c r="AE60" s="2">
        <v>1.8270251801174548E-2</v>
      </c>
    </row>
    <row r="61" spans="2:31" ht="17" x14ac:dyDescent="0.2">
      <c r="B61" s="1">
        <v>58</v>
      </c>
      <c r="C61" s="1">
        <f>-624*10^-3</f>
        <v>-0.624</v>
      </c>
      <c r="D61" s="1">
        <f>840*10^-3</f>
        <v>0.84</v>
      </c>
      <c r="E61" s="1">
        <f t="shared" si="4"/>
        <v>0.21599999999999997</v>
      </c>
      <c r="F61" s="1">
        <f t="shared" si="0"/>
        <v>0.18574371367160136</v>
      </c>
      <c r="G61" s="1">
        <f>AT$26*(B61^3)+AU$26*(B61^2)+AV$26*B61+AW$26</f>
        <v>0.17424718019502383</v>
      </c>
      <c r="H61" s="1">
        <f t="shared" si="1"/>
        <v>0.18532358304070007</v>
      </c>
      <c r="I61" s="1"/>
      <c r="J61" s="1">
        <f t="shared" si="2"/>
        <v>3.0256286328398607E-2</v>
      </c>
      <c r="K61" s="1">
        <f t="shared" si="5"/>
        <v>4.1752819804976138E-2</v>
      </c>
      <c r="L61" s="1">
        <f t="shared" si="3"/>
        <v>3.0676416959299901E-2</v>
      </c>
      <c r="Z61" s="54" t="s">
        <v>70</v>
      </c>
      <c r="AA61" s="40">
        <v>0.9984897083744535</v>
      </c>
      <c r="AB61" s="41">
        <v>3.4370857909152924E-2</v>
      </c>
      <c r="AC61" s="2" t="e">
        <v>#N/A</v>
      </c>
      <c r="AD61" s="2" t="e">
        <v>#N/A</v>
      </c>
      <c r="AE61" s="2" t="e">
        <v>#N/A</v>
      </c>
    </row>
    <row r="62" spans="2:31" x14ac:dyDescent="0.2">
      <c r="B62" s="1">
        <v>59</v>
      </c>
      <c r="C62" s="1">
        <f>-624*10^-3</f>
        <v>-0.624</v>
      </c>
      <c r="D62" s="1">
        <f>872*10^-3</f>
        <v>0.872</v>
      </c>
      <c r="E62" s="1">
        <f t="shared" si="4"/>
        <v>0.248</v>
      </c>
      <c r="F62" s="1">
        <f t="shared" si="0"/>
        <v>0.20708192627082367</v>
      </c>
      <c r="G62" s="1">
        <f>AT$26*(B62^3)+AU$26*(B62^2)+AV$26*B62+AW$26</f>
        <v>0.19580142113881438</v>
      </c>
      <c r="H62" s="1">
        <f t="shared" si="1"/>
        <v>0.20669418561304242</v>
      </c>
      <c r="I62" s="1"/>
      <c r="J62" s="1">
        <f t="shared" si="2"/>
        <v>4.091807372917633E-2</v>
      </c>
      <c r="K62" s="1">
        <f t="shared" si="5"/>
        <v>5.2198578861185618E-2</v>
      </c>
      <c r="L62" s="1">
        <f t="shared" si="3"/>
        <v>4.1305814386957573E-2</v>
      </c>
      <c r="AA62">
        <v>15701.68977485607</v>
      </c>
      <c r="AB62">
        <v>95</v>
      </c>
      <c r="AC62" t="e">
        <v>#N/A</v>
      </c>
      <c r="AD62" t="e">
        <v>#N/A</v>
      </c>
      <c r="AE62" t="e">
        <v>#N/A</v>
      </c>
    </row>
    <row r="63" spans="2:31" x14ac:dyDescent="0.2">
      <c r="B63" s="1">
        <v>60</v>
      </c>
      <c r="C63" s="1">
        <f>-568*10^-3</f>
        <v>-0.56800000000000006</v>
      </c>
      <c r="D63" s="1">
        <f>768*10^-3</f>
        <v>0.76800000000000002</v>
      </c>
      <c r="E63" s="1">
        <f t="shared" si="4"/>
        <v>0.19999999999999996</v>
      </c>
      <c r="F63" s="1">
        <f t="shared" si="0"/>
        <v>0.22793669589815346</v>
      </c>
      <c r="G63" s="1">
        <f>AT$26*(B63^3)+AU$26*(B63^2)+AV$26*B63+AW$26</f>
        <v>0.216996566565969</v>
      </c>
      <c r="H63" s="1">
        <f t="shared" si="1"/>
        <v>0.22758477863337623</v>
      </c>
      <c r="I63" s="1"/>
      <c r="J63" s="1">
        <f t="shared" si="2"/>
        <v>-2.7936695898153507E-2</v>
      </c>
      <c r="K63" s="1">
        <f t="shared" si="5"/>
        <v>-1.699656656596904E-2</v>
      </c>
      <c r="L63" s="1">
        <f t="shared" si="3"/>
        <v>-2.7584778633376272E-2</v>
      </c>
      <c r="AA63">
        <v>74.197133752025948</v>
      </c>
      <c r="AB63">
        <v>0.11222880797406209</v>
      </c>
      <c r="AC63" t="e">
        <v>#N/A</v>
      </c>
      <c r="AD63" t="e">
        <v>#N/A</v>
      </c>
      <c r="AE63" t="e">
        <v>#N/A</v>
      </c>
    </row>
    <row r="64" spans="2:31" x14ac:dyDescent="0.2">
      <c r="B64" s="1">
        <v>61</v>
      </c>
      <c r="C64" s="1">
        <f>-568*10^-3</f>
        <v>-0.56800000000000006</v>
      </c>
      <c r="D64" s="1">
        <f>792*10^-3</f>
        <v>0.79200000000000004</v>
      </c>
      <c r="E64" s="1">
        <f t="shared" si="4"/>
        <v>0.22399999999999998</v>
      </c>
      <c r="F64" s="1">
        <f t="shared" si="0"/>
        <v>0.24832065291841365</v>
      </c>
      <c r="G64" s="1">
        <f>AT$26*(B64^3)+AU$26*(B64^2)+AV$26*B64+AW$26</f>
        <v>0.23783493871288353</v>
      </c>
      <c r="H64" s="1">
        <f t="shared" si="1"/>
        <v>0.24800777529237417</v>
      </c>
      <c r="I64" s="1"/>
      <c r="J64" s="1">
        <f t="shared" si="2"/>
        <v>-2.4320652918413677E-2</v>
      </c>
      <c r="K64" s="1">
        <f t="shared" si="5"/>
        <v>-1.3834938712883549E-2</v>
      </c>
      <c r="L64" s="1">
        <f t="shared" si="3"/>
        <v>-2.4007775292374189E-2</v>
      </c>
    </row>
    <row r="65" spans="2:12" x14ac:dyDescent="0.2">
      <c r="B65" s="1">
        <v>62</v>
      </c>
      <c r="C65" s="1">
        <f>-560*10^-3</f>
        <v>-0.56000000000000005</v>
      </c>
      <c r="D65" s="1">
        <f>816*10^-3</f>
        <v>0.81600000000000006</v>
      </c>
      <c r="E65" s="1">
        <f t="shared" si="4"/>
        <v>0.25600000000000001</v>
      </c>
      <c r="F65" s="1">
        <f t="shared" si="0"/>
        <v>0.26824642769642892</v>
      </c>
      <c r="G65" s="1">
        <f>AT$26*(B65^3)+AU$26*(B65^2)+AV$26*B65+AW$26</f>
        <v>0.25831885981595515</v>
      </c>
      <c r="H65" s="1">
        <f t="shared" si="1"/>
        <v>0.26797556465025218</v>
      </c>
      <c r="I65" s="1"/>
      <c r="J65" s="1">
        <f t="shared" si="2"/>
        <v>-1.2246427696428919E-2</v>
      </c>
      <c r="K65" s="1">
        <f t="shared" si="5"/>
        <v>-2.3188598159551432E-3</v>
      </c>
      <c r="L65" s="1">
        <f t="shared" si="3"/>
        <v>-1.197556465025218E-2</v>
      </c>
    </row>
    <row r="66" spans="2:12" x14ac:dyDescent="0.2">
      <c r="B66" s="1">
        <v>63</v>
      </c>
      <c r="C66" s="1">
        <f>-560*10^-3</f>
        <v>-0.56000000000000005</v>
      </c>
      <c r="D66" s="1">
        <f>840*10^-3</f>
        <v>0.84</v>
      </c>
      <c r="E66" s="1">
        <f t="shared" si="4"/>
        <v>0.27999999999999992</v>
      </c>
      <c r="F66" s="1">
        <f t="shared" si="0"/>
        <v>0.2877266505970244</v>
      </c>
      <c r="G66" s="1">
        <f>AT$26*(B66^3)+AU$26*(B66^2)+AV$26*B66+AW$26</f>
        <v>0.27845065211157816</v>
      </c>
      <c r="H66" s="1">
        <f t="shared" si="1"/>
        <v>0.28750051163676149</v>
      </c>
      <c r="I66" s="1"/>
      <c r="J66" s="1">
        <f t="shared" si="2"/>
        <v>-7.726650597024487E-3</v>
      </c>
      <c r="K66" s="1">
        <f t="shared" si="5"/>
        <v>1.5493478884217593E-3</v>
      </c>
      <c r="L66" s="1">
        <f t="shared" si="3"/>
        <v>-7.5005116367615754E-3</v>
      </c>
    </row>
    <row r="67" spans="2:12" x14ac:dyDescent="0.2">
      <c r="B67" s="1">
        <v>64</v>
      </c>
      <c r="C67" s="1">
        <f>-560*10^-3</f>
        <v>-0.56000000000000005</v>
      </c>
      <c r="D67" s="1">
        <f>864*10^-3</f>
        <v>0.86399999999999999</v>
      </c>
      <c r="E67" s="1">
        <f t="shared" si="4"/>
        <v>0.30399999999999994</v>
      </c>
      <c r="F67" s="1">
        <f t="shared" si="0"/>
        <v>0.30677395198502433</v>
      </c>
      <c r="G67" s="1">
        <f>AT$26*(B67^3)+AU$26*(B67^2)+AV$26*B67+AW$26</f>
        <v>0.29823263783614951</v>
      </c>
      <c r="H67" s="1">
        <f t="shared" si="1"/>
        <v>0.30659495705119699</v>
      </c>
      <c r="I67" s="1"/>
      <c r="J67" s="1">
        <f t="shared" si="2"/>
        <v>-2.7739519850243921E-3</v>
      </c>
      <c r="K67" s="1">
        <f t="shared" si="5"/>
        <v>5.7673621638504313E-3</v>
      </c>
      <c r="L67" s="1">
        <f t="shared" si="3"/>
        <v>-2.5949570511970554E-3</v>
      </c>
    </row>
    <row r="68" spans="2:12" x14ac:dyDescent="0.2">
      <c r="B68" s="1">
        <v>65</v>
      </c>
      <c r="C68" s="1">
        <f>-552*10^-3</f>
        <v>-0.55200000000000005</v>
      </c>
      <c r="D68" s="1">
        <f>880*10^-3</f>
        <v>0.88</v>
      </c>
      <c r="E68" s="1">
        <f t="shared" si="4"/>
        <v>0.32799999999999996</v>
      </c>
      <c r="F68" s="1">
        <f t="shared" si="0"/>
        <v>0.32540096222525428</v>
      </c>
      <c r="G68" s="1">
        <f>AT$26*(B68^3)+AU$26*(B68^2)+AV$26*B68+AW$26</f>
        <v>0.31766713922606526</v>
      </c>
      <c r="H68" s="1">
        <f t="shared" si="1"/>
        <v>0.3252712175623893</v>
      </c>
      <c r="I68" s="1"/>
      <c r="J68" s="1">
        <f t="shared" si="2"/>
        <v>2.5990377747456828E-3</v>
      </c>
      <c r="K68" s="1">
        <f t="shared" si="5"/>
        <v>1.0332860773934693E-2</v>
      </c>
      <c r="L68" s="1">
        <f t="shared" si="3"/>
        <v>2.7287824376106551E-3</v>
      </c>
    </row>
    <row r="69" spans="2:12" x14ac:dyDescent="0.2">
      <c r="B69" s="1">
        <v>66</v>
      </c>
      <c r="C69" s="1">
        <f>-544*10^-3</f>
        <v>-0.54400000000000004</v>
      </c>
      <c r="D69" s="1">
        <f>904*10^-3</f>
        <v>0.90400000000000003</v>
      </c>
      <c r="E69" s="1">
        <f t="shared" ref="E69:E115" si="6">D69+C69</f>
        <v>0.36</v>
      </c>
      <c r="F69" s="1">
        <f t="shared" ref="F69:F103" si="7">AA$26*(B69^3)+AB$26*(B69^2)+AC$26*B69+AD$26</f>
        <v>0.34362031168253759</v>
      </c>
      <c r="G69" s="1">
        <f>AT$26*(B69^3)+AU$26*(B69^2)+AV$26*B69+AW$26</f>
        <v>0.3367564785177215</v>
      </c>
      <c r="H69" s="1">
        <f t="shared" ref="H69:H103" si="8">AA$59*(B69^4)+AB$59*(B69^3)+AC$59*(B69^2)+AD$59*B69+AE$59</f>
        <v>0.34354158570870696</v>
      </c>
      <c r="I69" s="1"/>
      <c r="J69" s="1">
        <f t="shared" ref="J69:J115" si="9">E69-F69</f>
        <v>1.6379688317462393E-2</v>
      </c>
      <c r="K69" s="1">
        <f t="shared" si="5"/>
        <v>2.3243521482278484E-2</v>
      </c>
      <c r="L69" s="1">
        <f t="shared" ref="L69:L103" si="10">E69-H69</f>
        <v>1.6458414291293022E-2</v>
      </c>
    </row>
    <row r="70" spans="2:12" x14ac:dyDescent="0.2">
      <c r="B70" s="1">
        <v>67</v>
      </c>
      <c r="C70" s="1">
        <f>-544*10^-3</f>
        <v>-0.54400000000000004</v>
      </c>
      <c r="D70" s="1">
        <f>928*10^-3</f>
        <v>0.92800000000000005</v>
      </c>
      <c r="E70" s="1">
        <f t="shared" si="6"/>
        <v>0.38400000000000001</v>
      </c>
      <c r="F70" s="1">
        <f t="shared" si="7"/>
        <v>0.3614446307217003</v>
      </c>
      <c r="G70" s="1">
        <f>AT$26*(B70^3)+AU$26*(B70^2)+AV$26*B70+AW$26</f>
        <v>0.35550297794751429</v>
      </c>
      <c r="H70" s="1">
        <f t="shared" si="8"/>
        <v>0.36141832989806222</v>
      </c>
      <c r="I70" s="1"/>
      <c r="J70" s="1">
        <f t="shared" si="9"/>
        <v>2.2555369278299708E-2</v>
      </c>
      <c r="K70" s="1">
        <f t="shared" si="5"/>
        <v>2.8497022052485721E-2</v>
      </c>
      <c r="L70" s="1">
        <f t="shared" si="10"/>
        <v>2.258167010193779E-2</v>
      </c>
    </row>
    <row r="71" spans="2:12" x14ac:dyDescent="0.2">
      <c r="B71" s="1">
        <v>68</v>
      </c>
      <c r="C71" s="1">
        <f>-536*10^-3</f>
        <v>-0.53600000000000003</v>
      </c>
      <c r="D71" s="1">
        <f>944*10^-3</f>
        <v>0.94400000000000006</v>
      </c>
      <c r="E71" s="1">
        <f t="shared" si="6"/>
        <v>0.40800000000000003</v>
      </c>
      <c r="F71" s="1">
        <f t="shared" si="7"/>
        <v>0.37888654970756708</v>
      </c>
      <c r="G71" s="1">
        <f>AT$26*(B71^3)+AU$26*(B71^2)+AV$26*B71+AW$26</f>
        <v>0.37390895975183969</v>
      </c>
      <c r="H71" s="1">
        <f t="shared" si="8"/>
        <v>0.37891369440790124</v>
      </c>
      <c r="I71" s="1"/>
      <c r="J71" s="1">
        <f t="shared" si="9"/>
        <v>2.9113450292432952E-2</v>
      </c>
      <c r="K71" s="1">
        <f t="shared" si="5"/>
        <v>3.4091040248160343E-2</v>
      </c>
      <c r="L71" s="1">
        <f t="shared" si="10"/>
        <v>2.9086305592098793E-2</v>
      </c>
    </row>
    <row r="72" spans="2:12" x14ac:dyDescent="0.2">
      <c r="B72" s="1">
        <v>69</v>
      </c>
      <c r="C72" s="1">
        <f>-536*10^-3</f>
        <v>-0.53600000000000003</v>
      </c>
      <c r="D72" s="1">
        <f>968*10^-3</f>
        <v>0.96799999999999997</v>
      </c>
      <c r="E72" s="1">
        <f t="shared" si="6"/>
        <v>0.43199999999999994</v>
      </c>
      <c r="F72" s="1">
        <f t="shared" si="7"/>
        <v>0.39595869900496172</v>
      </c>
      <c r="G72" s="1">
        <f>AT$26*(B72^3)+AU$26*(B72^2)+AV$26*B72+AW$26</f>
        <v>0.39197674616709288</v>
      </c>
      <c r="H72" s="1">
        <f t="shared" si="8"/>
        <v>0.39603989938521256</v>
      </c>
      <c r="I72" s="1"/>
      <c r="J72" s="1">
        <f t="shared" si="9"/>
        <v>3.6041300995038217E-2</v>
      </c>
      <c r="K72" s="1">
        <f t="shared" si="5"/>
        <v>4.0023253832907058E-2</v>
      </c>
      <c r="L72" s="1">
        <f t="shared" si="10"/>
        <v>3.5960100614787383E-2</v>
      </c>
    </row>
    <row r="73" spans="2:12" x14ac:dyDescent="0.2">
      <c r="B73" s="1">
        <v>70</v>
      </c>
      <c r="C73" s="1">
        <f>-456*10^-3</f>
        <v>-0.45600000000000002</v>
      </c>
      <c r="D73" s="1">
        <f>832*10^-3</f>
        <v>0.83200000000000007</v>
      </c>
      <c r="E73" s="1">
        <f t="shared" si="6"/>
        <v>0.37600000000000006</v>
      </c>
      <c r="F73" s="1">
        <f t="shared" si="7"/>
        <v>0.41267370897870848</v>
      </c>
      <c r="G73" s="1">
        <f>AT$26*(B73^3)+AU$26*(B73^2)+AV$26*B73+AW$26</f>
        <v>0.40970865942967172</v>
      </c>
      <c r="H73" s="1">
        <f t="shared" si="8"/>
        <v>0.41280914084651998</v>
      </c>
      <c r="I73" s="1"/>
      <c r="J73" s="1">
        <f t="shared" si="9"/>
        <v>-3.6673708978708419E-2</v>
      </c>
      <c r="K73" s="1">
        <f t="shared" si="5"/>
        <v>-3.3708659429671661E-2</v>
      </c>
      <c r="L73" s="1">
        <f t="shared" si="10"/>
        <v>-3.6809140846519928E-2</v>
      </c>
    </row>
    <row r="74" spans="2:12" x14ac:dyDescent="0.2">
      <c r="B74" s="1">
        <v>71</v>
      </c>
      <c r="C74" s="1">
        <f>-456*10^-3</f>
        <v>-0.45600000000000002</v>
      </c>
      <c r="D74" s="1">
        <f>848*10^-3</f>
        <v>0.84799999999999998</v>
      </c>
      <c r="E74" s="1">
        <f t="shared" si="6"/>
        <v>0.39199999999999996</v>
      </c>
      <c r="F74" s="1">
        <f t="shared" si="7"/>
        <v>0.42904420999363424</v>
      </c>
      <c r="G74" s="1">
        <f>AT$26*(B74^3)+AU$26*(B74^2)+AV$26*B74+AW$26</f>
        <v>0.42710702177597093</v>
      </c>
      <c r="H74" s="1">
        <f t="shared" si="8"/>
        <v>0.42923359067789191</v>
      </c>
      <c r="I74" s="1"/>
      <c r="J74" s="1">
        <f t="shared" si="9"/>
        <v>-3.7044209993634281E-2</v>
      </c>
      <c r="K74" s="1">
        <f t="shared" si="5"/>
        <v>-3.510702177597097E-2</v>
      </c>
      <c r="L74" s="1">
        <f t="shared" si="10"/>
        <v>-3.7233590677891948E-2</v>
      </c>
    </row>
    <row r="75" spans="2:12" x14ac:dyDescent="0.2">
      <c r="B75" s="1">
        <v>72</v>
      </c>
      <c r="C75" s="1">
        <f>-456*10^-3</f>
        <v>-0.45600000000000002</v>
      </c>
      <c r="D75" s="1">
        <f>872*10^-3</f>
        <v>0.872</v>
      </c>
      <c r="E75" s="1">
        <f t="shared" si="6"/>
        <v>0.41599999999999998</v>
      </c>
      <c r="F75" s="1">
        <f t="shared" si="7"/>
        <v>0.44508283241456237</v>
      </c>
      <c r="G75" s="1">
        <f>AT$26*(B75^3)+AU$26*(B75^2)+AV$26*B75+AW$26</f>
        <v>0.44417415544238659</v>
      </c>
      <c r="H75" s="1">
        <f t="shared" si="8"/>
        <v>0.4453253966349302</v>
      </c>
      <c r="I75" s="1"/>
      <c r="J75" s="1">
        <f t="shared" si="9"/>
        <v>-2.9082832414562387E-2</v>
      </c>
      <c r="K75" s="1">
        <f t="shared" si="5"/>
        <v>-2.8174155442386606E-2</v>
      </c>
      <c r="L75" s="1">
        <f t="shared" si="10"/>
        <v>-2.9325396634930223E-2</v>
      </c>
    </row>
    <row r="76" spans="2:12" x14ac:dyDescent="0.2">
      <c r="B76" s="1">
        <v>73</v>
      </c>
      <c r="C76" s="1">
        <f>-456*10^-3</f>
        <v>-0.45600000000000002</v>
      </c>
      <c r="D76" s="1">
        <f>896*10^-3</f>
        <v>0.89600000000000002</v>
      </c>
      <c r="E76" s="1">
        <f t="shared" si="6"/>
        <v>0.44</v>
      </c>
      <c r="F76" s="1">
        <f t="shared" si="7"/>
        <v>0.46080220660631754</v>
      </c>
      <c r="G76" s="1">
        <f>AT$26*(B76^3)+AU$26*(B76^2)+AV$26*B76+AW$26</f>
        <v>0.4609123826653152</v>
      </c>
      <c r="H76" s="1">
        <f t="shared" si="8"/>
        <v>0.46109668234277779</v>
      </c>
      <c r="I76" s="1"/>
      <c r="J76" s="1">
        <f t="shared" si="9"/>
        <v>-2.0802206606317541E-2</v>
      </c>
      <c r="K76" s="1">
        <f t="shared" si="5"/>
        <v>-2.0912382665315199E-2</v>
      </c>
      <c r="L76" s="1">
        <f t="shared" si="10"/>
        <v>-2.1096682342777784E-2</v>
      </c>
    </row>
    <row r="77" spans="2:12" x14ac:dyDescent="0.2">
      <c r="B77" s="1">
        <v>74</v>
      </c>
      <c r="C77" s="1">
        <f>-456*10^-3</f>
        <v>-0.45600000000000002</v>
      </c>
      <c r="D77" s="1">
        <f>912*10^-3</f>
        <v>0.91200000000000003</v>
      </c>
      <c r="E77" s="1">
        <f t="shared" si="6"/>
        <v>0.45600000000000002</v>
      </c>
      <c r="F77" s="1">
        <f t="shared" si="7"/>
        <v>0.47621496293372534</v>
      </c>
      <c r="G77" s="1">
        <f>AT$26*(B77^3)+AU$26*(B77^2)+AV$26*B77+AW$26</f>
        <v>0.4773240256811524</v>
      </c>
      <c r="H77" s="1">
        <f t="shared" si="8"/>
        <v>0.47655954729611905</v>
      </c>
      <c r="I77" s="1"/>
      <c r="J77" s="1">
        <f t="shared" si="9"/>
        <v>-2.0214962933725322E-2</v>
      </c>
      <c r="K77" s="1">
        <f t="shared" si="5"/>
        <v>-2.1324025681152381E-2</v>
      </c>
      <c r="L77" s="1">
        <f t="shared" si="10"/>
        <v>-2.055954729611903E-2</v>
      </c>
    </row>
    <row r="78" spans="2:12" x14ac:dyDescent="0.2">
      <c r="B78" s="1">
        <v>75</v>
      </c>
      <c r="C78" s="1">
        <f>-440*10^-3</f>
        <v>-0.44</v>
      </c>
      <c r="D78" s="1">
        <f>928*10^-3</f>
        <v>0.92800000000000005</v>
      </c>
      <c r="E78" s="1">
        <f t="shared" si="6"/>
        <v>0.48800000000000004</v>
      </c>
      <c r="F78" s="1">
        <f t="shared" si="7"/>
        <v>0.49133373176160955</v>
      </c>
      <c r="G78" s="1">
        <f>AT$26*(B78^3)+AU$26*(B78^2)+AV$26*B78+AW$26</f>
        <v>0.49341140672629469</v>
      </c>
      <c r="H78" s="1">
        <f t="shared" si="8"/>
        <v>0.49172606685917319</v>
      </c>
      <c r="I78" s="1"/>
      <c r="J78" s="1">
        <f t="shared" si="9"/>
        <v>-3.3337317616095041E-3</v>
      </c>
      <c r="K78" s="1">
        <f t="shared" si="5"/>
        <v>-5.411406726294643E-3</v>
      </c>
      <c r="L78" s="1">
        <f t="shared" si="10"/>
        <v>-3.7260668591731494E-3</v>
      </c>
    </row>
    <row r="79" spans="2:12" x14ac:dyDescent="0.2">
      <c r="B79" s="1">
        <v>76</v>
      </c>
      <c r="C79" s="1">
        <f>-440*10^-3</f>
        <v>-0.44</v>
      </c>
      <c r="D79" s="1">
        <f>960*10^-3</f>
        <v>0.96</v>
      </c>
      <c r="E79" s="1">
        <f t="shared" si="6"/>
        <v>0.52</v>
      </c>
      <c r="F79" s="1">
        <f t="shared" si="7"/>
        <v>0.5061711434547953</v>
      </c>
      <c r="G79" s="1">
        <f>AT$26*(B79^3)+AU$26*(B79^2)+AV$26*B79+AW$26</f>
        <v>0.50917684803713814</v>
      </c>
      <c r="H79" s="1">
        <f t="shared" si="8"/>
        <v>0.50660829226569959</v>
      </c>
      <c r="I79" s="1"/>
      <c r="J79" s="1">
        <f t="shared" si="9"/>
        <v>1.3828856545204715E-2</v>
      </c>
      <c r="K79" s="1">
        <f t="shared" si="5"/>
        <v>1.0823151962861877E-2</v>
      </c>
      <c r="L79" s="1">
        <f t="shared" si="10"/>
        <v>1.3391707734300429E-2</v>
      </c>
    </row>
    <row r="80" spans="2:12" x14ac:dyDescent="0.2">
      <c r="B80" s="1">
        <v>77</v>
      </c>
      <c r="C80" s="1">
        <f>-440*10^-3</f>
        <v>-0.44</v>
      </c>
      <c r="D80" s="1">
        <f>976*10^-3</f>
        <v>0.97599999999999998</v>
      </c>
      <c r="E80" s="1">
        <f t="shared" si="6"/>
        <v>0.53600000000000003</v>
      </c>
      <c r="F80" s="1">
        <f t="shared" si="7"/>
        <v>0.52073982837810728</v>
      </c>
      <c r="G80" s="1">
        <f>AT$26*(B80^3)+AU$26*(B80^2)+AV$26*B80+AW$26</f>
        <v>0.52462267185007838</v>
      </c>
      <c r="H80" s="1">
        <f t="shared" si="8"/>
        <v>0.52121825061899996</v>
      </c>
      <c r="I80" s="1"/>
      <c r="J80" s="1">
        <f t="shared" si="9"/>
        <v>1.5260171621892749E-2</v>
      </c>
      <c r="K80" s="1">
        <f t="shared" si="5"/>
        <v>1.1377328149921651E-2</v>
      </c>
      <c r="L80" s="1">
        <f t="shared" si="10"/>
        <v>1.4781749381000076E-2</v>
      </c>
    </row>
    <row r="81" spans="2:12" x14ac:dyDescent="0.2">
      <c r="B81" s="1">
        <v>78</v>
      </c>
      <c r="C81" s="1">
        <f>-440*10^-3</f>
        <v>-0.44</v>
      </c>
      <c r="D81" s="1">
        <f>992*10^-3</f>
        <v>0.99199999999999999</v>
      </c>
      <c r="E81" s="1">
        <f t="shared" si="6"/>
        <v>0.55200000000000005</v>
      </c>
      <c r="F81" s="1">
        <f t="shared" si="7"/>
        <v>0.53505241689637062</v>
      </c>
      <c r="G81" s="1">
        <f>AT$26*(B81^3)+AU$26*(B81^2)+AV$26*B81+AW$26</f>
        <v>0.53975120040151192</v>
      </c>
      <c r="H81" s="1">
        <f t="shared" si="8"/>
        <v>0.53556794489190951</v>
      </c>
      <c r="I81" s="1"/>
      <c r="J81" s="1">
        <f t="shared" si="9"/>
        <v>1.6947583103629427E-2</v>
      </c>
      <c r="K81" s="1">
        <f t="shared" si="5"/>
        <v>1.2248799598488125E-2</v>
      </c>
      <c r="L81" s="1">
        <f t="shared" si="10"/>
        <v>1.6432055108090537E-2</v>
      </c>
    </row>
    <row r="82" spans="2:12" x14ac:dyDescent="0.2">
      <c r="B82" s="1">
        <v>79</v>
      </c>
      <c r="C82" s="1">
        <f>-440*10^-3</f>
        <v>-0.44</v>
      </c>
      <c r="D82" s="1">
        <v>1.01</v>
      </c>
      <c r="E82" s="1">
        <f t="shared" si="6"/>
        <v>0.57000000000000006</v>
      </c>
      <c r="F82" s="1">
        <f t="shared" si="7"/>
        <v>0.54912153937440911</v>
      </c>
      <c r="G82" s="1">
        <f>AT$26*(B82^3)+AU$26*(B82^2)+AV$26*B82+AW$26</f>
        <v>0.55456475592783394</v>
      </c>
      <c r="H82" s="1">
        <f t="shared" si="8"/>
        <v>0.54966935392680627</v>
      </c>
      <c r="I82" s="1"/>
      <c r="J82" s="1">
        <f t="shared" si="9"/>
        <v>2.0878460625590956E-2</v>
      </c>
      <c r="K82" s="1">
        <f t="shared" si="5"/>
        <v>1.5435244072166121E-2</v>
      </c>
      <c r="L82" s="1">
        <f t="shared" si="10"/>
        <v>2.0330646073193792E-2</v>
      </c>
    </row>
    <row r="83" spans="2:12" x14ac:dyDescent="0.2">
      <c r="B83" s="1">
        <v>80</v>
      </c>
      <c r="C83" s="1">
        <f t="shared" ref="C83:C92" si="11">-352*10^-3</f>
        <v>-0.35199999999999998</v>
      </c>
      <c r="D83" s="1">
        <f>888*10^-3</f>
        <v>0.88800000000000001</v>
      </c>
      <c r="E83" s="1">
        <f t="shared" si="6"/>
        <v>0.53600000000000003</v>
      </c>
      <c r="F83" s="1">
        <f t="shared" si="7"/>
        <v>0.56295982617704743</v>
      </c>
      <c r="G83" s="1">
        <f>AT$26*(B83^3)+AU$26*(B83^2)+AV$26*B83+AW$26</f>
        <v>0.56906566066544229</v>
      </c>
      <c r="H83" s="1">
        <f t="shared" si="8"/>
        <v>0.5635344324356053</v>
      </c>
      <c r="I83" s="1"/>
      <c r="J83" s="1">
        <f t="shared" si="9"/>
        <v>-2.6959826177047397E-2</v>
      </c>
      <c r="K83" s="1">
        <f t="shared" si="5"/>
        <v>-3.3065660665442254E-2</v>
      </c>
      <c r="L83" s="1">
        <f t="shared" si="10"/>
        <v>-2.7534432435605272E-2</v>
      </c>
    </row>
    <row r="84" spans="2:12" x14ac:dyDescent="0.2">
      <c r="B84" s="1">
        <v>81</v>
      </c>
      <c r="C84" s="1">
        <f t="shared" si="11"/>
        <v>-0.35199999999999998</v>
      </c>
      <c r="D84" s="1">
        <f>904*10^-3</f>
        <v>0.90400000000000003</v>
      </c>
      <c r="E84" s="1">
        <f t="shared" si="6"/>
        <v>0.55200000000000005</v>
      </c>
      <c r="F84" s="1">
        <f t="shared" si="7"/>
        <v>0.57657990766911116</v>
      </c>
      <c r="G84" s="1">
        <f>AT$26*(B84^3)+AU$26*(B84^2)+AV$26*B84+AW$26</f>
        <v>0.58325623685073125</v>
      </c>
      <c r="H84" s="1">
        <f t="shared" si="8"/>
        <v>0.5771751109997636</v>
      </c>
      <c r="I84" s="1"/>
      <c r="J84" s="1">
        <f t="shared" si="9"/>
        <v>-2.4579907669111112E-2</v>
      </c>
      <c r="K84" s="1">
        <f t="shared" si="5"/>
        <v>-3.1256236850731201E-2</v>
      </c>
      <c r="L84" s="1">
        <f t="shared" si="10"/>
        <v>-2.517511099976355E-2</v>
      </c>
    </row>
    <row r="85" spans="2:12" x14ac:dyDescent="0.2">
      <c r="B85" s="1">
        <v>82</v>
      </c>
      <c r="C85" s="1">
        <f t="shared" si="11"/>
        <v>-0.35199999999999998</v>
      </c>
      <c r="D85" s="1">
        <f>928*10^-3</f>
        <v>0.92800000000000005</v>
      </c>
      <c r="E85" s="1">
        <f t="shared" si="6"/>
        <v>0.57600000000000007</v>
      </c>
      <c r="F85" s="1">
        <f t="shared" si="7"/>
        <v>0.58999441421542631</v>
      </c>
      <c r="G85" s="1">
        <f>AT$26*(B85^3)+AU$26*(B85^2)+AV$26*B85+AW$26</f>
        <v>0.59713880672009689</v>
      </c>
      <c r="H85" s="1">
        <f t="shared" si="8"/>
        <v>0.59060329607027251</v>
      </c>
      <c r="I85" s="1"/>
      <c r="J85" s="1">
        <f t="shared" si="9"/>
        <v>-1.3994414215426243E-2</v>
      </c>
      <c r="K85" s="1">
        <f t="shared" si="5"/>
        <v>-2.1138806720096825E-2</v>
      </c>
      <c r="L85" s="1">
        <f t="shared" si="10"/>
        <v>-1.4603296070272442E-2</v>
      </c>
    </row>
    <row r="86" spans="2:12" x14ac:dyDescent="0.2">
      <c r="B86" s="1">
        <v>83</v>
      </c>
      <c r="C86" s="1">
        <f t="shared" si="11"/>
        <v>-0.35199999999999998</v>
      </c>
      <c r="D86" s="1">
        <f>944*10^-3</f>
        <v>0.94400000000000006</v>
      </c>
      <c r="E86" s="1">
        <f t="shared" si="6"/>
        <v>0.59200000000000008</v>
      </c>
      <c r="F86" s="1">
        <f t="shared" si="7"/>
        <v>0.60321597618081446</v>
      </c>
      <c r="G86" s="1">
        <f>AT$26*(B86^3)+AU$26*(B86^2)+AV$26*B86+AW$26</f>
        <v>0.61071569250993663</v>
      </c>
      <c r="H86" s="1">
        <f t="shared" si="8"/>
        <v>0.60383086996766577</v>
      </c>
      <c r="I86" s="1"/>
      <c r="J86" s="1">
        <f t="shared" si="9"/>
        <v>-1.121597618081438E-2</v>
      </c>
      <c r="K86" s="1">
        <f t="shared" si="5"/>
        <v>-1.8715692509936543E-2</v>
      </c>
      <c r="L86" s="1">
        <f t="shared" si="10"/>
        <v>-1.1830869967665691E-2</v>
      </c>
    </row>
    <row r="87" spans="2:12" x14ac:dyDescent="0.2">
      <c r="B87" s="1">
        <v>84</v>
      </c>
      <c r="C87" s="1">
        <f t="shared" si="11"/>
        <v>-0.35199999999999998</v>
      </c>
      <c r="D87" s="1">
        <f>960*10^-3</f>
        <v>0.96</v>
      </c>
      <c r="E87" s="1">
        <f t="shared" si="6"/>
        <v>0.60799999999999998</v>
      </c>
      <c r="F87" s="1">
        <f t="shared" si="7"/>
        <v>0.61625722393010207</v>
      </c>
      <c r="G87" s="1">
        <f>AT$26*(B87^3)+AU$26*(B87^2)+AV$26*B87+AW$26</f>
        <v>0.62398921645664518</v>
      </c>
      <c r="H87" s="1">
        <f t="shared" si="8"/>
        <v>0.61686969088201593</v>
      </c>
      <c r="I87" s="1"/>
      <c r="J87" s="1">
        <f t="shared" si="9"/>
        <v>-8.2572239301020867E-3</v>
      </c>
      <c r="K87" s="1">
        <f t="shared" si="5"/>
        <v>-1.5989216456645194E-2</v>
      </c>
      <c r="L87" s="1">
        <f t="shared" si="10"/>
        <v>-8.8696908820159459E-3</v>
      </c>
    </row>
    <row r="88" spans="2:12" x14ac:dyDescent="0.2">
      <c r="B88" s="1">
        <v>85</v>
      </c>
      <c r="C88" s="1">
        <f t="shared" si="11"/>
        <v>-0.35199999999999998</v>
      </c>
      <c r="D88" s="1">
        <f>984*10^-3</f>
        <v>0.98399999999999999</v>
      </c>
      <c r="E88" s="1">
        <f t="shared" si="6"/>
        <v>0.63200000000000001</v>
      </c>
      <c r="F88" s="1">
        <f t="shared" si="7"/>
        <v>0.62913078782811516</v>
      </c>
      <c r="G88" s="1">
        <f>AT$26*(B88^3)+AU$26*(B88^2)+AV$26*B88+AW$26</f>
        <v>0.63696170079661996</v>
      </c>
      <c r="H88" s="1">
        <f t="shared" si="8"/>
        <v>0.6297315928729339</v>
      </c>
      <c r="I88" s="1"/>
      <c r="J88" s="1">
        <f t="shared" si="9"/>
        <v>2.8692121718848496E-3</v>
      </c>
      <c r="K88" s="1">
        <f t="shared" si="5"/>
        <v>-4.96170079661995E-3</v>
      </c>
      <c r="L88" s="1">
        <f t="shared" si="10"/>
        <v>2.2684071270661077E-3</v>
      </c>
    </row>
    <row r="89" spans="2:12" x14ac:dyDescent="0.2">
      <c r="B89" s="1">
        <v>86</v>
      </c>
      <c r="C89" s="1">
        <f t="shared" si="11"/>
        <v>-0.35199999999999998</v>
      </c>
      <c r="D89" s="1">
        <v>1</v>
      </c>
      <c r="E89" s="1">
        <f t="shared" si="6"/>
        <v>0.64800000000000002</v>
      </c>
      <c r="F89" s="1">
        <f t="shared" si="7"/>
        <v>0.64184929823967574</v>
      </c>
      <c r="G89" s="1">
        <f>AT$26*(B89^3)+AU$26*(B89^2)+AV$26*B89+AW$26</f>
        <v>0.64963546776625525</v>
      </c>
      <c r="H89" s="1">
        <f t="shared" si="8"/>
        <v>0.64242838586956674</v>
      </c>
      <c r="I89" s="1"/>
      <c r="J89" s="1">
        <f t="shared" si="9"/>
        <v>6.1507017603242842E-3</v>
      </c>
      <c r="K89" s="1">
        <f t="shared" si="5"/>
        <v>-1.6354677662552275E-3</v>
      </c>
      <c r="L89" s="1">
        <f t="shared" si="10"/>
        <v>5.5716141304332778E-3</v>
      </c>
    </row>
    <row r="90" spans="2:12" x14ac:dyDescent="0.2">
      <c r="B90" s="1">
        <v>87</v>
      </c>
      <c r="C90" s="1">
        <f t="shared" si="11"/>
        <v>-0.35199999999999998</v>
      </c>
      <c r="D90" s="1">
        <v>1.02</v>
      </c>
      <c r="E90" s="1">
        <f t="shared" si="6"/>
        <v>0.66800000000000004</v>
      </c>
      <c r="F90" s="1">
        <f t="shared" si="7"/>
        <v>0.65442538552960983</v>
      </c>
      <c r="G90" s="1">
        <f>AT$26*(B90^3)+AU$26*(B90^2)+AV$26*B90+AW$26</f>
        <v>0.66201283960194934</v>
      </c>
      <c r="H90" s="1">
        <f t="shared" si="8"/>
        <v>0.65497185567060567</v>
      </c>
      <c r="I90" s="1"/>
      <c r="J90" s="1">
        <f t="shared" si="9"/>
        <v>1.3574614470390212E-2</v>
      </c>
      <c r="K90" s="1">
        <f t="shared" si="5"/>
        <v>5.9871603980506949E-3</v>
      </c>
      <c r="L90" s="1">
        <f t="shared" si="10"/>
        <v>1.3028144329394364E-2</v>
      </c>
    </row>
    <row r="91" spans="2:12" x14ac:dyDescent="0.2">
      <c r="B91" s="1">
        <v>88</v>
      </c>
      <c r="C91" s="1">
        <f t="shared" si="11"/>
        <v>-0.35199999999999998</v>
      </c>
      <c r="D91" s="1">
        <v>1.04</v>
      </c>
      <c r="E91" s="1">
        <f t="shared" si="6"/>
        <v>0.68800000000000006</v>
      </c>
      <c r="F91" s="1">
        <f t="shared" si="7"/>
        <v>0.66687168006274256</v>
      </c>
      <c r="G91" s="1">
        <f>AT$26*(B91^3)+AU$26*(B91^2)+AV$26*B91+AW$26</f>
        <v>0.67409613854009653</v>
      </c>
      <c r="H91" s="1">
        <f t="shared" si="8"/>
        <v>0.66737376394427761</v>
      </c>
      <c r="I91" s="1"/>
      <c r="J91" s="1">
        <f t="shared" si="9"/>
        <v>2.11283199372575E-2</v>
      </c>
      <c r="K91" s="1">
        <f t="shared" si="5"/>
        <v>1.3903861459903522E-2</v>
      </c>
      <c r="L91" s="1">
        <f t="shared" si="10"/>
        <v>2.0626236055722447E-2</v>
      </c>
    </row>
    <row r="92" spans="2:12" x14ac:dyDescent="0.2">
      <c r="B92" s="1">
        <v>89</v>
      </c>
      <c r="C92" s="1">
        <f t="shared" si="11"/>
        <v>-0.35199999999999998</v>
      </c>
      <c r="D92" s="1">
        <v>1.06</v>
      </c>
      <c r="E92" s="1">
        <f t="shared" si="6"/>
        <v>0.70800000000000007</v>
      </c>
      <c r="F92" s="1">
        <f t="shared" si="7"/>
        <v>0.67920081220389861</v>
      </c>
      <c r="G92" s="1">
        <f>AT$26*(B92^3)+AU$26*(B92^2)+AV$26*B92+AW$26</f>
        <v>0.68588768681709289</v>
      </c>
      <c r="H92" s="1">
        <f t="shared" si="8"/>
        <v>0.67964584822834961</v>
      </c>
      <c r="I92" s="1"/>
      <c r="J92" s="1">
        <f t="shared" si="9"/>
        <v>2.8799187796101466E-2</v>
      </c>
      <c r="K92" s="1">
        <f t="shared" si="5"/>
        <v>2.2112313182907184E-2</v>
      </c>
      <c r="L92" s="1">
        <f t="shared" si="10"/>
        <v>2.835415177165046E-2</v>
      </c>
    </row>
    <row r="93" spans="2:12" x14ac:dyDescent="0.2">
      <c r="B93" s="1">
        <v>90</v>
      </c>
      <c r="C93" s="1">
        <f>-264*10^-3</f>
        <v>-0.26400000000000001</v>
      </c>
      <c r="D93" s="1">
        <f>944*10^-3</f>
        <v>0.94400000000000006</v>
      </c>
      <c r="E93" s="1">
        <f t="shared" si="6"/>
        <v>0.68</v>
      </c>
      <c r="F93" s="1">
        <f t="shared" si="7"/>
        <v>0.69142541231790222</v>
      </c>
      <c r="G93" s="1">
        <f>AT$26*(B93^3)+AU$26*(B93^2)+AV$26*B93+AW$26</f>
        <v>0.69738980666933537</v>
      </c>
      <c r="H93" s="1">
        <f t="shared" si="8"/>
        <v>0.69179982193012579</v>
      </c>
      <c r="I93" s="1"/>
      <c r="J93" s="1">
        <f t="shared" si="9"/>
        <v>-1.1425412317902173E-2</v>
      </c>
      <c r="K93" s="1">
        <f t="shared" si="5"/>
        <v>-1.7389806669335317E-2</v>
      </c>
      <c r="L93" s="1">
        <f t="shared" si="10"/>
        <v>-1.1799821930125742E-2</v>
      </c>
    </row>
    <row r="94" spans="2:12" x14ac:dyDescent="0.2">
      <c r="B94" s="1">
        <v>91</v>
      </c>
      <c r="C94" s="1">
        <f>-272*10^-3</f>
        <v>-0.27200000000000002</v>
      </c>
      <c r="D94" s="1">
        <f>968*10^-3</f>
        <v>0.96799999999999997</v>
      </c>
      <c r="E94" s="1">
        <f t="shared" si="6"/>
        <v>0.69599999999999995</v>
      </c>
      <c r="F94" s="1">
        <f t="shared" si="7"/>
        <v>0.70355811076957675</v>
      </c>
      <c r="G94" s="1">
        <f>AT$26*(B94^3)+AU$26*(B94^2)+AV$26*B94+AW$26</f>
        <v>0.70860482033321914</v>
      </c>
      <c r="H94" s="1">
        <f t="shared" si="8"/>
        <v>0.70384737432645306</v>
      </c>
      <c r="I94" s="1"/>
      <c r="J94" s="1">
        <f t="shared" si="9"/>
        <v>-7.5581107695767979E-3</v>
      </c>
      <c r="K94" s="1">
        <f t="shared" si="5"/>
        <v>-1.2604820333219191E-2</v>
      </c>
      <c r="L94" s="1">
        <f t="shared" si="10"/>
        <v>-7.8473743264531048E-3</v>
      </c>
    </row>
    <row r="95" spans="2:12" x14ac:dyDescent="0.2">
      <c r="B95" s="1">
        <v>92</v>
      </c>
      <c r="C95" s="1">
        <f>-252*10^-3</f>
        <v>-0.252</v>
      </c>
      <c r="D95" s="1">
        <f>976*10^-3</f>
        <v>0.97599999999999998</v>
      </c>
      <c r="E95" s="1">
        <f t="shared" si="6"/>
        <v>0.72399999999999998</v>
      </c>
      <c r="F95" s="1">
        <f t="shared" si="7"/>
        <v>0.71561153792375043</v>
      </c>
      <c r="G95" s="1">
        <f>AT$26*(B95^3)+AU$26*(B95^2)+AV$26*B95+AW$26</f>
        <v>0.71953505004514162</v>
      </c>
      <c r="H95" s="1">
        <f t="shared" si="8"/>
        <v>0.71580017056371359</v>
      </c>
      <c r="I95" s="1"/>
      <c r="J95" s="1">
        <f t="shared" si="9"/>
        <v>8.3884620762495476E-3</v>
      </c>
      <c r="K95" s="1">
        <f t="shared" si="5"/>
        <v>4.4649499548583549E-3</v>
      </c>
      <c r="L95" s="1">
        <f t="shared" si="10"/>
        <v>8.1998294362863877E-3</v>
      </c>
    </row>
    <row r="96" spans="2:12" x14ac:dyDescent="0.2">
      <c r="B96" s="1">
        <v>93</v>
      </c>
      <c r="C96" s="1">
        <f>-252*10^-3</f>
        <v>-0.252</v>
      </c>
      <c r="D96" s="1">
        <f>992*10^-3</f>
        <v>0.99199999999999999</v>
      </c>
      <c r="E96" s="1">
        <f t="shared" si="6"/>
        <v>0.74</v>
      </c>
      <c r="F96" s="1">
        <f t="shared" si="7"/>
        <v>0.72759832414524528</v>
      </c>
      <c r="G96" s="1">
        <f>AT$26*(B96^3)+AU$26*(B96^2)+AV$26*B96+AW$26</f>
        <v>0.73018281804149754</v>
      </c>
      <c r="H96" s="1">
        <f t="shared" si="8"/>
        <v>0.72766985165782794</v>
      </c>
      <c r="I96" s="1"/>
      <c r="J96" s="1">
        <f t="shared" si="9"/>
        <v>1.2401675854754712E-2</v>
      </c>
      <c r="K96" s="1">
        <f t="shared" si="5"/>
        <v>9.8171819585024522E-3</v>
      </c>
      <c r="L96" s="1">
        <f t="shared" si="10"/>
        <v>1.2330148342172054E-2</v>
      </c>
    </row>
    <row r="97" spans="2:12" x14ac:dyDescent="0.2">
      <c r="B97" s="1">
        <v>94</v>
      </c>
      <c r="C97" s="1">
        <f>-272*10^-3</f>
        <v>-0.27200000000000002</v>
      </c>
      <c r="D97" s="1">
        <v>1.02</v>
      </c>
      <c r="E97" s="1">
        <f t="shared" si="6"/>
        <v>0.748</v>
      </c>
      <c r="F97" s="1">
        <f t="shared" si="7"/>
        <v>0.73953109979888643</v>
      </c>
      <c r="G97" s="1">
        <f>AT$26*(B97^3)+AU$26*(B97^2)+AV$26*B97+AW$26</f>
        <v>0.74055044655868341</v>
      </c>
      <c r="H97" s="1">
        <f t="shared" si="8"/>
        <v>0.73946803449426213</v>
      </c>
      <c r="I97" s="1"/>
      <c r="J97" s="1">
        <f t="shared" si="9"/>
        <v>8.4689002011135717E-3</v>
      </c>
      <c r="K97" s="1">
        <f t="shared" si="5"/>
        <v>7.449553441316592E-3</v>
      </c>
      <c r="L97" s="1">
        <f t="shared" si="10"/>
        <v>8.5319655057378707E-3</v>
      </c>
    </row>
    <row r="98" spans="2:12" x14ac:dyDescent="0.2">
      <c r="B98" s="1">
        <v>95</v>
      </c>
      <c r="C98" s="1">
        <f>-272*10^-3</f>
        <v>-0.27200000000000002</v>
      </c>
      <c r="D98" s="1">
        <v>1.03</v>
      </c>
      <c r="E98" s="1">
        <f t="shared" si="6"/>
        <v>0.75800000000000001</v>
      </c>
      <c r="F98" s="1">
        <f t="shared" si="7"/>
        <v>0.75142249524949989</v>
      </c>
      <c r="G98" s="1">
        <f>AT$26*(B98^3)+AU$26*(B98^2)+AV$26*B98+AW$26</f>
        <v>0.75064025783309529</v>
      </c>
      <c r="H98" s="1">
        <f t="shared" si="8"/>
        <v>0.75120631182801301</v>
      </c>
      <c r="I98" s="1"/>
      <c r="J98" s="1">
        <f t="shared" si="9"/>
        <v>6.5775047505001183E-3</v>
      </c>
      <c r="K98" s="1">
        <f t="shared" ref="K98:K103" si="12">E98-G98</f>
        <v>7.3597421669047147E-3</v>
      </c>
      <c r="L98" s="1">
        <f t="shared" si="10"/>
        <v>6.7936881719870001E-3</v>
      </c>
    </row>
    <row r="99" spans="2:12" x14ac:dyDescent="0.2">
      <c r="B99" s="1">
        <v>96</v>
      </c>
      <c r="C99" s="1">
        <f>-272*10^-3</f>
        <v>-0.27200000000000002</v>
      </c>
      <c r="D99" s="1">
        <v>1.05</v>
      </c>
      <c r="E99" s="1">
        <f t="shared" si="6"/>
        <v>0.77800000000000002</v>
      </c>
      <c r="F99" s="1">
        <f t="shared" si="7"/>
        <v>0.76328514086190902</v>
      </c>
      <c r="G99" s="1">
        <f>AT$26*(B99^3)+AU$26*(B99^2)+AV$26*B99+AW$26</f>
        <v>0.76045457410112882</v>
      </c>
      <c r="H99" s="1">
        <f t="shared" si="8"/>
        <v>0.76289625228362068</v>
      </c>
      <c r="I99" s="1"/>
      <c r="J99" s="1">
        <f t="shared" si="9"/>
        <v>1.4714859138091008E-2</v>
      </c>
      <c r="K99" s="1">
        <f t="shared" si="12"/>
        <v>1.7545425898871203E-2</v>
      </c>
      <c r="L99" s="1">
        <f t="shared" si="10"/>
        <v>1.5103747716379345E-2</v>
      </c>
    </row>
    <row r="100" spans="2:12" x14ac:dyDescent="0.2">
      <c r="B100" s="1">
        <v>97</v>
      </c>
      <c r="C100" s="1">
        <f>-280*10^-3</f>
        <v>-0.28000000000000003</v>
      </c>
      <c r="D100" s="1">
        <v>1.07</v>
      </c>
      <c r="E100" s="1">
        <f t="shared" si="6"/>
        <v>0.79</v>
      </c>
      <c r="F100" s="1">
        <f t="shared" si="7"/>
        <v>0.77513166700093894</v>
      </c>
      <c r="G100" s="1">
        <f>AT$26*(B100^3)+AU$26*(B100^2)+AV$26*B100+AW$26</f>
        <v>0.7699957175991814</v>
      </c>
      <c r="H100" s="1">
        <f t="shared" si="8"/>
        <v>0.77454940035516318</v>
      </c>
      <c r="I100" s="1"/>
      <c r="J100" s="1">
        <f t="shared" si="9"/>
        <v>1.4868332999061096E-2</v>
      </c>
      <c r="K100" s="1">
        <f t="shared" si="12"/>
        <v>2.000428240081864E-2</v>
      </c>
      <c r="L100" s="1">
        <f t="shared" si="10"/>
        <v>1.545059964483686E-2</v>
      </c>
    </row>
    <row r="101" spans="2:12" x14ac:dyDescent="0.2">
      <c r="B101" s="1">
        <v>98</v>
      </c>
      <c r="C101" s="1">
        <f>-280*10^-3</f>
        <v>-0.28000000000000003</v>
      </c>
      <c r="D101" s="1">
        <v>1.08</v>
      </c>
      <c r="E101" s="1">
        <f t="shared" si="6"/>
        <v>0.8</v>
      </c>
      <c r="F101" s="1">
        <f t="shared" si="7"/>
        <v>0.78697470403141434</v>
      </c>
      <c r="G101" s="1">
        <f>AT$26*(B101^3)+AU$26*(B101^2)+AV$26*B101+AW$26</f>
        <v>0.77926601056364819</v>
      </c>
      <c r="H101" s="1">
        <f t="shared" si="8"/>
        <v>0.78617727640625956</v>
      </c>
      <c r="I101" s="1"/>
      <c r="J101" s="1">
        <f t="shared" si="9"/>
        <v>1.3025295968585704E-2</v>
      </c>
      <c r="K101" s="1">
        <f t="shared" si="12"/>
        <v>2.0733989436351852E-2</v>
      </c>
      <c r="L101" s="1">
        <f t="shared" si="10"/>
        <v>1.3822723593740482E-2</v>
      </c>
    </row>
    <row r="102" spans="2:12" x14ac:dyDescent="0.2">
      <c r="B102" s="1">
        <v>99</v>
      </c>
      <c r="C102" s="1">
        <f>-280*10^-3</f>
        <v>-0.28000000000000003</v>
      </c>
      <c r="D102" s="1">
        <v>1.1000000000000001</v>
      </c>
      <c r="E102" s="1">
        <f t="shared" si="6"/>
        <v>0.82000000000000006</v>
      </c>
      <c r="F102" s="1">
        <f t="shared" si="7"/>
        <v>0.79882688231816035</v>
      </c>
      <c r="G102" s="1">
        <f>AT$26*(B102^3)+AU$26*(B102^2)+AV$26*B102+AW$26</f>
        <v>0.78826777523092395</v>
      </c>
      <c r="H102" s="1">
        <f t="shared" si="8"/>
        <v>0.79779137667006639</v>
      </c>
      <c r="I102" s="1"/>
      <c r="J102" s="1">
        <f t="shared" si="9"/>
        <v>2.1173117681839715E-2</v>
      </c>
      <c r="K102" s="1">
        <f t="shared" si="12"/>
        <v>3.1732224769076112E-2</v>
      </c>
      <c r="L102" s="1">
        <f t="shared" si="10"/>
        <v>2.2208623329933674E-2</v>
      </c>
    </row>
    <row r="103" spans="2:12" x14ac:dyDescent="0.2">
      <c r="B103" s="37">
        <v>100</v>
      </c>
      <c r="C103" s="37">
        <f>24*10^-3</f>
        <v>2.4E-2</v>
      </c>
      <c r="D103" s="37">
        <f>704*10^-3</f>
        <v>0.70399999999999996</v>
      </c>
      <c r="E103" s="37">
        <f t="shared" si="6"/>
        <v>0.72799999999999998</v>
      </c>
      <c r="F103" s="37">
        <f t="shared" si="7"/>
        <v>0.81070083222600164</v>
      </c>
      <c r="G103" s="37">
        <f>AT$26*(B103^3)+AU$26*(B103^2)+AV$26*B103+AW$26</f>
        <v>0.79700333383740696</v>
      </c>
      <c r="H103" s="37">
        <f t="shared" si="8"/>
        <v>0.80940317324927458</v>
      </c>
      <c r="I103" s="37"/>
      <c r="J103" s="37">
        <f t="shared" si="9"/>
        <v>-8.2700832226001664E-2</v>
      </c>
      <c r="K103" s="37">
        <f t="shared" si="12"/>
        <v>-6.9003333837406977E-2</v>
      </c>
      <c r="L103" s="37">
        <f t="shared" si="10"/>
        <v>-8.1403173249274596E-2</v>
      </c>
    </row>
    <row r="104" spans="2:12" x14ac:dyDescent="0.2">
      <c r="B104" s="1">
        <v>150</v>
      </c>
      <c r="C104" s="1">
        <f>32*10^-3</f>
        <v>3.2000000000000001E-2</v>
      </c>
      <c r="D104" s="1">
        <v>1.17</v>
      </c>
      <c r="E104" s="1">
        <f t="shared" si="6"/>
        <v>1.202</v>
      </c>
      <c r="F104" s="42"/>
      <c r="G104" s="42"/>
      <c r="H104" s="42"/>
      <c r="I104" s="44"/>
      <c r="J104" s="43">
        <f t="shared" si="9"/>
        <v>1.202</v>
      </c>
      <c r="K104" s="42"/>
      <c r="L104" s="42"/>
    </row>
    <row r="105" spans="2:12" x14ac:dyDescent="0.2">
      <c r="B105" s="1">
        <v>200</v>
      </c>
      <c r="C105" s="1">
        <f>32*10^-3</f>
        <v>3.2000000000000001E-2</v>
      </c>
      <c r="D105" s="1">
        <v>1.29</v>
      </c>
      <c r="E105" s="1">
        <f t="shared" si="6"/>
        <v>1.3220000000000001</v>
      </c>
      <c r="F105" s="42"/>
      <c r="G105" s="42"/>
      <c r="H105" s="42"/>
      <c r="I105" s="44"/>
      <c r="J105" s="43">
        <f t="shared" si="9"/>
        <v>1.3220000000000001</v>
      </c>
      <c r="K105" s="42"/>
      <c r="L105" s="42"/>
    </row>
    <row r="106" spans="2:12" x14ac:dyDescent="0.2">
      <c r="B106" s="1">
        <v>250</v>
      </c>
      <c r="C106" s="1">
        <f>32*10^-3</f>
        <v>3.2000000000000001E-2</v>
      </c>
      <c r="D106" s="1">
        <v>1.5</v>
      </c>
      <c r="E106" s="1">
        <f t="shared" si="6"/>
        <v>1.532</v>
      </c>
      <c r="F106" s="42"/>
      <c r="G106" s="42"/>
      <c r="H106" s="42"/>
      <c r="I106" s="44"/>
      <c r="J106" s="43">
        <f t="shared" si="9"/>
        <v>1.532</v>
      </c>
      <c r="K106" s="42"/>
      <c r="L106" s="42"/>
    </row>
    <row r="107" spans="2:12" x14ac:dyDescent="0.2">
      <c r="B107" s="1">
        <v>300</v>
      </c>
      <c r="C107" s="1">
        <f>32*10^-3</f>
        <v>3.2000000000000001E-2</v>
      </c>
      <c r="D107" s="1">
        <v>1.56</v>
      </c>
      <c r="E107" s="1">
        <f t="shared" si="6"/>
        <v>1.5920000000000001</v>
      </c>
      <c r="F107" s="42"/>
      <c r="G107" s="42"/>
      <c r="H107" s="42"/>
      <c r="I107" s="44"/>
      <c r="J107" s="43">
        <f t="shared" si="9"/>
        <v>1.5920000000000001</v>
      </c>
      <c r="K107" s="42"/>
      <c r="L107" s="42"/>
    </row>
    <row r="108" spans="2:12" x14ac:dyDescent="0.2">
      <c r="B108" s="1">
        <v>350</v>
      </c>
      <c r="C108" s="1">
        <f t="shared" ref="C108:C113" si="13">20*10^-3</f>
        <v>0.02</v>
      </c>
      <c r="D108" s="1">
        <v>1.72</v>
      </c>
      <c r="E108" s="1">
        <f t="shared" si="6"/>
        <v>1.74</v>
      </c>
      <c r="F108" s="42"/>
      <c r="G108" s="42"/>
      <c r="H108" s="42"/>
      <c r="I108" s="44"/>
      <c r="J108" s="43">
        <f t="shared" si="9"/>
        <v>1.74</v>
      </c>
      <c r="K108" s="42"/>
      <c r="L108" s="42"/>
    </row>
    <row r="109" spans="2:12" x14ac:dyDescent="0.2">
      <c r="B109" s="1">
        <v>400</v>
      </c>
      <c r="C109" s="1">
        <f t="shared" si="13"/>
        <v>0.02</v>
      </c>
      <c r="D109" s="1">
        <v>1.74</v>
      </c>
      <c r="E109" s="1">
        <f t="shared" si="6"/>
        <v>1.76</v>
      </c>
      <c r="F109" s="42"/>
      <c r="G109" s="42"/>
      <c r="H109" s="42"/>
      <c r="I109" s="44"/>
      <c r="J109" s="43">
        <f t="shared" si="9"/>
        <v>1.76</v>
      </c>
      <c r="K109" s="42"/>
      <c r="L109" s="42"/>
    </row>
    <row r="110" spans="2:12" x14ac:dyDescent="0.2">
      <c r="B110" s="1">
        <v>450</v>
      </c>
      <c r="C110" s="1">
        <f t="shared" si="13"/>
        <v>0.02</v>
      </c>
      <c r="D110" s="1">
        <v>1.82</v>
      </c>
      <c r="E110" s="1">
        <f t="shared" si="6"/>
        <v>1.84</v>
      </c>
      <c r="F110" s="42"/>
      <c r="G110" s="42"/>
      <c r="H110" s="42"/>
      <c r="I110" s="44"/>
      <c r="J110" s="43">
        <f t="shared" si="9"/>
        <v>1.84</v>
      </c>
      <c r="K110" s="42"/>
      <c r="L110" s="42"/>
    </row>
    <row r="111" spans="2:12" x14ac:dyDescent="0.2">
      <c r="B111" s="1">
        <v>500</v>
      </c>
      <c r="C111" s="1">
        <f t="shared" si="13"/>
        <v>0.02</v>
      </c>
      <c r="D111" s="1">
        <v>1.86</v>
      </c>
      <c r="E111" s="1">
        <f t="shared" si="6"/>
        <v>1.8800000000000001</v>
      </c>
      <c r="F111" s="42"/>
      <c r="G111" s="42"/>
      <c r="H111" s="42"/>
      <c r="I111" s="44"/>
      <c r="J111" s="43">
        <f t="shared" si="9"/>
        <v>1.8800000000000001</v>
      </c>
      <c r="K111" s="42"/>
      <c r="L111" s="42"/>
    </row>
    <row r="112" spans="2:12" x14ac:dyDescent="0.2">
      <c r="B112" s="1">
        <v>550</v>
      </c>
      <c r="C112" s="1">
        <f t="shared" si="13"/>
        <v>0.02</v>
      </c>
      <c r="D112" s="1">
        <v>1.9</v>
      </c>
      <c r="E112" s="1">
        <f t="shared" si="6"/>
        <v>1.92</v>
      </c>
      <c r="F112" s="42"/>
      <c r="G112" s="42"/>
      <c r="H112" s="42"/>
      <c r="I112" s="44"/>
      <c r="J112" s="43">
        <f t="shared" si="9"/>
        <v>1.92</v>
      </c>
      <c r="K112" s="42"/>
      <c r="L112" s="42"/>
    </row>
    <row r="113" spans="2:45" x14ac:dyDescent="0.2">
      <c r="B113" s="1">
        <v>600</v>
      </c>
      <c r="C113" s="1">
        <f t="shared" si="13"/>
        <v>0.02</v>
      </c>
      <c r="D113" s="1">
        <v>1.92</v>
      </c>
      <c r="E113" s="1">
        <f t="shared" si="6"/>
        <v>1.94</v>
      </c>
      <c r="F113" s="42"/>
      <c r="G113" s="42"/>
      <c r="H113" s="42"/>
      <c r="I113" s="44"/>
      <c r="J113" s="43">
        <f t="shared" si="9"/>
        <v>1.94</v>
      </c>
      <c r="K113" s="42"/>
      <c r="L113" s="42"/>
    </row>
    <row r="114" spans="2:45" x14ac:dyDescent="0.2">
      <c r="B114" s="1">
        <v>650</v>
      </c>
      <c r="C114" s="1">
        <f t="shared" ref="C114:C115" si="14">20*10^-3</f>
        <v>0.02</v>
      </c>
      <c r="D114" s="1">
        <v>1.98</v>
      </c>
      <c r="E114" s="1">
        <f t="shared" si="6"/>
        <v>2</v>
      </c>
      <c r="F114" s="42"/>
      <c r="G114" s="42"/>
      <c r="H114" s="42"/>
      <c r="I114" s="44"/>
      <c r="J114" s="43">
        <f t="shared" si="9"/>
        <v>2</v>
      </c>
      <c r="K114" s="42"/>
      <c r="L114" s="42"/>
    </row>
    <row r="115" spans="2:45" x14ac:dyDescent="0.2">
      <c r="B115" s="1">
        <v>700</v>
      </c>
      <c r="C115" s="1">
        <f t="shared" si="14"/>
        <v>0.02</v>
      </c>
      <c r="D115" s="1">
        <v>1.96</v>
      </c>
      <c r="E115" s="1">
        <f t="shared" si="6"/>
        <v>1.98</v>
      </c>
      <c r="F115" s="42"/>
      <c r="G115" s="42"/>
      <c r="H115" s="42"/>
      <c r="I115" s="44"/>
      <c r="J115" s="43">
        <f t="shared" si="9"/>
        <v>1.98</v>
      </c>
      <c r="K115" s="42"/>
      <c r="L115" s="42"/>
    </row>
    <row r="128" spans="2:45" ht="19" x14ac:dyDescent="0.25">
      <c r="B128" s="61" t="s">
        <v>91</v>
      </c>
      <c r="C128" s="61"/>
      <c r="D128" s="61"/>
      <c r="E128" s="61"/>
      <c r="F128" s="61"/>
      <c r="G128" s="61"/>
      <c r="H128" s="61"/>
      <c r="I128" s="61"/>
      <c r="AP128" s="59" t="s">
        <v>90</v>
      </c>
      <c r="AQ128" s="59"/>
      <c r="AR128" s="59"/>
      <c r="AS128" s="59"/>
    </row>
    <row r="131" spans="1:45" ht="17" x14ac:dyDescent="0.2">
      <c r="B131" s="50" t="s">
        <v>94</v>
      </c>
      <c r="C131" s="50" t="s">
        <v>63</v>
      </c>
      <c r="D131" s="50" t="s">
        <v>64</v>
      </c>
      <c r="E131" s="50" t="s">
        <v>62</v>
      </c>
      <c r="F131" s="50" t="s">
        <v>78</v>
      </c>
      <c r="G131" s="54" t="s">
        <v>79</v>
      </c>
      <c r="H131" s="50" t="s">
        <v>83</v>
      </c>
      <c r="I131" s="50" t="s">
        <v>84</v>
      </c>
      <c r="AP131" s="50" t="s">
        <v>87</v>
      </c>
      <c r="AQ131" s="50" t="s">
        <v>73</v>
      </c>
      <c r="AR131" s="50" t="s">
        <v>88</v>
      </c>
      <c r="AS131" s="50" t="s">
        <v>89</v>
      </c>
    </row>
    <row r="132" spans="1:45" x14ac:dyDescent="0.2">
      <c r="B132" s="1">
        <v>30</v>
      </c>
      <c r="C132" s="1">
        <v>-1.08</v>
      </c>
      <c r="D132" s="1">
        <f>480*10^-3</f>
        <v>0.48</v>
      </c>
      <c r="E132" s="46">
        <f t="shared" ref="E132:E195" si="15">D132+C132</f>
        <v>-0.60000000000000009</v>
      </c>
      <c r="F132" s="38">
        <f>L$159*(B33^3)+M$159*(B33^2)+N$159*B33+O$159</f>
        <v>-0.6049982663427107</v>
      </c>
      <c r="G132" s="38">
        <f>E132-F132</f>
        <v>4.9982663427106111E-3</v>
      </c>
      <c r="H132" s="38">
        <f>L$173*(B33^4)+M$173*(B33^3)+N$173*(B33^2)+O$173*B132+P$173</f>
        <v>-0.58683132434310759</v>
      </c>
      <c r="I132" s="38">
        <f>E132-H132</f>
        <v>-1.3168675656892503E-2</v>
      </c>
      <c r="AP132" s="1">
        <f>AH$157*(E132^3)+AI$157*(E132^2)+AJ$157*E132+AK$157</f>
        <v>29.759855793684991</v>
      </c>
      <c r="AQ132" s="1">
        <f>B132-AP132</f>
        <v>0.24014420631500855</v>
      </c>
      <c r="AR132" s="1">
        <f>AH$173*(E132^4)+AI$173*(E132^3)+AJ$173*(E132^2)+AK$173*E132+AL$173</f>
        <v>29.240129303181547</v>
      </c>
      <c r="AS132" s="1">
        <f>B132-AR132</f>
        <v>0.75987069681845298</v>
      </c>
    </row>
    <row r="133" spans="1:45" x14ac:dyDescent="0.2">
      <c r="A133" s="66" t="s">
        <v>108</v>
      </c>
      <c r="B133" s="1">
        <v>32</v>
      </c>
      <c r="C133" s="45">
        <f>-960*10^-3</f>
        <v>-0.96</v>
      </c>
      <c r="D133" s="1">
        <f>432*10^-3</f>
        <v>0.432</v>
      </c>
      <c r="E133" s="1">
        <f t="shared" si="15"/>
        <v>-0.52800000000000002</v>
      </c>
      <c r="F133" s="38">
        <f>L$159*(B34^3)+M$159*(B34^2)+N$159*B34+O$159</f>
        <v>-0.56992748341544353</v>
      </c>
      <c r="G133" s="38">
        <f t="shared" ref="G133:G196" si="16">E133-F133</f>
        <v>4.1927483415443501E-2</v>
      </c>
      <c r="H133" s="38">
        <f t="shared" ref="H133:H196" si="17">L$173*(B34^4)+M$173*(B34^3)+N$173*(B34^2)+O$173*B133+P$173</f>
        <v>-0.55040167690775044</v>
      </c>
      <c r="I133" s="38">
        <f t="shared" ref="I133:I196" si="18">E133-H133</f>
        <v>2.2401676907750412E-2</v>
      </c>
      <c r="AP133" s="1">
        <f t="shared" ref="AP133:AP196" si="19">AH$157*(E133^3)+AI$157*(E133^2)+AJ$157*E133+AK$157</f>
        <v>32.11407124341504</v>
      </c>
      <c r="AQ133" s="1">
        <f t="shared" ref="AQ133:AQ196" si="20">B133-AP133</f>
        <v>-0.11407124341504016</v>
      </c>
      <c r="AR133" s="1">
        <f t="shared" ref="AR133:AR196" si="21">AH$173*(E133^4)+AI$173*(E133^3)+AJ$173*(E133^2)+AK$173*E133+AL$173</f>
        <v>31.983513174309696</v>
      </c>
      <c r="AS133" s="1">
        <f t="shared" ref="AS133:AS196" si="22">B133-AR133</f>
        <v>1.648682569030413E-2</v>
      </c>
    </row>
    <row r="134" spans="1:45" x14ac:dyDescent="0.2">
      <c r="B134" s="1">
        <v>33</v>
      </c>
      <c r="C134" s="45">
        <f>-960*10^-3</f>
        <v>-0.96</v>
      </c>
      <c r="D134" s="1">
        <f>456*10^-3</f>
        <v>0.45600000000000002</v>
      </c>
      <c r="E134" s="1">
        <f t="shared" si="15"/>
        <v>-0.504</v>
      </c>
      <c r="F134" s="38">
        <f>L$159*(B35^3)+M$159*(B35^2)+N$159*B35+O$159</f>
        <v>-0.53545024564791976</v>
      </c>
      <c r="G134" s="38">
        <f t="shared" si="16"/>
        <v>3.1450245647919761E-2</v>
      </c>
      <c r="H134" s="38">
        <f t="shared" si="17"/>
        <v>-0.52010718875097584</v>
      </c>
      <c r="I134" s="38">
        <f t="shared" si="18"/>
        <v>1.6107188750975832E-2</v>
      </c>
      <c r="AP134" s="1">
        <f t="shared" si="19"/>
        <v>32.892562572979259</v>
      </c>
      <c r="AQ134" s="1">
        <f t="shared" si="20"/>
        <v>0.10743742702074144</v>
      </c>
      <c r="AR134" s="1">
        <f t="shared" si="21"/>
        <v>32.852581128135441</v>
      </c>
      <c r="AS134" s="1">
        <f t="shared" si="22"/>
        <v>0.14741887186455926</v>
      </c>
    </row>
    <row r="135" spans="1:45" x14ac:dyDescent="0.2">
      <c r="B135" s="1">
        <v>34</v>
      </c>
      <c r="C135" s="1">
        <f>-952*10^-3</f>
        <v>-0.95200000000000007</v>
      </c>
      <c r="D135" s="1">
        <f>488*10^-3</f>
        <v>0.48799999999999999</v>
      </c>
      <c r="E135" s="1">
        <f t="shared" si="15"/>
        <v>-0.46400000000000008</v>
      </c>
      <c r="F135" s="38">
        <f>L$159*(B36^3)+M$159*(B36^2)+N$159*B36+O$159</f>
        <v>-0.50155920795434872</v>
      </c>
      <c r="G135" s="38">
        <f t="shared" si="16"/>
        <v>3.7559207954348639E-2</v>
      </c>
      <c r="H135" s="38">
        <f t="shared" si="17"/>
        <v>-0.4898247878848796</v>
      </c>
      <c r="I135" s="38">
        <f t="shared" si="18"/>
        <v>2.5824787884879519E-2</v>
      </c>
      <c r="AP135" s="1">
        <f t="shared" si="19"/>
        <v>34.187088493906771</v>
      </c>
      <c r="AQ135" s="1">
        <f t="shared" si="20"/>
        <v>-0.18708849390677074</v>
      </c>
      <c r="AR135" s="1">
        <f t="shared" si="21"/>
        <v>34.261315555880337</v>
      </c>
      <c r="AS135" s="1">
        <f t="shared" si="22"/>
        <v>-0.26131555588033706</v>
      </c>
    </row>
    <row r="136" spans="1:45" x14ac:dyDescent="0.2">
      <c r="B136" s="1">
        <v>35</v>
      </c>
      <c r="C136" s="1">
        <f>-936*10^-3</f>
        <v>-0.93600000000000005</v>
      </c>
      <c r="D136" s="1">
        <f>512*10^-3</f>
        <v>0.51200000000000001</v>
      </c>
      <c r="E136" s="1">
        <f t="shared" si="15"/>
        <v>-0.42400000000000004</v>
      </c>
      <c r="F136" s="38">
        <f>L$159*(B37^3)+M$159*(B37^2)+N$159*B37+O$159</f>
        <v>-0.46824702524894013</v>
      </c>
      <c r="G136" s="38">
        <f t="shared" si="16"/>
        <v>4.4247025248940086E-2</v>
      </c>
      <c r="H136" s="38">
        <f t="shared" si="17"/>
        <v>-0.459588177149576</v>
      </c>
      <c r="I136" s="38">
        <f t="shared" si="18"/>
        <v>3.5588177149575961E-2</v>
      </c>
      <c r="AP136" s="1">
        <f t="shared" si="19"/>
        <v>35.481720871736471</v>
      </c>
      <c r="AQ136" s="1">
        <f t="shared" si="20"/>
        <v>-0.48172087173647071</v>
      </c>
      <c r="AR136" s="1">
        <f t="shared" si="21"/>
        <v>35.630228473562475</v>
      </c>
      <c r="AS136" s="1">
        <f t="shared" si="22"/>
        <v>-0.63022847356247524</v>
      </c>
    </row>
    <row r="137" spans="1:45" x14ac:dyDescent="0.2">
      <c r="B137" s="1">
        <v>36</v>
      </c>
      <c r="C137" s="1">
        <f>-936*10^-3</f>
        <v>-0.93600000000000005</v>
      </c>
      <c r="D137" s="1">
        <f>536*10^-3</f>
        <v>0.53600000000000003</v>
      </c>
      <c r="E137" s="45">
        <f t="shared" si="15"/>
        <v>-0.4</v>
      </c>
      <c r="F137" s="38">
        <f>L$159*(B38^3)+M$159*(B38^2)+N$159*B38+O$159</f>
        <v>-0.43550635244590397</v>
      </c>
      <c r="G137" s="38">
        <f t="shared" si="16"/>
        <v>3.5506352445903944E-2</v>
      </c>
      <c r="H137" s="38">
        <f t="shared" si="17"/>
        <v>-0.42942978773440221</v>
      </c>
      <c r="I137" s="38">
        <f t="shared" si="18"/>
        <v>2.9429787734402191E-2</v>
      </c>
      <c r="AP137" s="1">
        <f t="shared" si="19"/>
        <v>36.26037827406806</v>
      </c>
      <c r="AQ137" s="1">
        <f t="shared" si="20"/>
        <v>-0.26037827406806002</v>
      </c>
      <c r="AR137" s="1">
        <f t="shared" si="21"/>
        <v>36.437023704908846</v>
      </c>
      <c r="AS137" s="1">
        <f t="shared" si="22"/>
        <v>-0.4370237049088459</v>
      </c>
    </row>
    <row r="138" spans="1:45" x14ac:dyDescent="0.2">
      <c r="B138" s="1">
        <v>37</v>
      </c>
      <c r="C138" s="1">
        <f>-912*10^-3</f>
        <v>-0.91200000000000003</v>
      </c>
      <c r="D138" s="1">
        <f>568*10^-3</f>
        <v>0.56800000000000006</v>
      </c>
      <c r="E138" s="1">
        <f t="shared" si="15"/>
        <v>-0.34399999999999997</v>
      </c>
      <c r="F138" s="38">
        <f>L$159*(B39^3)+M$159*(B39^2)+N$159*B39+O$159</f>
        <v>-0.40332984445945019</v>
      </c>
      <c r="G138" s="38">
        <f t="shared" si="16"/>
        <v>5.9329844459450221E-2</v>
      </c>
      <c r="H138" s="38">
        <f t="shared" si="17"/>
        <v>-0.39938077917791892</v>
      </c>
      <c r="I138" s="38">
        <f t="shared" si="18"/>
        <v>5.5380779177918948E-2</v>
      </c>
      <c r="AP138" s="1">
        <f t="shared" si="19"/>
        <v>38.088871116570978</v>
      </c>
      <c r="AQ138" s="1">
        <f t="shared" si="20"/>
        <v>-1.0888711165709779</v>
      </c>
      <c r="AR138" s="1">
        <f t="shared" si="21"/>
        <v>38.291817375856908</v>
      </c>
      <c r="AS138" s="1">
        <f t="shared" si="22"/>
        <v>-1.2918173758569083</v>
      </c>
    </row>
    <row r="139" spans="1:45" x14ac:dyDescent="0.2">
      <c r="B139" s="1">
        <v>38</v>
      </c>
      <c r="C139" s="1">
        <f>-912*10^-3</f>
        <v>-0.91200000000000003</v>
      </c>
      <c r="D139" s="1">
        <f>592*10^-3</f>
        <v>0.59199999999999997</v>
      </c>
      <c r="E139" s="45">
        <f t="shared" si="15"/>
        <v>-0.32000000000000006</v>
      </c>
      <c r="F139" s="38">
        <f>L$159*(B40^3)+M$159*(B40^2)+N$159*B40+O$159</f>
        <v>-0.37171015620378878</v>
      </c>
      <c r="G139" s="38">
        <f t="shared" si="16"/>
        <v>5.1710156203788715E-2</v>
      </c>
      <c r="H139" s="38">
        <f t="shared" si="17"/>
        <v>-0.36947103936790948</v>
      </c>
      <c r="I139" s="38">
        <f t="shared" si="18"/>
        <v>4.947103936790942E-2</v>
      </c>
      <c r="AP139" s="1">
        <f t="shared" si="19"/>
        <v>38.879776888928518</v>
      </c>
      <c r="AQ139" s="1">
        <f t="shared" si="20"/>
        <v>-0.87977688892851802</v>
      </c>
      <c r="AR139" s="1">
        <f t="shared" si="21"/>
        <v>39.080098771613955</v>
      </c>
      <c r="AS139" s="1">
        <f t="shared" si="22"/>
        <v>-1.0800987716139545</v>
      </c>
    </row>
    <row r="140" spans="1:45" x14ac:dyDescent="0.2">
      <c r="B140" s="1">
        <v>39</v>
      </c>
      <c r="C140" s="1">
        <f>-896*10^-3</f>
        <v>-0.89600000000000002</v>
      </c>
      <c r="D140" s="1">
        <f>616*10^-3</f>
        <v>0.61599999999999999</v>
      </c>
      <c r="E140" s="45">
        <f t="shared" si="15"/>
        <v>-0.28000000000000003</v>
      </c>
      <c r="F140" s="38">
        <f>L$159*(B41^3)+M$159*(B41^2)+N$159*B41+O$159</f>
        <v>-0.34063994259312924</v>
      </c>
      <c r="G140" s="38">
        <f t="shared" si="16"/>
        <v>6.0639942593129215E-2</v>
      </c>
      <c r="H140" s="38">
        <f t="shared" si="17"/>
        <v>-0.33972918454138012</v>
      </c>
      <c r="I140" s="38">
        <f t="shared" si="18"/>
        <v>5.9729184541380098E-2</v>
      </c>
      <c r="AP140" s="1">
        <f t="shared" si="19"/>
        <v>40.211154376836063</v>
      </c>
      <c r="AQ140" s="1">
        <f t="shared" si="20"/>
        <v>-1.2111543768360633</v>
      </c>
      <c r="AR140" s="1">
        <f t="shared" si="21"/>
        <v>40.392816095492876</v>
      </c>
      <c r="AS140" s="1">
        <f t="shared" si="22"/>
        <v>-1.3928160954928757</v>
      </c>
    </row>
    <row r="141" spans="1:45" x14ac:dyDescent="0.2">
      <c r="B141" s="1">
        <v>40</v>
      </c>
      <c r="C141" s="1">
        <f>-816*10^-3</f>
        <v>-0.81600000000000006</v>
      </c>
      <c r="D141" s="1">
        <f>496*10^-3</f>
        <v>0.496</v>
      </c>
      <c r="E141" s="45">
        <f t="shared" si="15"/>
        <v>-0.32000000000000006</v>
      </c>
      <c r="F141" s="38">
        <f>L$159*(B42^3)+M$159*(B42^2)+N$159*B42+O$159</f>
        <v>-0.31011185854168177</v>
      </c>
      <c r="G141" s="38">
        <f t="shared" si="16"/>
        <v>-9.8881414583182892E-3</v>
      </c>
      <c r="H141" s="38">
        <f t="shared" si="17"/>
        <v>-0.31018255928456084</v>
      </c>
      <c r="I141" s="38">
        <f t="shared" si="18"/>
        <v>-9.8174407154392185E-3</v>
      </c>
      <c r="AP141" s="1">
        <f t="shared" si="19"/>
        <v>38.879776888928518</v>
      </c>
      <c r="AQ141" s="1">
        <f t="shared" si="20"/>
        <v>1.120223111071482</v>
      </c>
      <c r="AR141" s="1">
        <f t="shared" si="21"/>
        <v>39.080098771613955</v>
      </c>
      <c r="AS141" s="1">
        <f t="shared" si="22"/>
        <v>0.91990122838604549</v>
      </c>
    </row>
    <row r="142" spans="1:45" x14ac:dyDescent="0.2">
      <c r="B142" s="1">
        <v>41</v>
      </c>
      <c r="C142" s="45">
        <f>-800*10^-3</f>
        <v>-0.8</v>
      </c>
      <c r="D142" s="45">
        <f>520*10^-3</f>
        <v>0.52</v>
      </c>
      <c r="E142" s="45">
        <f t="shared" si="15"/>
        <v>-0.28000000000000003</v>
      </c>
      <c r="F142" s="38">
        <f>L$159*(B43^3)+M$159*(B43^2)+N$159*B43+O$159</f>
        <v>-0.28011855896365612</v>
      </c>
      <c r="G142" s="38">
        <f t="shared" si="16"/>
        <v>1.185589636560902E-4</v>
      </c>
      <c r="H142" s="38">
        <f t="shared" si="17"/>
        <v>-0.28085723653290384</v>
      </c>
      <c r="I142" s="38">
        <f t="shared" si="18"/>
        <v>8.5723653290381563E-4</v>
      </c>
      <c r="AP142" s="1">
        <f t="shared" si="19"/>
        <v>40.211154376836063</v>
      </c>
      <c r="AQ142" s="1">
        <f t="shared" si="20"/>
        <v>0.78884562316393669</v>
      </c>
      <c r="AR142" s="1">
        <f t="shared" si="21"/>
        <v>40.392816095492876</v>
      </c>
      <c r="AS142" s="1">
        <f t="shared" si="22"/>
        <v>0.60718390450712434</v>
      </c>
    </row>
    <row r="143" spans="1:45" x14ac:dyDescent="0.2">
      <c r="B143" s="1">
        <v>42</v>
      </c>
      <c r="C143" s="45">
        <f>-800*10^-3</f>
        <v>-0.8</v>
      </c>
      <c r="D143" s="1">
        <f>552*10^-3</f>
        <v>0.55200000000000005</v>
      </c>
      <c r="E143" s="1">
        <f t="shared" si="15"/>
        <v>-0.248</v>
      </c>
      <c r="F143" s="38">
        <f>L$159*(B44^3)+M$159*(B44^2)+N$159*B44+O$159</f>
        <v>-0.25065269877326202</v>
      </c>
      <c r="G143" s="38">
        <f t="shared" si="16"/>
        <v>2.6526987732620189E-3</v>
      </c>
      <c r="H143" s="38">
        <f t="shared" si="17"/>
        <v>-0.25177801757108487</v>
      </c>
      <c r="I143" s="38">
        <f t="shared" si="18"/>
        <v>3.7780175710848685E-3</v>
      </c>
      <c r="AP143" s="1">
        <f t="shared" si="19"/>
        <v>41.29066696880205</v>
      </c>
      <c r="AQ143" s="1">
        <f t="shared" si="20"/>
        <v>0.70933303119794999</v>
      </c>
      <c r="AR143" s="1">
        <f t="shared" si="21"/>
        <v>41.447348668068621</v>
      </c>
      <c r="AS143" s="1">
        <f t="shared" si="22"/>
        <v>0.55265133193137927</v>
      </c>
    </row>
    <row r="144" spans="1:45" x14ac:dyDescent="0.2">
      <c r="B144" s="1">
        <v>43</v>
      </c>
      <c r="C144" s="1">
        <f>-792*10^-3</f>
        <v>-0.79200000000000004</v>
      </c>
      <c r="D144" s="1">
        <f>576*10^-3</f>
        <v>0.57600000000000007</v>
      </c>
      <c r="E144" s="1">
        <f t="shared" si="15"/>
        <v>-0.21599999999999997</v>
      </c>
      <c r="F144" s="38">
        <f>L$159*(B45^3)+M$159*(B45^2)+N$159*B45+O$159</f>
        <v>-0.22170693288470922</v>
      </c>
      <c r="G144" s="38">
        <f t="shared" si="16"/>
        <v>5.7069328847092482E-3</v>
      </c>
      <c r="H144" s="38">
        <f t="shared" si="17"/>
        <v>-0.22296843203300254</v>
      </c>
      <c r="I144" s="38">
        <f t="shared" si="18"/>
        <v>6.9684320330025695E-3</v>
      </c>
      <c r="AP144" s="1">
        <f t="shared" si="19"/>
        <v>42.385424819542315</v>
      </c>
      <c r="AQ144" s="1">
        <f t="shared" si="20"/>
        <v>0.61457518045768467</v>
      </c>
      <c r="AR144" s="1">
        <f t="shared" si="21"/>
        <v>42.510691711950088</v>
      </c>
      <c r="AS144" s="1">
        <f t="shared" si="22"/>
        <v>0.48930828804991222</v>
      </c>
    </row>
    <row r="145" spans="2:45" x14ac:dyDescent="0.2">
      <c r="B145" s="1">
        <v>44</v>
      </c>
      <c r="C145" s="1">
        <f>-792*10^-3</f>
        <v>-0.79200000000000004</v>
      </c>
      <c r="D145" s="45">
        <f>600*10^-3</f>
        <v>0.6</v>
      </c>
      <c r="E145" s="1">
        <f t="shared" si="15"/>
        <v>-0.19200000000000006</v>
      </c>
      <c r="F145" s="38">
        <f>L$159*(B46^3)+M$159*(B46^2)+N$159*B46+O$159</f>
        <v>-0.19327391621220791</v>
      </c>
      <c r="G145" s="38">
        <f t="shared" si="16"/>
        <v>1.2739162122078485E-3</v>
      </c>
      <c r="H145" s="38">
        <f t="shared" si="17"/>
        <v>-0.19445073790177858</v>
      </c>
      <c r="I145" s="38">
        <f t="shared" si="18"/>
        <v>2.4507379017785214E-3</v>
      </c>
      <c r="AP145" s="1">
        <f t="shared" si="19"/>
        <v>43.21785049979021</v>
      </c>
      <c r="AQ145" s="1">
        <f t="shared" si="20"/>
        <v>0.78214950020979046</v>
      </c>
      <c r="AR145" s="1">
        <f t="shared" si="21"/>
        <v>43.316609881887679</v>
      </c>
      <c r="AS145" s="1">
        <f t="shared" si="22"/>
        <v>0.68339011811232098</v>
      </c>
    </row>
    <row r="146" spans="2:45" x14ac:dyDescent="0.2">
      <c r="B146" s="1">
        <v>45</v>
      </c>
      <c r="C146" s="1">
        <f>-776*10^-3</f>
        <v>-0.77600000000000002</v>
      </c>
      <c r="D146" s="1">
        <f>632*10^-3</f>
        <v>0.63200000000000001</v>
      </c>
      <c r="E146" s="1">
        <f t="shared" si="15"/>
        <v>-0.14400000000000002</v>
      </c>
      <c r="F146" s="38">
        <f>L$159*(B47^3)+M$159*(B47^2)+N$159*B47+O$159</f>
        <v>-0.16534630366996805</v>
      </c>
      <c r="G146" s="38">
        <f t="shared" si="16"/>
        <v>2.1346303669968036E-2</v>
      </c>
      <c r="H146" s="38">
        <f t="shared" si="17"/>
        <v>-0.16624592150975803</v>
      </c>
      <c r="I146" s="38">
        <f t="shared" si="18"/>
        <v>2.2245921509758015E-2</v>
      </c>
      <c r="AP146" s="1">
        <f t="shared" si="19"/>
        <v>44.916016797646037</v>
      </c>
      <c r="AQ146" s="1">
        <f t="shared" si="20"/>
        <v>8.3983202353962838E-2</v>
      </c>
      <c r="AR146" s="1">
        <f t="shared" si="21"/>
        <v>44.957702308748068</v>
      </c>
      <c r="AS146" s="1">
        <f t="shared" si="22"/>
        <v>4.2297691251931724E-2</v>
      </c>
    </row>
    <row r="147" spans="2:45" x14ac:dyDescent="0.2">
      <c r="B147" s="1">
        <v>46</v>
      </c>
      <c r="C147" s="1">
        <f>-776*10^-3</f>
        <v>-0.77600000000000002</v>
      </c>
      <c r="D147" s="1">
        <f>656*10^-3</f>
        <v>0.65600000000000003</v>
      </c>
      <c r="E147" s="45">
        <f t="shared" si="15"/>
        <v>-0.12</v>
      </c>
      <c r="F147" s="38">
        <f>L$159*(B48^3)+M$159*(B48^2)+N$159*B48+O$159</f>
        <v>-0.13791675017219918</v>
      </c>
      <c r="G147" s="38">
        <f t="shared" si="16"/>
        <v>1.7916750172199181E-2</v>
      </c>
      <c r="H147" s="38">
        <f t="shared" si="17"/>
        <v>-0.13837369753850814</v>
      </c>
      <c r="I147" s="38">
        <f t="shared" si="18"/>
        <v>1.8373697538508149E-2</v>
      </c>
      <c r="AP147" s="1">
        <f t="shared" si="19"/>
        <v>45.783654556048582</v>
      </c>
      <c r="AQ147" s="1">
        <f t="shared" si="20"/>
        <v>0.2163454439514183</v>
      </c>
      <c r="AR147" s="1">
        <f t="shared" si="21"/>
        <v>45.79624024252437</v>
      </c>
      <c r="AS147" s="1">
        <f t="shared" si="22"/>
        <v>0.20375975747563047</v>
      </c>
    </row>
    <row r="148" spans="2:45" x14ac:dyDescent="0.2">
      <c r="B148" s="1">
        <v>47</v>
      </c>
      <c r="C148" s="1">
        <f>-768*10^-3</f>
        <v>-0.76800000000000002</v>
      </c>
      <c r="D148" s="1">
        <f>688*10^-3</f>
        <v>0.68800000000000006</v>
      </c>
      <c r="E148" s="45">
        <f t="shared" si="15"/>
        <v>-7.999999999999996E-2</v>
      </c>
      <c r="F148" s="38">
        <f>L$159*(B49^3)+M$159*(B49^2)+N$159*B49+O$159</f>
        <v>-0.11097791063311124</v>
      </c>
      <c r="G148" s="38">
        <f t="shared" si="16"/>
        <v>3.0977910633111283E-2</v>
      </c>
      <c r="H148" s="38">
        <f t="shared" si="17"/>
        <v>-0.11085250901881993</v>
      </c>
      <c r="I148" s="38">
        <f t="shared" si="18"/>
        <v>3.0852509018819974E-2</v>
      </c>
      <c r="AP148" s="1">
        <f t="shared" si="19"/>
        <v>47.26048480583308</v>
      </c>
      <c r="AQ148" s="1">
        <f t="shared" si="20"/>
        <v>-0.2604848058330802</v>
      </c>
      <c r="AR148" s="1">
        <f t="shared" si="21"/>
        <v>47.225983345656026</v>
      </c>
      <c r="AS148" s="1">
        <f t="shared" si="22"/>
        <v>-0.22598334565602585</v>
      </c>
    </row>
    <row r="149" spans="2:45" x14ac:dyDescent="0.2">
      <c r="B149" s="1">
        <v>48</v>
      </c>
      <c r="C149" s="45">
        <f>-760*10^-3</f>
        <v>-0.76</v>
      </c>
      <c r="D149" s="1">
        <f>712*10^-3</f>
        <v>0.71199999999999997</v>
      </c>
      <c r="E149" s="1">
        <f t="shared" si="15"/>
        <v>-4.8000000000000043E-2</v>
      </c>
      <c r="F149" s="38">
        <f>L$159*(B50^3)+M$159*(B50^2)+N$159*B50+O$159</f>
        <v>-8.4522439966913998E-2</v>
      </c>
      <c r="G149" s="38">
        <f t="shared" si="16"/>
        <v>3.6522439966913955E-2</v>
      </c>
      <c r="H149" s="38">
        <f t="shared" si="17"/>
        <v>-8.3699527330707735E-2</v>
      </c>
      <c r="I149" s="38">
        <f t="shared" si="18"/>
        <v>3.5699527330707692E-2</v>
      </c>
      <c r="AP149" s="1">
        <f t="shared" si="19"/>
        <v>48.472169113922384</v>
      </c>
      <c r="AQ149" s="1">
        <f t="shared" si="20"/>
        <v>-0.47216911392238359</v>
      </c>
      <c r="AR149" s="1">
        <f t="shared" si="21"/>
        <v>48.402766761862061</v>
      </c>
      <c r="AS149" s="1">
        <f t="shared" si="22"/>
        <v>-0.40276676186206117</v>
      </c>
    </row>
    <row r="150" spans="2:45" x14ac:dyDescent="0.2">
      <c r="B150" s="1">
        <v>49</v>
      </c>
      <c r="C150" s="1">
        <f>-752*10^-3</f>
        <v>-0.752</v>
      </c>
      <c r="D150" s="1">
        <f>744*10^-3</f>
        <v>0.74399999999999999</v>
      </c>
      <c r="E150" s="1">
        <f t="shared" si="15"/>
        <v>-8.0000000000000071E-3</v>
      </c>
      <c r="F150" s="38">
        <f>L$159*(B51^3)+M$159*(B51^2)+N$159*B51+O$159</f>
        <v>-5.8542993087816964E-2</v>
      </c>
      <c r="G150" s="38">
        <f t="shared" si="16"/>
        <v>5.0542993087816956E-2</v>
      </c>
      <c r="H150" s="38">
        <f t="shared" si="17"/>
        <v>-5.693065220340765E-2</v>
      </c>
      <c r="I150" s="38">
        <f t="shared" si="18"/>
        <v>4.8930652203407643E-2</v>
      </c>
      <c r="AP150" s="1">
        <f t="shared" si="19"/>
        <v>50.028238519239565</v>
      </c>
      <c r="AQ150" s="1">
        <f t="shared" si="20"/>
        <v>-1.0282385192395651</v>
      </c>
      <c r="AR150" s="1">
        <f t="shared" si="21"/>
        <v>49.920530650012743</v>
      </c>
      <c r="AS150" s="1">
        <f t="shared" si="22"/>
        <v>-0.92053065001274348</v>
      </c>
    </row>
    <row r="151" spans="2:45" x14ac:dyDescent="0.2">
      <c r="B151" s="1">
        <v>50</v>
      </c>
      <c r="C151" s="45">
        <f>-680*10^-3</f>
        <v>-0.68</v>
      </c>
      <c r="D151" s="1">
        <f>632*10^-3</f>
        <v>0.63200000000000001</v>
      </c>
      <c r="E151" s="1">
        <f t="shared" si="15"/>
        <v>-4.8000000000000043E-2</v>
      </c>
      <c r="F151" s="38">
        <f>L$159*(B52^3)+M$159*(B52^2)+N$159*B52+O$159</f>
        <v>-3.3032224910030994E-2</v>
      </c>
      <c r="G151" s="38">
        <f t="shared" si="16"/>
        <v>-1.4967775089969049E-2</v>
      </c>
      <c r="H151" s="38">
        <f t="shared" si="17"/>
        <v>-3.0560511715380656E-2</v>
      </c>
      <c r="I151" s="38">
        <f t="shared" si="18"/>
        <v>-1.7439488284619387E-2</v>
      </c>
      <c r="AP151" s="1">
        <f t="shared" si="19"/>
        <v>48.472169113922384</v>
      </c>
      <c r="AQ151" s="1">
        <f t="shared" si="20"/>
        <v>1.5278308860776164</v>
      </c>
      <c r="AR151" s="1">
        <f t="shared" si="21"/>
        <v>48.402766761862061</v>
      </c>
      <c r="AS151" s="1">
        <f t="shared" si="22"/>
        <v>1.5972332381379388</v>
      </c>
    </row>
    <row r="152" spans="2:45" x14ac:dyDescent="0.2">
      <c r="B152" s="1">
        <v>51</v>
      </c>
      <c r="C152" s="1">
        <f>-672*10^-3</f>
        <v>-0.67200000000000004</v>
      </c>
      <c r="D152" s="1">
        <f>656*10^-3</f>
        <v>0.65600000000000003</v>
      </c>
      <c r="E152" s="1">
        <f t="shared" si="15"/>
        <v>-1.6000000000000014E-2</v>
      </c>
      <c r="F152" s="38">
        <f>L$159*(B53^3)+M$159*(B53^2)+N$159*B53+O$159</f>
        <v>-7.9827903477653894E-3</v>
      </c>
      <c r="G152" s="38">
        <f t="shared" si="16"/>
        <v>-8.0172096522346248E-3</v>
      </c>
      <c r="H152" s="38">
        <f t="shared" si="17"/>
        <v>-4.6024622943083848E-3</v>
      </c>
      <c r="I152" s="38">
        <f t="shared" si="18"/>
        <v>-1.1397537705691629E-2</v>
      </c>
      <c r="AP152" s="1">
        <f t="shared" si="19"/>
        <v>49.713151575560858</v>
      </c>
      <c r="AQ152" s="1">
        <f t="shared" si="20"/>
        <v>1.2868484244391425</v>
      </c>
      <c r="AR152" s="1">
        <f t="shared" si="21"/>
        <v>49.612550010842071</v>
      </c>
      <c r="AS152" s="1">
        <f t="shared" si="22"/>
        <v>1.3874499891579291</v>
      </c>
    </row>
    <row r="153" spans="2:45" x14ac:dyDescent="0.2">
      <c r="B153" s="1">
        <v>52</v>
      </c>
      <c r="C153" s="1">
        <f>-672*10^-3</f>
        <v>-0.67200000000000004</v>
      </c>
      <c r="D153" s="45">
        <f>680*10^-3</f>
        <v>0.68</v>
      </c>
      <c r="E153" s="1">
        <f t="shared" si="15"/>
        <v>8.0000000000000071E-3</v>
      </c>
      <c r="F153" s="38">
        <f>L$159*(B54^3)+M$159*(B54^2)+N$159*B54+O$159</f>
        <v>1.6612655684770106E-2</v>
      </c>
      <c r="G153" s="38">
        <f t="shared" si="16"/>
        <v>-8.6126556847700986E-3</v>
      </c>
      <c r="H153" s="38">
        <f t="shared" si="17"/>
        <v>2.093141128290199E-2</v>
      </c>
      <c r="I153" s="38">
        <f t="shared" si="18"/>
        <v>-1.2931411282901983E-2</v>
      </c>
      <c r="AP153" s="1">
        <f t="shared" si="19"/>
        <v>50.664467926178446</v>
      </c>
      <c r="AQ153" s="1">
        <f t="shared" si="20"/>
        <v>1.3355320738215539</v>
      </c>
      <c r="AR153" s="1">
        <f t="shared" si="21"/>
        <v>50.543473093321083</v>
      </c>
      <c r="AS153" s="1">
        <f t="shared" si="22"/>
        <v>1.456526906678917</v>
      </c>
    </row>
    <row r="154" spans="2:45" x14ac:dyDescent="0.2">
      <c r="B154" s="1">
        <v>53</v>
      </c>
      <c r="C154" s="1">
        <f>-672*10^-3</f>
        <v>-0.67200000000000004</v>
      </c>
      <c r="D154" s="1">
        <f>712*10^-3</f>
        <v>0.71199999999999997</v>
      </c>
      <c r="E154" s="45">
        <f t="shared" si="15"/>
        <v>3.9999999999999925E-2</v>
      </c>
      <c r="F154" s="38">
        <f>L$159*(B55^3)+M$159*(B55^2)+N$159*B55+O$159</f>
        <v>4.0761458273365303E-2</v>
      </c>
      <c r="G154" s="38">
        <f t="shared" si="16"/>
        <v>-7.6145827336537852E-4</v>
      </c>
      <c r="H154" s="38">
        <f t="shared" si="17"/>
        <v>4.6030295890121753E-2</v>
      </c>
      <c r="I154" s="38">
        <f t="shared" si="18"/>
        <v>-6.0302958901218284E-3</v>
      </c>
      <c r="AP154" s="1">
        <f t="shared" si="19"/>
        <v>51.962132521016308</v>
      </c>
      <c r="AQ154" s="1">
        <f t="shared" si="20"/>
        <v>1.0378674789836921</v>
      </c>
      <c r="AR154" s="1">
        <f t="shared" si="21"/>
        <v>51.818584169650698</v>
      </c>
      <c r="AS154" s="1">
        <f t="shared" si="22"/>
        <v>1.1814158303493016</v>
      </c>
    </row>
    <row r="155" spans="2:45" x14ac:dyDescent="0.2">
      <c r="B155" s="1">
        <v>54</v>
      </c>
      <c r="C155" s="1">
        <f>-656*10^-3</f>
        <v>-0.65600000000000003</v>
      </c>
      <c r="D155" s="1">
        <f>744*10^-3</f>
        <v>0.74399999999999999</v>
      </c>
      <c r="E155" s="1">
        <f t="shared" si="15"/>
        <v>8.7999999999999967E-2</v>
      </c>
      <c r="F155" s="38">
        <f>L$159*(B56^3)+M$159*(B56^2)+N$159*B56+O$159</f>
        <v>6.4470962503810902E-2</v>
      </c>
      <c r="G155" s="38">
        <f t="shared" si="16"/>
        <v>2.3529037496189065E-2</v>
      </c>
      <c r="H155" s="38">
        <f t="shared" si="17"/>
        <v>7.0684650051998865E-2</v>
      </c>
      <c r="I155" s="38">
        <f t="shared" si="18"/>
        <v>1.7315349948001102E-2</v>
      </c>
      <c r="Q155" s="57" t="s">
        <v>99</v>
      </c>
      <c r="R155" s="57"/>
      <c r="AH155" s="53" t="s">
        <v>85</v>
      </c>
      <c r="AI155" s="53"/>
      <c r="AJ155" s="53"/>
      <c r="AK155" s="53"/>
      <c r="AP155" s="1">
        <f t="shared" si="19"/>
        <v>53.975859734105825</v>
      </c>
      <c r="AQ155" s="1">
        <f t="shared" si="20"/>
        <v>2.4140265894175172E-2</v>
      </c>
      <c r="AR155" s="1">
        <f t="shared" si="21"/>
        <v>53.80961080576224</v>
      </c>
      <c r="AS155" s="1">
        <f t="shared" si="22"/>
        <v>0.1903891942377598</v>
      </c>
    </row>
    <row r="156" spans="2:45" x14ac:dyDescent="0.2">
      <c r="B156" s="1">
        <v>55</v>
      </c>
      <c r="C156" s="1">
        <f>-648*10^-3</f>
        <v>-0.64800000000000002</v>
      </c>
      <c r="D156" s="1">
        <f>776*10^-3</f>
        <v>0.77600000000000002</v>
      </c>
      <c r="E156" s="1">
        <f t="shared" si="15"/>
        <v>0.128</v>
      </c>
      <c r="F156" s="38">
        <f>L$159*(B57^3)+M$159*(B57^2)+N$159*B57+O$159</f>
        <v>8.7748513461896938E-2</v>
      </c>
      <c r="G156" s="38">
        <f t="shared" si="16"/>
        <v>4.0251486538103065E-2</v>
      </c>
      <c r="H156" s="38">
        <f t="shared" si="17"/>
        <v>9.4886203943958414E-2</v>
      </c>
      <c r="I156" s="38">
        <f t="shared" si="18"/>
        <v>3.3113796056041589E-2</v>
      </c>
      <c r="AH156" s="50" t="s">
        <v>67</v>
      </c>
      <c r="AI156" s="50" t="s">
        <v>68</v>
      </c>
      <c r="AJ156" s="50" t="s">
        <v>69</v>
      </c>
      <c r="AK156" s="50" t="s">
        <v>27</v>
      </c>
      <c r="AP156" s="1">
        <f t="shared" si="19"/>
        <v>55.720424221689299</v>
      </c>
      <c r="AQ156" s="1">
        <f t="shared" si="20"/>
        <v>-0.72042422168929932</v>
      </c>
      <c r="AR156" s="1">
        <f t="shared" si="21"/>
        <v>55.546271655479515</v>
      </c>
      <c r="AS156" s="1">
        <f t="shared" si="22"/>
        <v>-0.54627165547951506</v>
      </c>
    </row>
    <row r="157" spans="2:45" ht="17" x14ac:dyDescent="0.2">
      <c r="B157" s="1">
        <v>56</v>
      </c>
      <c r="C157" s="1">
        <f>-632*10^-3</f>
        <v>-0.63200000000000001</v>
      </c>
      <c r="D157" s="45">
        <f>800*10^-3</f>
        <v>0.8</v>
      </c>
      <c r="E157" s="1">
        <f t="shared" si="15"/>
        <v>0.16800000000000004</v>
      </c>
      <c r="F157" s="38">
        <f>L$159*(B58^3)+M$159*(B58^2)+N$159*B58+O$159</f>
        <v>0.11060145623341322</v>
      </c>
      <c r="G157" s="38">
        <f t="shared" si="16"/>
        <v>5.7398543766586818E-2</v>
      </c>
      <c r="H157" s="38">
        <f t="shared" si="17"/>
        <v>0.11862795939220128</v>
      </c>
      <c r="I157" s="38">
        <f t="shared" si="18"/>
        <v>4.9372040607798762E-2</v>
      </c>
      <c r="L157" s="53" t="s">
        <v>80</v>
      </c>
      <c r="M157" s="53"/>
      <c r="N157" s="53"/>
      <c r="O157" s="53"/>
      <c r="Q157" s="51" t="s">
        <v>9</v>
      </c>
      <c r="R157" s="4">
        <v>50</v>
      </c>
      <c r="AH157" s="48" cm="1">
        <f t="array" ref="AH157:AK161">LINEST(B132:B200,E132:E200^{1,2,3},1,1)</f>
        <v>11.436275044674067</v>
      </c>
      <c r="AI157" s="48">
        <v>15.952562644114</v>
      </c>
      <c r="AJ157" s="48">
        <v>39.763606012077055</v>
      </c>
      <c r="AK157" s="48">
        <v>50.345332258699784</v>
      </c>
      <c r="AP157" s="1">
        <f t="shared" si="19"/>
        <v>57.530089804508833</v>
      </c>
      <c r="AQ157" s="1">
        <f t="shared" si="20"/>
        <v>-1.5300898045088331</v>
      </c>
      <c r="AR157" s="1">
        <f t="shared" si="21"/>
        <v>57.358348072522382</v>
      </c>
      <c r="AS157" s="1">
        <f t="shared" si="22"/>
        <v>-1.3583480725223822</v>
      </c>
    </row>
    <row r="158" spans="2:45" x14ac:dyDescent="0.2">
      <c r="B158" s="1">
        <v>57</v>
      </c>
      <c r="C158" s="1">
        <f>-632*10^-3</f>
        <v>-0.63200000000000001</v>
      </c>
      <c r="D158" s="1">
        <f>816*10^-3</f>
        <v>0.81600000000000006</v>
      </c>
      <c r="E158" s="1">
        <f t="shared" si="15"/>
        <v>0.18400000000000005</v>
      </c>
      <c r="F158" s="38">
        <f>L$159*(B59^3)+M$159*(B59^2)+N$159*B59+O$159</f>
        <v>0.13303713590414956</v>
      </c>
      <c r="G158" s="38">
        <f t="shared" si="16"/>
        <v>5.0962864095850491E-2</v>
      </c>
      <c r="H158" s="38">
        <f t="shared" si="17"/>
        <v>0.14190418987370768</v>
      </c>
      <c r="I158" s="38">
        <f t="shared" si="18"/>
        <v>4.2095810126292377E-2</v>
      </c>
      <c r="L158" s="50" t="s">
        <v>67</v>
      </c>
      <c r="M158" s="50" t="s">
        <v>68</v>
      </c>
      <c r="N158" s="50" t="s">
        <v>69</v>
      </c>
      <c r="O158" s="50" t="s">
        <v>27</v>
      </c>
      <c r="Q158" s="51" t="s">
        <v>106</v>
      </c>
      <c r="R158" s="48">
        <v>51</v>
      </c>
      <c r="AG158" s="54" t="s">
        <v>0</v>
      </c>
      <c r="AH158" s="48">
        <v>2.5372908077842888</v>
      </c>
      <c r="AI158" s="48">
        <v>1.4719012166142795</v>
      </c>
      <c r="AJ158" s="48">
        <v>0.74575084468943575</v>
      </c>
      <c r="AK158" s="48">
        <v>0.2416630191495506</v>
      </c>
      <c r="AP158" s="1">
        <f t="shared" si="19"/>
        <v>58.273168046936988</v>
      </c>
      <c r="AQ158" s="1">
        <f t="shared" si="20"/>
        <v>-1.2731680469369877</v>
      </c>
      <c r="AR158" s="1">
        <f t="shared" si="21"/>
        <v>58.105250588670401</v>
      </c>
      <c r="AS158" s="1">
        <f t="shared" si="22"/>
        <v>-1.1052505886704012</v>
      </c>
    </row>
    <row r="159" spans="2:45" ht="16" customHeight="1" x14ac:dyDescent="0.2">
      <c r="B159" s="1">
        <v>58</v>
      </c>
      <c r="C159" s="1">
        <f>-624*10^-3</f>
        <v>-0.624</v>
      </c>
      <c r="D159" s="45">
        <f>840*10^-3</f>
        <v>0.84</v>
      </c>
      <c r="E159" s="1">
        <f t="shared" si="15"/>
        <v>0.21599999999999997</v>
      </c>
      <c r="F159" s="38">
        <f>L$159*(B60^3)+M$159*(B60^2)+N$159*B60+O$159</f>
        <v>0.15506289755989622</v>
      </c>
      <c r="G159" s="38">
        <f t="shared" si="16"/>
        <v>6.0937102440103752E-2</v>
      </c>
      <c r="H159" s="38">
        <f t="shared" si="17"/>
        <v>0.16471044051623229</v>
      </c>
      <c r="I159" s="38">
        <f t="shared" si="18"/>
        <v>5.1289559483767677E-2</v>
      </c>
      <c r="L159" s="47" cm="1">
        <f t="array" ref="L159:O163">LINEST(E132:E200,B132:B200^{1,2,3},1,1)</f>
        <v>1.224180965023582E-6</v>
      </c>
      <c r="M159" s="47">
        <v>-4.1062140961864847E-4</v>
      </c>
      <c r="N159" s="45">
        <v>5.6701999840623588E-2</v>
      </c>
      <c r="O159" s="48">
        <v>-1.9695518789602713</v>
      </c>
      <c r="Q159" s="51" t="s">
        <v>96</v>
      </c>
      <c r="R159" s="62">
        <f>(R158-R157)/R157</f>
        <v>0.02</v>
      </c>
      <c r="AG159" s="54" t="s">
        <v>70</v>
      </c>
      <c r="AH159" s="45">
        <v>0.99697932252205723</v>
      </c>
      <c r="AI159" s="48">
        <v>1.1292225067877175</v>
      </c>
      <c r="AJ159" s="1" t="e">
        <v>#N/A</v>
      </c>
      <c r="AK159" s="1" t="e">
        <v>#N/A</v>
      </c>
      <c r="AM159" s="61" t="s">
        <v>100</v>
      </c>
      <c r="AN159" s="61"/>
      <c r="AP159" s="1">
        <f t="shared" si="19"/>
        <v>59.793805223304823</v>
      </c>
      <c r="AQ159" s="1">
        <f t="shared" si="20"/>
        <v>-1.7938052233048225</v>
      </c>
      <c r="AR159" s="1">
        <f t="shared" si="21"/>
        <v>59.638266980219626</v>
      </c>
      <c r="AS159" s="1">
        <f t="shared" si="22"/>
        <v>-1.6382669802196261</v>
      </c>
    </row>
    <row r="160" spans="2:45" x14ac:dyDescent="0.2">
      <c r="B160" s="1">
        <v>59</v>
      </c>
      <c r="C160" s="1">
        <f>-624*10^-3</f>
        <v>-0.624</v>
      </c>
      <c r="D160" s="1">
        <f>872*10^-3</f>
        <v>0.872</v>
      </c>
      <c r="E160" s="1">
        <f t="shared" si="15"/>
        <v>0.248</v>
      </c>
      <c r="F160" s="38">
        <f>L$159*(B61^3)+M$159*(B61^2)+N$159*B61+O$159</f>
        <v>0.17668608628644433</v>
      </c>
      <c r="G160" s="38">
        <f t="shared" si="16"/>
        <v>7.1313913713555666E-2</v>
      </c>
      <c r="H160" s="38">
        <f t="shared" si="17"/>
        <v>0.18704352809830738</v>
      </c>
      <c r="I160" s="38">
        <f t="shared" si="18"/>
        <v>6.0956471901692622E-2</v>
      </c>
      <c r="K160" s="54" t="s">
        <v>0</v>
      </c>
      <c r="L160" s="49">
        <v>4.2319882745172459E-7</v>
      </c>
      <c r="M160" s="49">
        <v>8.269936806015839E-5</v>
      </c>
      <c r="N160" s="45">
        <v>5.1334859676776864E-3</v>
      </c>
      <c r="O160" s="48">
        <v>0.1004087446251514</v>
      </c>
      <c r="Q160" s="51" t="s">
        <v>105</v>
      </c>
      <c r="R160" s="1">
        <v>45.2</v>
      </c>
      <c r="AH160">
        <v>7151.1171955227783</v>
      </c>
      <c r="AI160">
        <v>65</v>
      </c>
      <c r="AJ160" t="e">
        <v>#N/A</v>
      </c>
      <c r="AK160" t="e">
        <v>#N/A</v>
      </c>
      <c r="AP160" s="1">
        <f t="shared" si="19"/>
        <v>61.362290374324694</v>
      </c>
      <c r="AQ160" s="1">
        <f t="shared" si="20"/>
        <v>-2.3622903743246937</v>
      </c>
      <c r="AR160" s="1">
        <f t="shared" si="21"/>
        <v>61.225084960921457</v>
      </c>
      <c r="AS160" s="1">
        <f t="shared" si="22"/>
        <v>-2.2250849609214569</v>
      </c>
    </row>
    <row r="161" spans="2:45" ht="17" x14ac:dyDescent="0.2">
      <c r="B161" s="1">
        <v>60</v>
      </c>
      <c r="C161" s="1">
        <f>-568*10^-3</f>
        <v>-0.56800000000000006</v>
      </c>
      <c r="D161" s="1">
        <f>768*10^-3</f>
        <v>0.76800000000000002</v>
      </c>
      <c r="E161" s="45">
        <f t="shared" si="15"/>
        <v>0.19999999999999996</v>
      </c>
      <c r="F161" s="38">
        <f>L$159*(B62^3)+M$159*(B62^2)+N$159*B62+O$159</f>
        <v>0.19791404716958327</v>
      </c>
      <c r="G161" s="38">
        <f t="shared" si="16"/>
        <v>2.0859528304166819E-3</v>
      </c>
      <c r="H161" s="38">
        <f t="shared" si="17"/>
        <v>0.20890154104924408</v>
      </c>
      <c r="I161" s="38">
        <f t="shared" si="18"/>
        <v>-8.9015410492441216E-3</v>
      </c>
      <c r="K161" s="54" t="s">
        <v>70</v>
      </c>
      <c r="L161" s="45">
        <v>0.99709244396102481</v>
      </c>
      <c r="M161" s="46">
        <v>2.216757993584351E-2</v>
      </c>
      <c r="N161" s="1" t="e">
        <v>#N/A</v>
      </c>
      <c r="O161" s="1" t="e">
        <v>#N/A</v>
      </c>
      <c r="Q161" s="51" t="s">
        <v>98</v>
      </c>
      <c r="R161" s="62">
        <f>(R160-R157)/R157</f>
        <v>-9.5999999999999946E-2</v>
      </c>
      <c r="AH161">
        <v>27356.101181707043</v>
      </c>
      <c r="AI161">
        <v>82.884325539335876</v>
      </c>
      <c r="AJ161" t="e">
        <v>#N/A</v>
      </c>
      <c r="AK161" t="e">
        <v>#N/A</v>
      </c>
      <c r="AM161" s="51" t="s">
        <v>9</v>
      </c>
      <c r="AN161" s="63">
        <v>50</v>
      </c>
      <c r="AP161" s="1">
        <f t="shared" si="19"/>
        <v>59.027646167237144</v>
      </c>
      <c r="AQ161" s="1">
        <f t="shared" si="20"/>
        <v>0.97235383276285603</v>
      </c>
      <c r="AR161" s="1">
        <f t="shared" si="21"/>
        <v>58.865144662008575</v>
      </c>
      <c r="AS161" s="1">
        <f t="shared" si="22"/>
        <v>1.134855337991425</v>
      </c>
    </row>
    <row r="162" spans="2:45" x14ac:dyDescent="0.2">
      <c r="B162" s="1">
        <v>61</v>
      </c>
      <c r="C162" s="1">
        <f>-568*10^-3</f>
        <v>-0.56800000000000006</v>
      </c>
      <c r="D162" s="1">
        <f>792*10^-3</f>
        <v>0.79200000000000004</v>
      </c>
      <c r="E162" s="1">
        <f t="shared" si="15"/>
        <v>0.22399999999999998</v>
      </c>
      <c r="F162" s="38">
        <f>L$159*(B63^3)+M$159*(B63^2)+N$159*B63+O$159</f>
        <v>0.2187541252951033</v>
      </c>
      <c r="G162" s="38">
        <f t="shared" si="16"/>
        <v>5.2458747048966803E-3</v>
      </c>
      <c r="H162" s="38">
        <f t="shared" si="17"/>
        <v>0.23028383944912756</v>
      </c>
      <c r="I162" s="38">
        <f t="shared" si="18"/>
        <v>-6.2838394491275817E-3</v>
      </c>
      <c r="L162">
        <v>7430.1816816469582</v>
      </c>
      <c r="M162">
        <v>65</v>
      </c>
      <c r="N162" t="e">
        <v>#N/A</v>
      </c>
      <c r="O162" t="e">
        <v>#N/A</v>
      </c>
      <c r="AM162" s="51" t="s">
        <v>95</v>
      </c>
      <c r="AN162" s="48">
        <v>50.3</v>
      </c>
      <c r="AP162" s="1">
        <f t="shared" si="19"/>
        <v>60.181352932843822</v>
      </c>
      <c r="AQ162" s="1">
        <f t="shared" si="20"/>
        <v>0.81864706715617785</v>
      </c>
      <c r="AR162" s="1">
        <f t="shared" si="21"/>
        <v>60.029859516463581</v>
      </c>
      <c r="AS162" s="1">
        <f t="shared" si="22"/>
        <v>0.97014048353641869</v>
      </c>
    </row>
    <row r="163" spans="2:45" x14ac:dyDescent="0.2">
      <c r="B163" s="1">
        <v>62</v>
      </c>
      <c r="C163" s="45">
        <f>-560*10^-3</f>
        <v>-0.56000000000000005</v>
      </c>
      <c r="D163" s="1">
        <f>816*10^-3</f>
        <v>0.81600000000000006</v>
      </c>
      <c r="E163" s="1">
        <f t="shared" si="15"/>
        <v>0.25600000000000001</v>
      </c>
      <c r="F163" s="38">
        <f>L$159*(B64^3)+M$159*(B64^2)+N$159*B64+O$159</f>
        <v>0.23921366574879466</v>
      </c>
      <c r="G163" s="38">
        <f t="shared" si="16"/>
        <v>1.6786334251205348E-2</v>
      </c>
      <c r="H163" s="38">
        <f t="shared" si="17"/>
        <v>0.25119105502882189</v>
      </c>
      <c r="I163" s="38">
        <f t="shared" si="18"/>
        <v>4.8089449711781196E-3</v>
      </c>
      <c r="L163">
        <v>10.953609504681875</v>
      </c>
      <c r="M163">
        <v>3.1941104013780766E-2</v>
      </c>
      <c r="N163" t="e">
        <v>#N/A</v>
      </c>
      <c r="O163" t="e">
        <v>#N/A</v>
      </c>
      <c r="Q163" s="67"/>
      <c r="R163" s="68"/>
      <c r="AM163" s="51" t="s">
        <v>101</v>
      </c>
      <c r="AN163" s="48">
        <f>AK158</f>
        <v>0.2416630191495506</v>
      </c>
      <c r="AP163" s="1">
        <f t="shared" si="19"/>
        <v>61.762151399896069</v>
      </c>
      <c r="AQ163" s="1">
        <f t="shared" si="20"/>
        <v>0.23784860010393061</v>
      </c>
      <c r="AR163" s="1">
        <f t="shared" si="21"/>
        <v>61.630394683522063</v>
      </c>
      <c r="AS163" s="1">
        <f t="shared" si="22"/>
        <v>0.36960531647793715</v>
      </c>
    </row>
    <row r="164" spans="2:45" x14ac:dyDescent="0.2">
      <c r="B164" s="1">
        <v>63</v>
      </c>
      <c r="C164" s="45">
        <f>-560*10^-3</f>
        <v>-0.56000000000000005</v>
      </c>
      <c r="D164" s="45">
        <f>840*10^-3</f>
        <v>0.84</v>
      </c>
      <c r="E164" s="45">
        <f t="shared" si="15"/>
        <v>0.27999999999999992</v>
      </c>
      <c r="F164" s="38">
        <f>L$159*(B65^3)+M$159*(B65^2)+N$159*B65+O$159</f>
        <v>0.25930001361644672</v>
      </c>
      <c r="G164" s="38">
        <f t="shared" si="16"/>
        <v>2.0699986383553193E-2</v>
      </c>
      <c r="H164" s="38">
        <f t="shared" si="17"/>
        <v>0.27162509116996825</v>
      </c>
      <c r="I164" s="38">
        <f t="shared" si="18"/>
        <v>8.3749088300316687E-3</v>
      </c>
      <c r="Q164" s="67"/>
      <c r="R164" s="68"/>
      <c r="AM164" s="51" t="s">
        <v>102</v>
      </c>
      <c r="AN164" s="64">
        <f>(AN163/AN162)</f>
        <v>4.804433780309157E-3</v>
      </c>
      <c r="AP164" s="1">
        <f t="shared" si="19"/>
        <v>62.980871963160581</v>
      </c>
      <c r="AQ164" s="1">
        <f t="shared" si="20"/>
        <v>1.9128036839418883E-2</v>
      </c>
      <c r="AR164" s="1">
        <f t="shared" si="21"/>
        <v>62.86736546795845</v>
      </c>
      <c r="AS164" s="1">
        <f t="shared" si="22"/>
        <v>0.13263453204154985</v>
      </c>
    </row>
    <row r="165" spans="2:45" x14ac:dyDescent="0.2">
      <c r="B165" s="1">
        <v>64</v>
      </c>
      <c r="C165" s="45">
        <f>-560*10^-3</f>
        <v>-0.56000000000000005</v>
      </c>
      <c r="D165" s="1">
        <f>864*10^-3</f>
        <v>0.86399999999999999</v>
      </c>
      <c r="E165" s="1">
        <f t="shared" si="15"/>
        <v>0.30399999999999994</v>
      </c>
      <c r="F165" s="38">
        <f>L$159*(B66^3)+M$159*(B66^2)+N$159*B66+O$159</f>
        <v>0.27902051398385064</v>
      </c>
      <c r="G165" s="38">
        <f t="shared" si="16"/>
        <v>2.4979486016149299E-2</v>
      </c>
      <c r="H165" s="38">
        <f t="shared" si="17"/>
        <v>0.29158912290498229</v>
      </c>
      <c r="I165" s="38">
        <f t="shared" si="18"/>
        <v>1.2410877095017647E-2</v>
      </c>
      <c r="AM165" s="51" t="s">
        <v>96</v>
      </c>
      <c r="AN165" s="64">
        <f>(AN162-AN161)/AN161</f>
        <v>5.9999999999999429E-3</v>
      </c>
      <c r="AP165" s="1">
        <f t="shared" si="19"/>
        <v>64.229036533226335</v>
      </c>
      <c r="AQ165" s="1">
        <f t="shared" si="20"/>
        <v>-0.22903653322633488</v>
      </c>
      <c r="AR165" s="1">
        <f t="shared" si="21"/>
        <v>64.136367362205633</v>
      </c>
      <c r="AS165" s="1">
        <f t="shared" si="22"/>
        <v>-0.1363673622056325</v>
      </c>
    </row>
    <row r="166" spans="2:45" x14ac:dyDescent="0.2">
      <c r="B166" s="1">
        <v>65</v>
      </c>
      <c r="C166" s="1">
        <f>-552*10^-3</f>
        <v>-0.55200000000000005</v>
      </c>
      <c r="D166" s="45">
        <f>880*10^-3</f>
        <v>0.88</v>
      </c>
      <c r="E166" s="1">
        <f t="shared" si="15"/>
        <v>0.32799999999999996</v>
      </c>
      <c r="F166" s="38">
        <f>L$159*(B67^3)+M$159*(B67^2)+N$159*B67+O$159</f>
        <v>0.29838251193679577</v>
      </c>
      <c r="G166" s="38">
        <f t="shared" si="16"/>
        <v>2.9617488063204189E-2</v>
      </c>
      <c r="H166" s="38">
        <f t="shared" si="17"/>
        <v>0.31108759691706078</v>
      </c>
      <c r="I166" s="38">
        <f t="shared" si="18"/>
        <v>1.6912403082939176E-2</v>
      </c>
      <c r="AM166" s="51" t="s">
        <v>97</v>
      </c>
      <c r="AN166" s="1">
        <v>50.2</v>
      </c>
      <c r="AP166" s="1">
        <f>AH$157*(E166^3)+AI$157*(E166^2)+AJ$157*E166+AK$157</f>
        <v>65.507593680490658</v>
      </c>
      <c r="AQ166" s="1">
        <f t="shared" si="20"/>
        <v>-0.50759368049065756</v>
      </c>
      <c r="AR166" s="1">
        <f t="shared" si="21"/>
        <v>65.43795390455459</v>
      </c>
      <c r="AS166" s="1">
        <f t="shared" si="22"/>
        <v>-0.43795390455458971</v>
      </c>
    </row>
    <row r="167" spans="2:45" x14ac:dyDescent="0.2">
      <c r="B167" s="1">
        <v>66</v>
      </c>
      <c r="C167" s="1">
        <f>-544*10^-3</f>
        <v>-0.54400000000000004</v>
      </c>
      <c r="D167" s="1">
        <f>904*10^-3</f>
        <v>0.90400000000000003</v>
      </c>
      <c r="E167" s="45">
        <f t="shared" si="15"/>
        <v>0.36</v>
      </c>
      <c r="F167" s="38">
        <f>L$159*(B68^3)+M$159*(B68^2)+N$159*B68+O$159</f>
        <v>0.31739335256107326</v>
      </c>
      <c r="G167" s="38">
        <f t="shared" si="16"/>
        <v>4.2606647438926726E-2</v>
      </c>
      <c r="H167" s="38">
        <f t="shared" si="17"/>
        <v>0.33012623154017362</v>
      </c>
      <c r="I167" s="38">
        <f t="shared" si="18"/>
        <v>2.9873768459826366E-2</v>
      </c>
      <c r="AM167" s="51" t="s">
        <v>103</v>
      </c>
      <c r="AN167" s="48">
        <f>AL174</f>
        <v>0.26426337369050623</v>
      </c>
      <c r="AP167" s="1">
        <f t="shared" si="19"/>
        <v>67.261253390209021</v>
      </c>
      <c r="AQ167" s="1">
        <f t="shared" si="20"/>
        <v>-1.2612533902090206</v>
      </c>
      <c r="AR167" s="1">
        <f t="shared" si="21"/>
        <v>67.224936365137495</v>
      </c>
      <c r="AS167" s="1">
        <f t="shared" si="22"/>
        <v>-1.2249363651374949</v>
      </c>
    </row>
    <row r="168" spans="2:45" x14ac:dyDescent="0.2">
      <c r="B168" s="1">
        <v>67</v>
      </c>
      <c r="C168" s="1">
        <f>-544*10^-3</f>
        <v>-0.54400000000000004</v>
      </c>
      <c r="D168" s="1">
        <f>928*10^-3</f>
        <v>0.92800000000000005</v>
      </c>
      <c r="E168" s="1">
        <f t="shared" si="15"/>
        <v>0.38400000000000001</v>
      </c>
      <c r="F168" s="38">
        <f>L$159*(B69^3)+M$159*(B69^2)+N$159*B69+O$159</f>
        <v>0.33606038094247248</v>
      </c>
      <c r="G168" s="38">
        <f t="shared" si="16"/>
        <v>4.7939619057527527E-2</v>
      </c>
      <c r="H168" s="38">
        <f t="shared" si="17"/>
        <v>0.34871201675906915</v>
      </c>
      <c r="I168" s="38">
        <f t="shared" si="18"/>
        <v>3.5287983240930854E-2</v>
      </c>
      <c r="AM168" s="51" t="s">
        <v>104</v>
      </c>
      <c r="AN168" s="64">
        <f>(AN167/AN166)</f>
        <v>5.2642106312849844E-3</v>
      </c>
      <c r="AP168" s="1">
        <f t="shared" si="19"/>
        <v>68.614415435815033</v>
      </c>
      <c r="AQ168" s="1">
        <f t="shared" si="20"/>
        <v>-1.6144154358150331</v>
      </c>
      <c r="AR168" s="1">
        <f t="shared" si="21"/>
        <v>68.604375724632092</v>
      </c>
      <c r="AS168" s="1">
        <f t="shared" si="22"/>
        <v>-1.6043757246320922</v>
      </c>
    </row>
    <row r="169" spans="2:45" x14ac:dyDescent="0.2">
      <c r="B169" s="1">
        <v>68</v>
      </c>
      <c r="C169" s="1">
        <f>-536*10^-3</f>
        <v>-0.53600000000000003</v>
      </c>
      <c r="D169" s="1">
        <f>944*10^-3</f>
        <v>0.94400000000000006</v>
      </c>
      <c r="E169" s="1">
        <f t="shared" si="15"/>
        <v>0.40800000000000003</v>
      </c>
      <c r="F169" s="38">
        <f>L$159*(B70^3)+M$159*(B70^2)+N$159*B70+O$159</f>
        <v>0.35439094216678368</v>
      </c>
      <c r="G169" s="38">
        <f t="shared" si="16"/>
        <v>5.3609057833216345E-2</v>
      </c>
      <c r="H169" s="38">
        <f t="shared" si="17"/>
        <v>0.3668532142092733</v>
      </c>
      <c r="I169" s="38">
        <f t="shared" si="18"/>
        <v>4.1146785790726725E-2</v>
      </c>
      <c r="AM169" s="51" t="s">
        <v>98</v>
      </c>
      <c r="AN169" s="64">
        <f>(AN166-AN161)/AN161</f>
        <v>4.0000000000000565E-3</v>
      </c>
      <c r="AP169" s="1">
        <f t="shared" si="19"/>
        <v>70.001131959943962</v>
      </c>
      <c r="AQ169" s="1">
        <f t="shared" si="20"/>
        <v>-2.0011319599439616</v>
      </c>
      <c r="AR169" s="1">
        <f t="shared" si="21"/>
        <v>70.017819703292105</v>
      </c>
      <c r="AS169" s="1">
        <f t="shared" si="22"/>
        <v>-2.0178197032921048</v>
      </c>
    </row>
    <row r="170" spans="2:45" x14ac:dyDescent="0.2">
      <c r="B170" s="1">
        <v>69</v>
      </c>
      <c r="C170" s="1">
        <f>-536*10^-3</f>
        <v>-0.53600000000000003</v>
      </c>
      <c r="D170" s="1">
        <f>968*10^-3</f>
        <v>0.96799999999999997</v>
      </c>
      <c r="E170" s="1">
        <f t="shared" si="15"/>
        <v>0.43199999999999994</v>
      </c>
      <c r="F170" s="38">
        <f>L$159*(B71^3)+M$159*(B71^2)+N$159*B71+O$159</f>
        <v>0.37239238131979713</v>
      </c>
      <c r="G170" s="38">
        <f t="shared" si="16"/>
        <v>5.9607618680202812E-2</v>
      </c>
      <c r="H170" s="38">
        <f t="shared" si="17"/>
        <v>0.38455935717708778</v>
      </c>
      <c r="I170" s="38">
        <f t="shared" si="18"/>
        <v>4.744064282291216E-2</v>
      </c>
      <c r="AP170" s="1">
        <f t="shared" si="19"/>
        <v>71.42235153299309</v>
      </c>
      <c r="AQ170" s="1">
        <f t="shared" si="20"/>
        <v>-2.4223515329930905</v>
      </c>
      <c r="AR170" s="1">
        <f t="shared" si="21"/>
        <v>71.46556674546477</v>
      </c>
      <c r="AS170" s="1">
        <f t="shared" si="22"/>
        <v>-2.4655667454647698</v>
      </c>
    </row>
    <row r="171" spans="2:45" x14ac:dyDescent="0.2">
      <c r="B171" s="1">
        <v>70</v>
      </c>
      <c r="C171" s="1">
        <f>-456*10^-3</f>
        <v>-0.45600000000000002</v>
      </c>
      <c r="D171" s="1">
        <f>832*10^-3</f>
        <v>0.83200000000000007</v>
      </c>
      <c r="E171" s="1">
        <f t="shared" si="15"/>
        <v>0.37600000000000006</v>
      </c>
      <c r="F171" s="38">
        <f>L$159*(B72^3)+M$159*(B72^2)+N$159*B72+O$159</f>
        <v>0.39007204348730307</v>
      </c>
      <c r="G171" s="38">
        <f t="shared" si="16"/>
        <v>-1.407204348730301E-2</v>
      </c>
      <c r="H171" s="38">
        <f t="shared" si="17"/>
        <v>0.40184125059959186</v>
      </c>
      <c r="I171" s="38">
        <f t="shared" si="18"/>
        <v>-2.5841250599591803E-2</v>
      </c>
      <c r="L171" s="53" t="s">
        <v>82</v>
      </c>
      <c r="M171" s="53"/>
      <c r="N171" s="53"/>
      <c r="O171" s="53"/>
      <c r="P171" s="53"/>
      <c r="AH171" s="53" t="s">
        <v>86</v>
      </c>
      <c r="AI171" s="53"/>
      <c r="AJ171" s="53"/>
      <c r="AK171" s="53"/>
      <c r="AL171" s="53"/>
      <c r="AP171" s="1">
        <f t="shared" si="19"/>
        <v>68.159679988204175</v>
      </c>
      <c r="AQ171" s="1">
        <f t="shared" si="20"/>
        <v>1.8403200117958249</v>
      </c>
      <c r="AR171" s="1">
        <f t="shared" si="21"/>
        <v>68.140800747555829</v>
      </c>
      <c r="AS171" s="1">
        <f t="shared" si="22"/>
        <v>1.8591992524441707</v>
      </c>
    </row>
    <row r="172" spans="2:45" x14ac:dyDescent="0.2">
      <c r="B172" s="1">
        <v>71</v>
      </c>
      <c r="C172" s="1">
        <f>-456*10^-3</f>
        <v>-0.45600000000000002</v>
      </c>
      <c r="D172" s="1">
        <f>848*10^-3</f>
        <v>0.84799999999999998</v>
      </c>
      <c r="E172" s="1">
        <f t="shared" si="15"/>
        <v>0.39199999999999996</v>
      </c>
      <c r="F172" s="38">
        <f>L$159*(B73^3)+M$159*(B73^2)+N$159*B73+O$159</f>
        <v>0.40743727375509087</v>
      </c>
      <c r="G172" s="38">
        <f t="shared" si="16"/>
        <v>-1.5437273755090908E-2</v>
      </c>
      <c r="H172" s="38">
        <f t="shared" si="17"/>
        <v>0.41871097106464328</v>
      </c>
      <c r="I172" s="38">
        <f t="shared" si="18"/>
        <v>-2.6710971064643318E-2</v>
      </c>
      <c r="L172" s="50" t="s">
        <v>81</v>
      </c>
      <c r="M172" s="50" t="s">
        <v>67</v>
      </c>
      <c r="N172" s="50" t="s">
        <v>68</v>
      </c>
      <c r="O172" s="50" t="s">
        <v>69</v>
      </c>
      <c r="P172" s="50" t="s">
        <v>27</v>
      </c>
      <c r="AH172" s="50" t="s">
        <v>81</v>
      </c>
      <c r="AI172" s="50" t="s">
        <v>67</v>
      </c>
      <c r="AJ172" s="50" t="s">
        <v>68</v>
      </c>
      <c r="AK172" s="50" t="s">
        <v>69</v>
      </c>
      <c r="AL172" s="50" t="s">
        <v>27</v>
      </c>
      <c r="AP172" s="1">
        <f t="shared" si="19"/>
        <v>69.072879158817329</v>
      </c>
      <c r="AQ172" s="1">
        <f t="shared" si="20"/>
        <v>1.9271208411826706</v>
      </c>
      <c r="AR172" s="1">
        <f t="shared" si="21"/>
        <v>69.071729477235635</v>
      </c>
      <c r="AS172" s="1">
        <f t="shared" si="22"/>
        <v>1.9282705227643646</v>
      </c>
    </row>
    <row r="173" spans="2:45" x14ac:dyDescent="0.2">
      <c r="B173" s="1">
        <v>72</v>
      </c>
      <c r="C173" s="1">
        <f>-456*10^-3</f>
        <v>-0.45600000000000002</v>
      </c>
      <c r="D173" s="1">
        <f>872*10^-3</f>
        <v>0.872</v>
      </c>
      <c r="E173" s="1">
        <f t="shared" si="15"/>
        <v>0.41599999999999998</v>
      </c>
      <c r="F173" s="38">
        <f>L$159*(B74^3)+M$159*(B74^2)+N$159*B74+O$159</f>
        <v>0.42449541720895168</v>
      </c>
      <c r="G173" s="38">
        <f t="shared" si="16"/>
        <v>-8.4954172089516944E-3</v>
      </c>
      <c r="H173" s="38">
        <f t="shared" si="17"/>
        <v>0.43518186681087201</v>
      </c>
      <c r="I173" s="38">
        <f t="shared" si="18"/>
        <v>-1.9181866810872028E-2</v>
      </c>
      <c r="L173" s="49" cm="1">
        <f t="array" ref="L173:P177">LINEST(E132:E200,B132:B200^{1,2,3,4},1,1)</f>
        <v>5.2985449039936077E-8</v>
      </c>
      <c r="M173" s="47">
        <v>-1.2505248394246269E-5</v>
      </c>
      <c r="N173" s="38">
        <v>8.688646161581087E-4</v>
      </c>
      <c r="O173" s="46">
        <v>6.1580464787955851E-3</v>
      </c>
      <c r="P173" s="48">
        <v>-1.2588273803269718</v>
      </c>
      <c r="AH173" s="48" cm="1">
        <f t="array" ref="AH173:AL177">LINEST(B132:B200,E132:E200^{1,2,3,4},1,1)</f>
        <v>-7.3930193327084561</v>
      </c>
      <c r="AI173" s="48">
        <v>15.30868531239426</v>
      </c>
      <c r="AJ173" s="48">
        <v>18.427421832702663</v>
      </c>
      <c r="AK173" s="48">
        <v>38.932922950911099</v>
      </c>
      <c r="AL173" s="48">
        <v>50.23082254695143</v>
      </c>
      <c r="AP173" s="1">
        <f t="shared" si="19"/>
        <v>70.470991302542174</v>
      </c>
      <c r="AQ173" s="1">
        <f t="shared" si="20"/>
        <v>1.5290086974578259</v>
      </c>
      <c r="AR173" s="1">
        <f t="shared" si="21"/>
        <v>70.496577556970337</v>
      </c>
      <c r="AS173" s="1">
        <f t="shared" si="22"/>
        <v>1.5034224430296632</v>
      </c>
    </row>
    <row r="174" spans="2:45" x14ac:dyDescent="0.2">
      <c r="B174" s="1">
        <v>73</v>
      </c>
      <c r="C174" s="1">
        <f>-456*10^-3</f>
        <v>-0.45600000000000002</v>
      </c>
      <c r="D174" s="1">
        <f>896*10^-3</f>
        <v>0.89600000000000002</v>
      </c>
      <c r="E174" s="45">
        <f t="shared" si="15"/>
        <v>0.44</v>
      </c>
      <c r="F174" s="38">
        <f>L$159*(B75^3)+M$159*(B75^2)+N$159*B75+O$159</f>
        <v>0.44125381893467575</v>
      </c>
      <c r="G174" s="38">
        <f t="shared" si="16"/>
        <v>-1.2538189346757433E-3</v>
      </c>
      <c r="H174" s="38">
        <f t="shared" si="17"/>
        <v>0.45126855772769003</v>
      </c>
      <c r="I174" s="38">
        <f t="shared" si="18"/>
        <v>-1.1268557727690032E-2</v>
      </c>
      <c r="K174" s="54" t="s">
        <v>0</v>
      </c>
      <c r="L174" s="49">
        <v>2.3214888650474476E-8</v>
      </c>
      <c r="M174" s="49">
        <v>6.0293367762570665E-6</v>
      </c>
      <c r="N174" s="38">
        <v>5.6629024725311696E-4</v>
      </c>
      <c r="O174" s="46">
        <v>2.2697111239410938E-2</v>
      </c>
      <c r="P174" s="48">
        <v>0.32624441439719837</v>
      </c>
      <c r="AG174" s="54" t="s">
        <v>0</v>
      </c>
      <c r="AH174" s="48">
        <v>6.9400717630825195</v>
      </c>
      <c r="AI174" s="48">
        <v>4.4315806847893056</v>
      </c>
      <c r="AJ174" s="48">
        <v>2.749439498725935</v>
      </c>
      <c r="AK174" s="48">
        <v>1.0784550755802811</v>
      </c>
      <c r="AL174" s="48">
        <v>0.26426337369050623</v>
      </c>
      <c r="AP174" s="1">
        <f t="shared" si="19"/>
        <v>71.903922685319685</v>
      </c>
      <c r="AQ174" s="1">
        <f t="shared" si="20"/>
        <v>1.0960773146803149</v>
      </c>
      <c r="AR174" s="1">
        <f t="shared" si="21"/>
        <v>71.95581509992607</v>
      </c>
      <c r="AS174" s="1">
        <f t="shared" si="22"/>
        <v>1.0441849000739296</v>
      </c>
    </row>
    <row r="175" spans="2:45" ht="17" x14ac:dyDescent="0.2">
      <c r="B175" s="1">
        <v>74</v>
      </c>
      <c r="C175" s="1">
        <f>-456*10^-3</f>
        <v>-0.45600000000000002</v>
      </c>
      <c r="D175" s="1">
        <f>912*10^-3</f>
        <v>0.91200000000000003</v>
      </c>
      <c r="E175" s="1">
        <f t="shared" si="15"/>
        <v>0.45600000000000002</v>
      </c>
      <c r="F175" s="38">
        <f>L$159*(B76^3)+M$159*(B76^2)+N$159*B76+O$159</f>
        <v>0.45771982401805156</v>
      </c>
      <c r="G175" s="38">
        <f t="shared" si="16"/>
        <v>-1.7198240180515412E-3</v>
      </c>
      <c r="H175" s="38">
        <f t="shared" si="17"/>
        <v>0.46698693535528513</v>
      </c>
      <c r="I175" s="38">
        <f t="shared" si="18"/>
        <v>-1.098693535528511E-2</v>
      </c>
      <c r="K175" s="54" t="s">
        <v>70</v>
      </c>
      <c r="L175" s="45">
        <v>0.99731129248212125</v>
      </c>
      <c r="M175" s="46">
        <v>2.1482890179468039E-2</v>
      </c>
      <c r="N175" s="1" t="e">
        <v>#N/A</v>
      </c>
      <c r="O175" s="1" t="e">
        <v>#N/A</v>
      </c>
      <c r="P175" s="1" t="e">
        <v>#N/A</v>
      </c>
      <c r="AG175" s="54" t="s">
        <v>70</v>
      </c>
      <c r="AH175" s="45">
        <v>0.99703194933824657</v>
      </c>
      <c r="AI175" s="48">
        <v>1.1280534886796152</v>
      </c>
      <c r="AJ175" s="1" t="e">
        <v>#N/A</v>
      </c>
      <c r="AK175" s="1" t="e">
        <v>#N/A</v>
      </c>
      <c r="AL175" s="1" t="e">
        <v>#N/A</v>
      </c>
      <c r="AP175" s="1">
        <f t="shared" si="19"/>
        <v>72.879022725359761</v>
      </c>
      <c r="AQ175" s="1">
        <f t="shared" si="20"/>
        <v>1.1209772746402393</v>
      </c>
      <c r="AR175" s="1">
        <f t="shared" si="21"/>
        <v>72.947856427664178</v>
      </c>
      <c r="AS175" s="1">
        <f t="shared" si="22"/>
        <v>1.0521435723358223</v>
      </c>
    </row>
    <row r="176" spans="2:45" x14ac:dyDescent="0.2">
      <c r="B176" s="1">
        <v>75</v>
      </c>
      <c r="C176" s="45">
        <f>-440*10^-3</f>
        <v>-0.44</v>
      </c>
      <c r="D176" s="1">
        <f>928*10^-3</f>
        <v>0.92800000000000005</v>
      </c>
      <c r="E176" s="1">
        <f t="shared" si="15"/>
        <v>0.48800000000000004</v>
      </c>
      <c r="F176" s="38">
        <f>L$159*(B77^3)+M$159*(B77^2)+N$159*B77+O$159</f>
        <v>0.47390077754487114</v>
      </c>
      <c r="G176" s="38">
        <f t="shared" si="16"/>
        <v>1.4099222455128901E-2</v>
      </c>
      <c r="H176" s="38">
        <f t="shared" si="17"/>
        <v>0.48235416288461996</v>
      </c>
      <c r="I176" s="38">
        <f t="shared" si="18"/>
        <v>5.6458371153800813E-3</v>
      </c>
      <c r="L176">
        <v>5934.814617658084</v>
      </c>
      <c r="M176">
        <v>64</v>
      </c>
      <c r="N176" t="e">
        <v>#N/A</v>
      </c>
      <c r="O176" t="e">
        <v>#N/A</v>
      </c>
      <c r="P176" t="e">
        <v>#N/A</v>
      </c>
      <c r="AH176">
        <v>5374.7435631667995</v>
      </c>
      <c r="AI176">
        <v>64</v>
      </c>
      <c r="AJ176" t="e">
        <v>#N/A</v>
      </c>
      <c r="AK176" t="e">
        <v>#N/A</v>
      </c>
      <c r="AL176" t="e">
        <v>#N/A</v>
      </c>
      <c r="AP176" s="1">
        <f t="shared" si="19"/>
        <v>74.878037449621843</v>
      </c>
      <c r="AQ176" s="1">
        <f t="shared" si="20"/>
        <v>0.12196255037815718</v>
      </c>
      <c r="AR176" s="1">
        <f t="shared" si="21"/>
        <v>74.978279523279454</v>
      </c>
      <c r="AS176" s="1">
        <f t="shared" si="22"/>
        <v>2.1720476720545889E-2</v>
      </c>
    </row>
    <row r="177" spans="2:45" x14ac:dyDescent="0.2">
      <c r="B177" s="1">
        <v>76</v>
      </c>
      <c r="C177" s="45">
        <f>-440*10^-3</f>
        <v>-0.44</v>
      </c>
      <c r="D177" s="45">
        <f>960*10^-3</f>
        <v>0.96</v>
      </c>
      <c r="E177" s="45">
        <f t="shared" si="15"/>
        <v>0.52</v>
      </c>
      <c r="F177" s="38">
        <f>L$159*(B78^3)+M$159*(B78^2)+N$159*B78+O$159</f>
        <v>0.48980402460092343</v>
      </c>
      <c r="G177" s="38">
        <f t="shared" si="16"/>
        <v>3.0195975399076591E-2</v>
      </c>
      <c r="H177" s="38">
        <f t="shared" si="17"/>
        <v>0.49738867515743657</v>
      </c>
      <c r="I177" s="38">
        <f t="shared" si="18"/>
        <v>2.2611324842563452E-2</v>
      </c>
      <c r="L177">
        <v>10.956013676186018</v>
      </c>
      <c r="M177">
        <v>2.9536932509637397E-2</v>
      </c>
      <c r="N177" t="e">
        <v>#N/A</v>
      </c>
      <c r="O177" t="e">
        <v>#N/A</v>
      </c>
      <c r="P177" t="e">
        <v>#N/A</v>
      </c>
      <c r="AH177">
        <v>27357.545208153755</v>
      </c>
      <c r="AI177">
        <v>81.440299092624059</v>
      </c>
      <c r="AJ177" t="e">
        <v>#N/A</v>
      </c>
      <c r="AK177" t="e">
        <v>#N/A</v>
      </c>
      <c r="AL177" t="e">
        <v>#N/A</v>
      </c>
      <c r="AP177" s="1">
        <f>AH$157*(E177^3)+AI$157*(E177^2)+AJ$157*E177+AK$157</f>
        <v>76.944012085429819</v>
      </c>
      <c r="AQ177" s="1">
        <f t="shared" si="20"/>
        <v>-0.94401208542981863</v>
      </c>
      <c r="AR177" s="1">
        <f t="shared" si="21"/>
        <v>77.070691784979729</v>
      </c>
      <c r="AS177" s="1">
        <f t="shared" si="22"/>
        <v>-1.0706917849797293</v>
      </c>
    </row>
    <row r="178" spans="2:45" x14ac:dyDescent="0.2">
      <c r="B178" s="1">
        <v>77</v>
      </c>
      <c r="C178" s="45">
        <f>-440*10^-3</f>
        <v>-0.44</v>
      </c>
      <c r="D178" s="1">
        <f>976*10^-3</f>
        <v>0.97599999999999998</v>
      </c>
      <c r="E178" s="1">
        <f t="shared" si="15"/>
        <v>0.53600000000000003</v>
      </c>
      <c r="F178" s="38">
        <f>L$159*(B79^3)+M$159*(B79^2)+N$159*B79+O$159</f>
        <v>0.505436910272</v>
      </c>
      <c r="G178" s="38">
        <f t="shared" si="16"/>
        <v>3.0563089728000037E-2</v>
      </c>
      <c r="H178" s="38">
        <f t="shared" si="17"/>
        <v>0.5121101786662523</v>
      </c>
      <c r="I178" s="38">
        <f t="shared" si="18"/>
        <v>2.3889821333747729E-2</v>
      </c>
      <c r="AP178" s="1">
        <f t="shared" si="19"/>
        <v>78.002812014902247</v>
      </c>
      <c r="AQ178" s="1">
        <f t="shared" si="20"/>
        <v>-1.002812014902247</v>
      </c>
      <c r="AR178" s="1">
        <f t="shared" si="21"/>
        <v>78.140175964521731</v>
      </c>
      <c r="AS178" s="1">
        <f t="shared" si="22"/>
        <v>-1.1401759645217311</v>
      </c>
    </row>
    <row r="179" spans="2:45" x14ac:dyDescent="0.2">
      <c r="B179" s="1">
        <v>78</v>
      </c>
      <c r="C179" s="45">
        <f>-440*10^-3</f>
        <v>-0.44</v>
      </c>
      <c r="D179" s="1">
        <f>992*10^-3</f>
        <v>0.99199999999999999</v>
      </c>
      <c r="E179" s="1">
        <f t="shared" si="15"/>
        <v>0.55200000000000005</v>
      </c>
      <c r="F179" s="38">
        <f>L$159*(B80^3)+M$159*(B80^2)+N$159*B80+O$159</f>
        <v>0.52080677964388977</v>
      </c>
      <c r="G179" s="38">
        <f t="shared" si="16"/>
        <v>3.1193220356110274E-2</v>
      </c>
      <c r="H179" s="38">
        <f t="shared" si="17"/>
        <v>0.52653965155436211</v>
      </c>
      <c r="I179" s="38">
        <f t="shared" si="18"/>
        <v>2.5460348445637937E-2</v>
      </c>
      <c r="AP179" s="1">
        <f t="shared" si="19"/>
        <v>79.079195095947654</v>
      </c>
      <c r="AQ179" s="1">
        <f t="shared" si="20"/>
        <v>-1.0791950959476537</v>
      </c>
      <c r="AR179" s="1">
        <f t="shared" si="21"/>
        <v>79.225172712849059</v>
      </c>
      <c r="AS179" s="1">
        <f t="shared" si="22"/>
        <v>-1.2251727128490586</v>
      </c>
    </row>
    <row r="180" spans="2:45" x14ac:dyDescent="0.2">
      <c r="B180" s="1">
        <v>79</v>
      </c>
      <c r="C180" s="45">
        <f>-440*10^-3</f>
        <v>-0.44</v>
      </c>
      <c r="D180" s="45">
        <v>1.01</v>
      </c>
      <c r="E180" s="45">
        <f t="shared" si="15"/>
        <v>0.57000000000000006</v>
      </c>
      <c r="F180" s="38">
        <f>L$159*(B81^3)+M$159*(B81^2)+N$159*B81+O$159</f>
        <v>0.53592097780238168</v>
      </c>
      <c r="G180" s="38">
        <f t="shared" si="16"/>
        <v>3.407902219761838E-2</v>
      </c>
      <c r="H180" s="38">
        <f t="shared" si="17"/>
        <v>0.54069934361583671</v>
      </c>
      <c r="I180" s="38">
        <f t="shared" si="18"/>
        <v>2.9300656384163348E-2</v>
      </c>
      <c r="AP180" s="1">
        <f t="shared" si="19"/>
        <v>80.31149337300468</v>
      </c>
      <c r="AQ180" s="1">
        <f t="shared" si="20"/>
        <v>-1.3114933730046801</v>
      </c>
      <c r="AR180" s="1">
        <f t="shared" si="21"/>
        <v>80.464312146783186</v>
      </c>
      <c r="AS180" s="1">
        <f t="shared" si="22"/>
        <v>-1.4643121467831861</v>
      </c>
    </row>
    <row r="181" spans="2:45" x14ac:dyDescent="0.2">
      <c r="B181" s="1">
        <v>80</v>
      </c>
      <c r="C181" s="1">
        <f t="shared" ref="C181:C190" si="23">-352*10^-3</f>
        <v>-0.35199999999999998</v>
      </c>
      <c r="D181" s="1">
        <f>888*10^-3</f>
        <v>0.88800000000000001</v>
      </c>
      <c r="E181" s="1">
        <f t="shared" si="15"/>
        <v>0.53600000000000003</v>
      </c>
      <c r="F181" s="38">
        <f>L$159*(B82^3)+M$159*(B82^2)+N$159*B82+O$159</f>
        <v>0.55078684983326909</v>
      </c>
      <c r="G181" s="38">
        <f t="shared" si="16"/>
        <v>-1.4786849833269056E-2</v>
      </c>
      <c r="H181" s="38">
        <f t="shared" si="17"/>
        <v>0.55461277629552708</v>
      </c>
      <c r="I181" s="38">
        <f t="shared" si="18"/>
        <v>-1.8612776295527045E-2</v>
      </c>
      <c r="AP181" s="1">
        <f t="shared" si="19"/>
        <v>78.002812014902247</v>
      </c>
      <c r="AQ181" s="1">
        <f t="shared" si="20"/>
        <v>1.997187985097753</v>
      </c>
      <c r="AR181" s="1">
        <f t="shared" si="21"/>
        <v>78.140175964521731</v>
      </c>
      <c r="AS181" s="1">
        <f t="shared" si="22"/>
        <v>1.8598240354782689</v>
      </c>
    </row>
    <row r="182" spans="2:45" x14ac:dyDescent="0.2">
      <c r="B182" s="1">
        <v>81</v>
      </c>
      <c r="C182" s="1">
        <f t="shared" si="23"/>
        <v>-0.35199999999999998</v>
      </c>
      <c r="D182" s="1">
        <f>904*10^-3</f>
        <v>0.90400000000000003</v>
      </c>
      <c r="E182" s="1">
        <f t="shared" si="15"/>
        <v>0.55200000000000005</v>
      </c>
      <c r="F182" s="38">
        <f>L$159*(B83^3)+M$159*(B83^2)+N$159*B83+O$159</f>
        <v>0.56541174082233914</v>
      </c>
      <c r="G182" s="38">
        <f t="shared" si="16"/>
        <v>-1.3411740822339091E-2</v>
      </c>
      <c r="H182" s="38">
        <f t="shared" si="17"/>
        <v>0.5683047426890584</v>
      </c>
      <c r="I182" s="38">
        <f t="shared" si="18"/>
        <v>-1.6304742689058349E-2</v>
      </c>
      <c r="AP182" s="1">
        <f t="shared" si="19"/>
        <v>79.079195095947654</v>
      </c>
      <c r="AQ182" s="1">
        <f t="shared" si="20"/>
        <v>1.9208049040523463</v>
      </c>
      <c r="AR182" s="1">
        <f t="shared" si="21"/>
        <v>79.225172712849059</v>
      </c>
      <c r="AS182" s="1">
        <f t="shared" si="22"/>
        <v>1.7748272871509414</v>
      </c>
    </row>
    <row r="183" spans="2:45" x14ac:dyDescent="0.2">
      <c r="B183" s="1">
        <v>82</v>
      </c>
      <c r="C183" s="1">
        <f t="shared" si="23"/>
        <v>-0.35199999999999998</v>
      </c>
      <c r="D183" s="1">
        <f>928*10^-3</f>
        <v>0.92800000000000005</v>
      </c>
      <c r="E183" s="1">
        <f t="shared" si="15"/>
        <v>0.57600000000000007</v>
      </c>
      <c r="F183" s="38">
        <f>L$159*(B84^3)+M$159*(B84^2)+N$159*B84+O$159</f>
        <v>0.57980299585538431</v>
      </c>
      <c r="G183" s="38">
        <f t="shared" si="16"/>
        <v>-3.8029958553842391E-3</v>
      </c>
      <c r="H183" s="38">
        <f t="shared" si="17"/>
        <v>0.58180130754283343</v>
      </c>
      <c r="I183" s="38">
        <f t="shared" si="18"/>
        <v>-5.8013075428333671E-3</v>
      </c>
      <c r="AP183" s="1">
        <f t="shared" si="19"/>
        <v>80.727352940861493</v>
      </c>
      <c r="AQ183" s="1">
        <f t="shared" si="20"/>
        <v>1.2726470591385066</v>
      </c>
      <c r="AR183" s="1">
        <f t="shared" si="21"/>
        <v>80.881708868731891</v>
      </c>
      <c r="AS183" s="1">
        <f t="shared" si="22"/>
        <v>1.1182911312681085</v>
      </c>
    </row>
    <row r="184" spans="2:45" x14ac:dyDescent="0.2">
      <c r="B184" s="1">
        <v>83</v>
      </c>
      <c r="C184" s="1">
        <f t="shared" si="23"/>
        <v>-0.35199999999999998</v>
      </c>
      <c r="D184" s="1">
        <f>944*10^-3</f>
        <v>0.94400000000000006</v>
      </c>
      <c r="E184" s="1">
        <f t="shared" si="15"/>
        <v>0.59200000000000008</v>
      </c>
      <c r="F184" s="38">
        <f>L$159*(B85^3)+M$159*(B85^2)+N$159*B85+O$159</f>
        <v>0.59396796001819263</v>
      </c>
      <c r="G184" s="38">
        <f t="shared" si="16"/>
        <v>-1.9679600181925494E-3</v>
      </c>
      <c r="H184" s="38">
        <f t="shared" si="17"/>
        <v>0.59512980725402853</v>
      </c>
      <c r="I184" s="38">
        <f t="shared" si="18"/>
        <v>-3.1298072540284494E-3</v>
      </c>
      <c r="AP184" s="1">
        <f>AH$157*(E184^3)+AI$157*(E184^2)+AJ$157*E184+AK$157</f>
        <v>81.848923529132122</v>
      </c>
      <c r="AQ184" s="1">
        <f t="shared" si="20"/>
        <v>1.1510764708678778</v>
      </c>
      <c r="AR184" s="1">
        <f t="shared" si="21"/>
        <v>82.005377895322752</v>
      </c>
      <c r="AS184" s="1">
        <f t="shared" si="22"/>
        <v>0.99462210467724788</v>
      </c>
    </row>
    <row r="185" spans="2:45" x14ac:dyDescent="0.2">
      <c r="B185" s="1">
        <v>84</v>
      </c>
      <c r="C185" s="1">
        <f t="shared" si="23"/>
        <v>-0.35199999999999998</v>
      </c>
      <c r="D185" s="45">
        <f>960*10^-3</f>
        <v>0.96</v>
      </c>
      <c r="E185" s="1">
        <f t="shared" si="15"/>
        <v>0.60799999999999998</v>
      </c>
      <c r="F185" s="38">
        <f>L$159*(B86^3)+M$159*(B86^2)+N$159*B86+O$159</f>
        <v>0.60791397839655614</v>
      </c>
      <c r="G185" s="38">
        <f t="shared" si="16"/>
        <v>8.6021603443842132E-5</v>
      </c>
      <c r="H185" s="38">
        <f t="shared" si="17"/>
        <v>0.60831884987060469</v>
      </c>
      <c r="I185" s="38">
        <f t="shared" si="18"/>
        <v>-3.1884987060470937E-4</v>
      </c>
      <c r="AP185" s="1">
        <f t="shared" si="19"/>
        <v>82.989060971609945</v>
      </c>
      <c r="AQ185" s="1">
        <f t="shared" si="20"/>
        <v>1.0109390283900552</v>
      </c>
      <c r="AR185" s="1">
        <f t="shared" si="21"/>
        <v>83.144441651677482</v>
      </c>
      <c r="AS185" s="1">
        <f t="shared" si="22"/>
        <v>0.85555834832251776</v>
      </c>
    </row>
    <row r="186" spans="2:45" x14ac:dyDescent="0.2">
      <c r="B186" s="1">
        <v>85</v>
      </c>
      <c r="C186" s="1">
        <f t="shared" si="23"/>
        <v>-0.35199999999999998</v>
      </c>
      <c r="D186" s="1">
        <f>984*10^-3</f>
        <v>0.98399999999999999</v>
      </c>
      <c r="E186" s="1">
        <f t="shared" si="15"/>
        <v>0.63200000000000001</v>
      </c>
      <c r="F186" s="38">
        <f>L$159*(B87^3)+M$159*(B87^2)+N$159*B87+O$159</f>
        <v>0.62164839607626377</v>
      </c>
      <c r="G186" s="38">
        <f t="shared" si="16"/>
        <v>1.0351603923736241E-2</v>
      </c>
      <c r="H186" s="38">
        <f t="shared" si="17"/>
        <v>0.62139831509129406</v>
      </c>
      <c r="I186" s="38">
        <f t="shared" si="18"/>
        <v>1.0601684908705944E-2</v>
      </c>
      <c r="AP186" s="1">
        <f t="shared" si="19"/>
        <v>84.734694801111615</v>
      </c>
      <c r="AQ186" s="1">
        <f t="shared" si="20"/>
        <v>0.26530519888838455</v>
      </c>
      <c r="AR186" s="1">
        <f t="shared" si="21"/>
        <v>84.881768342923081</v>
      </c>
      <c r="AS186" s="1">
        <f t="shared" si="22"/>
        <v>0.11823165707691885</v>
      </c>
    </row>
    <row r="187" spans="2:45" x14ac:dyDescent="0.2">
      <c r="B187" s="1">
        <v>86</v>
      </c>
      <c r="C187" s="1">
        <f t="shared" si="23"/>
        <v>-0.35199999999999998</v>
      </c>
      <c r="D187" s="45">
        <v>1</v>
      </c>
      <c r="E187" s="1">
        <f t="shared" si="15"/>
        <v>0.64800000000000002</v>
      </c>
      <c r="F187" s="38">
        <f>L$159*(B88^3)+M$159*(B88^2)+N$159*B88+O$159</f>
        <v>0.63517855814310575</v>
      </c>
      <c r="G187" s="38">
        <f t="shared" si="16"/>
        <v>1.2821441856894267E-2</v>
      </c>
      <c r="H187" s="38">
        <f t="shared" si="17"/>
        <v>0.63439935426560723</v>
      </c>
      <c r="I187" s="38">
        <f t="shared" si="18"/>
        <v>1.3600645734392791E-2</v>
      </c>
      <c r="AP187" s="1">
        <f t="shared" si="19"/>
        <v>85.922479007400284</v>
      </c>
      <c r="AQ187" s="1">
        <f t="shared" si="20"/>
        <v>7.752099259971601E-2</v>
      </c>
      <c r="AR187" s="1">
        <f t="shared" si="21"/>
        <v>86.059031722961464</v>
      </c>
      <c r="AS187" s="1">
        <f t="shared" si="22"/>
        <v>-5.9031722961464084E-2</v>
      </c>
    </row>
    <row r="188" spans="2:45" x14ac:dyDescent="0.2">
      <c r="B188" s="1">
        <v>87</v>
      </c>
      <c r="C188" s="1">
        <f t="shared" si="23"/>
        <v>-0.35199999999999998</v>
      </c>
      <c r="D188" s="45">
        <v>1.02</v>
      </c>
      <c r="E188" s="1">
        <f t="shared" si="15"/>
        <v>0.66800000000000004</v>
      </c>
      <c r="F188" s="38">
        <f>L$159*(B89^3)+M$159*(B89^2)+N$159*B89+O$159</f>
        <v>0.64851180968287281</v>
      </c>
      <c r="G188" s="38">
        <f t="shared" si="16"/>
        <v>1.948819031712723E-2</v>
      </c>
      <c r="H188" s="38">
        <f t="shared" si="17"/>
        <v>0.64735439039383058</v>
      </c>
      <c r="I188" s="38">
        <f t="shared" si="18"/>
        <v>2.0645609606169457E-2</v>
      </c>
      <c r="AP188" s="1">
        <f t="shared" si="19"/>
        <v>87.434735172291525</v>
      </c>
      <c r="AQ188" s="1">
        <f t="shared" si="20"/>
        <v>-0.43473517229152492</v>
      </c>
      <c r="AR188" s="1">
        <f t="shared" si="21"/>
        <v>87.55188223604361</v>
      </c>
      <c r="AS188" s="1">
        <f t="shared" si="22"/>
        <v>-0.55188223604361042</v>
      </c>
    </row>
    <row r="189" spans="2:45" x14ac:dyDescent="0.2">
      <c r="B189" s="1">
        <v>88</v>
      </c>
      <c r="C189" s="1">
        <f t="shared" si="23"/>
        <v>-0.35199999999999998</v>
      </c>
      <c r="D189" s="45">
        <v>1.04</v>
      </c>
      <c r="E189" s="1">
        <f t="shared" si="15"/>
        <v>0.68800000000000006</v>
      </c>
      <c r="F189" s="38">
        <f>L$159*(B90^3)+M$159*(B90^2)+N$159*B90+O$159</f>
        <v>0.66165549578135385</v>
      </c>
      <c r="G189" s="38">
        <f t="shared" si="16"/>
        <v>2.6344504218646203E-2</v>
      </c>
      <c r="H189" s="38">
        <f t="shared" si="17"/>
        <v>0.66029711812703074</v>
      </c>
      <c r="I189" s="38">
        <f t="shared" si="18"/>
        <v>2.770288187296932E-2</v>
      </c>
      <c r="AP189" s="1">
        <f t="shared" si="19"/>
        <v>88.978088023449686</v>
      </c>
      <c r="AQ189" s="1">
        <f t="shared" si="20"/>
        <v>-0.97808802344968626</v>
      </c>
      <c r="AR189" s="1">
        <f t="shared" si="21"/>
        <v>89.068180280356728</v>
      </c>
      <c r="AS189" s="1">
        <f t="shared" si="22"/>
        <v>-1.068180280356728</v>
      </c>
    </row>
    <row r="190" spans="2:45" x14ac:dyDescent="0.2">
      <c r="B190" s="1">
        <v>89</v>
      </c>
      <c r="C190" s="1">
        <f t="shared" si="23"/>
        <v>-0.35199999999999998</v>
      </c>
      <c r="D190" s="45">
        <v>1.06</v>
      </c>
      <c r="E190" s="1">
        <f t="shared" si="15"/>
        <v>0.70800000000000007</v>
      </c>
      <c r="F190" s="38">
        <f>L$159*(B91^3)+M$159*(B91^2)+N$159*B91+O$159</f>
        <v>0.67461696152434092</v>
      </c>
      <c r="G190" s="38">
        <f t="shared" si="16"/>
        <v>3.3383038475659155E-2</v>
      </c>
      <c r="H190" s="38">
        <f t="shared" si="17"/>
        <v>0.67326250376704744</v>
      </c>
      <c r="I190" s="38">
        <f t="shared" si="18"/>
        <v>3.4737496232952636E-2</v>
      </c>
      <c r="AP190" s="1">
        <f t="shared" si="19"/>
        <v>90.553086502076908</v>
      </c>
      <c r="AQ190" s="1">
        <f t="shared" si="20"/>
        <v>-1.5530865020769085</v>
      </c>
      <c r="AR190" s="1">
        <f t="shared" si="21"/>
        <v>90.607698279111148</v>
      </c>
      <c r="AS190" s="1">
        <f t="shared" si="22"/>
        <v>-1.6076982791111476</v>
      </c>
    </row>
    <row r="191" spans="2:45" x14ac:dyDescent="0.2">
      <c r="B191" s="1">
        <v>90</v>
      </c>
      <c r="C191" s="1">
        <f>-264*10^-3</f>
        <v>-0.26400000000000001</v>
      </c>
      <c r="D191" s="1">
        <f>944*10^-3</f>
        <v>0.94400000000000006</v>
      </c>
      <c r="E191" s="45">
        <f t="shared" si="15"/>
        <v>0.68</v>
      </c>
      <c r="F191" s="38">
        <f>L$159*(B92^3)+M$159*(B92^2)+N$159*B92+O$159</f>
        <v>0.68740355199762249</v>
      </c>
      <c r="G191" s="38">
        <f t="shared" si="16"/>
        <v>-7.4035519976224373E-3</v>
      </c>
      <c r="H191" s="38">
        <f t="shared" si="17"/>
        <v>0.68628678526649978</v>
      </c>
      <c r="I191" s="38">
        <f t="shared" si="18"/>
        <v>-6.2867852664997281E-3</v>
      </c>
      <c r="AP191" s="1">
        <f t="shared" si="19"/>
        <v>88.356980148397454</v>
      </c>
      <c r="AQ191" s="1">
        <f t="shared" si="20"/>
        <v>1.6430198516025456</v>
      </c>
      <c r="AR191" s="1">
        <f t="shared" si="21"/>
        <v>88.458861287880353</v>
      </c>
      <c r="AS191" s="1">
        <f t="shared" si="22"/>
        <v>1.5411387121196469</v>
      </c>
    </row>
    <row r="192" spans="2:45" x14ac:dyDescent="0.2">
      <c r="B192" s="1">
        <v>91</v>
      </c>
      <c r="C192" s="1">
        <f>-272*10^-3</f>
        <v>-0.27200000000000002</v>
      </c>
      <c r="D192" s="1">
        <f>968*10^-3</f>
        <v>0.96799999999999997</v>
      </c>
      <c r="E192" s="1">
        <f t="shared" si="15"/>
        <v>0.69599999999999995</v>
      </c>
      <c r="F192" s="38">
        <f>L$159*(B93^3)+M$159*(B93^2)+N$159*B93+O$159</f>
        <v>0.70002261228699014</v>
      </c>
      <c r="G192" s="38">
        <f t="shared" si="16"/>
        <v>-4.0226122869901904E-3</v>
      </c>
      <c r="H192" s="38">
        <f t="shared" si="17"/>
        <v>0.69940747222878263</v>
      </c>
      <c r="I192" s="38">
        <f t="shared" si="18"/>
        <v>-3.407472228782682E-3</v>
      </c>
      <c r="AP192" s="1">
        <f t="shared" si="19"/>
        <v>89.604259198896955</v>
      </c>
      <c r="AQ192" s="1">
        <f t="shared" si="20"/>
        <v>1.3957408011030452</v>
      </c>
      <c r="AR192" s="1">
        <f t="shared" si="21"/>
        <v>89.681214783502682</v>
      </c>
      <c r="AS192" s="1">
        <f t="shared" si="22"/>
        <v>1.3187852164973179</v>
      </c>
    </row>
    <row r="193" spans="2:45" x14ac:dyDescent="0.2">
      <c r="B193" s="1">
        <v>92</v>
      </c>
      <c r="C193" s="1">
        <f>-252*10^-3</f>
        <v>-0.252</v>
      </c>
      <c r="D193" s="1">
        <f>976*10^-3</f>
        <v>0.97599999999999998</v>
      </c>
      <c r="E193" s="1">
        <f t="shared" si="15"/>
        <v>0.72399999999999998</v>
      </c>
      <c r="F193" s="38">
        <f>L$159*(B94^3)+M$159*(B94^2)+N$159*B94+O$159</f>
        <v>0.71248148747823326</v>
      </c>
      <c r="G193" s="38">
        <f t="shared" si="16"/>
        <v>1.1518512521766722E-2</v>
      </c>
      <c r="H193" s="38">
        <f t="shared" si="17"/>
        <v>0.71266334590806846</v>
      </c>
      <c r="I193" s="38">
        <f t="shared" si="18"/>
        <v>1.133665409193152E-2</v>
      </c>
      <c r="AP193" s="1">
        <f t="shared" si="19"/>
        <v>91.836239025244225</v>
      </c>
      <c r="AQ193" s="1">
        <f t="shared" si="20"/>
        <v>0.16376097475577467</v>
      </c>
      <c r="AR193" s="1">
        <f t="shared" si="21"/>
        <v>91.855859990048145</v>
      </c>
      <c r="AS193" s="1">
        <f t="shared" si="22"/>
        <v>0.14414000995185461</v>
      </c>
    </row>
    <row r="194" spans="2:45" x14ac:dyDescent="0.2">
      <c r="B194" s="1">
        <v>93</v>
      </c>
      <c r="C194" s="1">
        <f>-252*10^-3</f>
        <v>-0.252</v>
      </c>
      <c r="D194" s="1">
        <f>992*10^-3</f>
        <v>0.99199999999999999</v>
      </c>
      <c r="E194" s="45">
        <f t="shared" si="15"/>
        <v>0.74</v>
      </c>
      <c r="F194" s="38">
        <f>L$159*(B95^3)+M$159*(B95^2)+N$159*B95+O$159</f>
        <v>0.72478752265714119</v>
      </c>
      <c r="G194" s="38">
        <f t="shared" si="16"/>
        <v>1.5212477342858799E-2</v>
      </c>
      <c r="H194" s="38">
        <f t="shared" si="17"/>
        <v>0.72609445920930815</v>
      </c>
      <c r="I194" s="38">
        <f t="shared" si="18"/>
        <v>1.3905540790691839E-2</v>
      </c>
      <c r="AP194" s="1">
        <f t="shared" si="19"/>
        <v>93.140277130256635</v>
      </c>
      <c r="AQ194" s="1">
        <f t="shared" si="20"/>
        <v>-0.14027713025663502</v>
      </c>
      <c r="AR194" s="1">
        <f t="shared" si="21"/>
        <v>93.118575062345968</v>
      </c>
      <c r="AS194" s="1">
        <f t="shared" si="22"/>
        <v>-0.11857506234596826</v>
      </c>
    </row>
    <row r="195" spans="2:45" x14ac:dyDescent="0.2">
      <c r="B195" s="1">
        <v>94</v>
      </c>
      <c r="C195" s="1">
        <f>-272*10^-3</f>
        <v>-0.27200000000000002</v>
      </c>
      <c r="D195" s="45">
        <v>1.02</v>
      </c>
      <c r="E195" s="1">
        <f t="shared" si="15"/>
        <v>0.748</v>
      </c>
      <c r="F195" s="38">
        <f>L$159*(B96^3)+M$159*(B96^2)+N$159*B96+O$159</f>
        <v>0.73694806290950554</v>
      </c>
      <c r="G195" s="38">
        <f t="shared" si="16"/>
        <v>1.1051937090494457E-2</v>
      </c>
      <c r="H195" s="38">
        <f t="shared" si="17"/>
        <v>0.73974213668822486</v>
      </c>
      <c r="I195" s="38">
        <f t="shared" si="18"/>
        <v>8.2578633117751377E-3</v>
      </c>
      <c r="AP195" s="1">
        <f t="shared" si="19"/>
        <v>93.800216106547083</v>
      </c>
      <c r="AQ195" s="1">
        <f t="shared" si="20"/>
        <v>0.19978389345291703</v>
      </c>
      <c r="AR195" s="1">
        <f t="shared" si="21"/>
        <v>93.755341886814023</v>
      </c>
      <c r="AS195" s="1">
        <f t="shared" si="22"/>
        <v>0.2446581131859773</v>
      </c>
    </row>
    <row r="196" spans="2:45" x14ac:dyDescent="0.2">
      <c r="B196" s="1">
        <v>95</v>
      </c>
      <c r="C196" s="1">
        <f>-272*10^-3</f>
        <v>-0.27200000000000002</v>
      </c>
      <c r="D196" s="45">
        <v>1.03</v>
      </c>
      <c r="E196" s="1">
        <f t="shared" ref="E196:E200" si="24">D196+C196</f>
        <v>0.75800000000000001</v>
      </c>
      <c r="F196" s="38">
        <f>L$159*(B97^3)+M$159*(B97^2)+N$159*B97+O$159</f>
        <v>0.74897045332111434</v>
      </c>
      <c r="G196" s="38">
        <f t="shared" si="16"/>
        <v>9.0295466788856693E-3</v>
      </c>
      <c r="H196" s="38">
        <f t="shared" si="17"/>
        <v>0.75364897455132374</v>
      </c>
      <c r="I196" s="38">
        <f t="shared" si="18"/>
        <v>4.3510254486762712E-3</v>
      </c>
      <c r="AP196" s="1">
        <f t="shared" si="19"/>
        <v>94.632634745461132</v>
      </c>
      <c r="AQ196" s="1">
        <f t="shared" si="20"/>
        <v>0.3673652545388677</v>
      </c>
      <c r="AR196" s="1">
        <f t="shared" si="21"/>
        <v>94.55633093587582</v>
      </c>
      <c r="AS196" s="1">
        <f t="shared" si="22"/>
        <v>0.44366906412417961</v>
      </c>
    </row>
    <row r="197" spans="2:45" x14ac:dyDescent="0.2">
      <c r="B197" s="1">
        <v>96</v>
      </c>
      <c r="C197" s="1">
        <f>-272*10^-3</f>
        <v>-0.27200000000000002</v>
      </c>
      <c r="D197" s="45">
        <v>1.05</v>
      </c>
      <c r="E197" s="1">
        <f t="shared" si="24"/>
        <v>0.77800000000000002</v>
      </c>
      <c r="F197" s="38">
        <f>L$159*(B98^3)+M$159*(B98^2)+N$159*B98+O$159</f>
        <v>0.7608620389777605</v>
      </c>
      <c r="G197" s="38">
        <f t="shared" ref="G197:G200" si="25">E197-F197</f>
        <v>1.7137961022239523E-2</v>
      </c>
      <c r="H197" s="38">
        <f t="shared" ref="H197:H200" si="26">L$173*(B98^4)+M$173*(B98^3)+N$173*(B98^2)+O$173*B197+P$173</f>
        <v>0.76785884065588483</v>
      </c>
      <c r="I197" s="38">
        <f t="shared" ref="I197:I200" si="27">E197-H197</f>
        <v>1.0141159344115191E-2</v>
      </c>
      <c r="AP197" s="1">
        <f t="shared" ref="AP197:AP203" si="28">AH$157*(E197^3)+AI$157*(E197^2)+AJ$157*E197+AK$157</f>
        <v>96.322715832196934</v>
      </c>
      <c r="AQ197" s="1">
        <f t="shared" ref="AQ197:AQ200" si="29">B197-AP197</f>
        <v>-0.32271583219693412</v>
      </c>
      <c r="AR197" s="1">
        <f t="shared" ref="AR197:AR200" si="30">AH$173*(E197^4)+AI$173*(E197^3)+AJ$173*(E197^2)+AK$173*E197+AL$173</f>
        <v>96.174916738964384</v>
      </c>
      <c r="AS197" s="1">
        <f t="shared" ref="AS197:AS200" si="31">B197-AR197</f>
        <v>-0.17491673896438442</v>
      </c>
    </row>
    <row r="198" spans="2:45" x14ac:dyDescent="0.2">
      <c r="B198" s="1">
        <v>97</v>
      </c>
      <c r="C198" s="45">
        <f>-280*10^-3</f>
        <v>-0.28000000000000003</v>
      </c>
      <c r="D198" s="45">
        <v>1.07</v>
      </c>
      <c r="E198" s="45">
        <f t="shared" si="24"/>
        <v>0.79</v>
      </c>
      <c r="F198" s="38">
        <f>L$159*(B99^3)+M$159*(B99^2)+N$159*B99+O$159</f>
        <v>0.7726301649652334</v>
      </c>
      <c r="G198" s="38">
        <f t="shared" si="25"/>
        <v>1.7369835034766634E-2</v>
      </c>
      <c r="H198" s="38">
        <f t="shared" si="26"/>
        <v>0.78241687450996356</v>
      </c>
      <c r="I198" s="38">
        <f t="shared" si="27"/>
        <v>7.5831254900364797E-3</v>
      </c>
      <c r="AP198" s="1">
        <f t="shared" si="28"/>
        <v>97.353104966183267</v>
      </c>
      <c r="AQ198" s="1">
        <f t="shared" si="29"/>
        <v>-0.35310496618326681</v>
      </c>
      <c r="AR198" s="1">
        <f t="shared" si="30"/>
        <v>97.156577523262882</v>
      </c>
      <c r="AS198" s="1">
        <f t="shared" si="31"/>
        <v>-0.15657752326288232</v>
      </c>
    </row>
    <row r="199" spans="2:45" x14ac:dyDescent="0.2">
      <c r="B199" s="1">
        <v>98</v>
      </c>
      <c r="C199" s="45">
        <f>-280*10^-3</f>
        <v>-0.28000000000000003</v>
      </c>
      <c r="D199" s="45">
        <v>1.08</v>
      </c>
      <c r="E199" s="45">
        <f t="shared" si="24"/>
        <v>0.8</v>
      </c>
      <c r="F199" s="38">
        <f>L$159*(B100^3)+M$159*(B100^2)+N$159*B100+O$159</f>
        <v>0.78428217636932107</v>
      </c>
      <c r="G199" s="38">
        <f t="shared" si="25"/>
        <v>1.5717823630678973E-2</v>
      </c>
      <c r="H199" s="38">
        <f t="shared" si="26"/>
        <v>0.79736948727239731</v>
      </c>
      <c r="I199" s="38">
        <f t="shared" si="27"/>
        <v>2.6305127276027296E-3</v>
      </c>
      <c r="AP199" s="1">
        <f t="shared" si="28"/>
        <v>98.221229983467509</v>
      </c>
      <c r="AQ199" s="1">
        <f t="shared" si="29"/>
        <v>-0.22122998346750933</v>
      </c>
      <c r="AR199" s="1">
        <f t="shared" si="30"/>
        <v>97.98057704187849</v>
      </c>
      <c r="AS199" s="1">
        <f t="shared" si="31"/>
        <v>1.9422958121509737E-2</v>
      </c>
    </row>
    <row r="200" spans="2:45" x14ac:dyDescent="0.2">
      <c r="B200" s="1">
        <v>99</v>
      </c>
      <c r="C200" s="45">
        <f>-280*10^-3</f>
        <v>-0.28000000000000003</v>
      </c>
      <c r="D200" s="45">
        <v>1.1000000000000001</v>
      </c>
      <c r="E200" s="45">
        <f t="shared" si="24"/>
        <v>0.82000000000000006</v>
      </c>
      <c r="F200" s="38">
        <f>L$159*(B101^3)+M$159*(B101^2)+N$159*B101+O$159</f>
        <v>0.79582541827581554</v>
      </c>
      <c r="G200" s="38">
        <f t="shared" si="25"/>
        <v>2.4174581724184518E-2</v>
      </c>
      <c r="H200" s="38">
        <f t="shared" si="26"/>
        <v>0.81276436175279265</v>
      </c>
      <c r="I200" s="38">
        <f t="shared" si="27"/>
        <v>7.2356382472074099E-3</v>
      </c>
      <c r="AP200" s="1">
        <f t="shared" si="28"/>
        <v>99.983588409337074</v>
      </c>
      <c r="AQ200" s="1">
        <f t="shared" si="29"/>
        <v>-0.9835884093370737</v>
      </c>
      <c r="AR200" s="1">
        <f t="shared" si="30"/>
        <v>99.644592097913829</v>
      </c>
      <c r="AS200" s="1">
        <f t="shared" si="31"/>
        <v>-0.64459209791382932</v>
      </c>
    </row>
  </sheetData>
  <mergeCells count="14">
    <mergeCell ref="N21:U21"/>
    <mergeCell ref="AY24:BN24"/>
    <mergeCell ref="Q155:R155"/>
    <mergeCell ref="AM159:AN159"/>
    <mergeCell ref="L171:P171"/>
    <mergeCell ref="AH155:AK155"/>
    <mergeCell ref="AH171:AL171"/>
    <mergeCell ref="AP128:AS128"/>
    <mergeCell ref="B128:I128"/>
    <mergeCell ref="N55:U55"/>
    <mergeCell ref="AA24:AD24"/>
    <mergeCell ref="AT24:AW24"/>
    <mergeCell ref="L157:O157"/>
    <mergeCell ref="AA57:AE5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DB4A-142A-4B59-B915-0379F8548473}">
  <dimension ref="B2:BK116"/>
  <sheetViews>
    <sheetView tabSelected="1" zoomScale="82" zoomScaleNormal="85" workbookViewId="0">
      <selection activeCell="H13" sqref="H13"/>
    </sheetView>
  </sheetViews>
  <sheetFormatPr baseColWidth="10" defaultColWidth="12.83203125" defaultRowHeight="16" x14ac:dyDescent="0.2"/>
  <cols>
    <col min="1" max="1" width="12.83203125" style="5"/>
    <col min="2" max="3" width="12.5" style="5" bestFit="1" customWidth="1"/>
    <col min="4" max="4" width="19.1640625" style="5" customWidth="1"/>
    <col min="5" max="5" width="14.5" style="5" bestFit="1" customWidth="1"/>
    <col min="6" max="8" width="12.5" style="5" bestFit="1" customWidth="1"/>
    <col min="9" max="11" width="12.5" style="5" customWidth="1"/>
    <col min="12" max="12" width="13" style="5" bestFit="1" customWidth="1"/>
    <col min="13" max="13" width="18.1640625" style="5" bestFit="1" customWidth="1"/>
    <col min="14" max="16" width="14.83203125" style="5" customWidth="1"/>
    <col min="17" max="17" width="18" style="5" bestFit="1" customWidth="1"/>
    <col min="18" max="18" width="13.6640625" style="5" customWidth="1"/>
    <col min="19" max="21" width="15.1640625" style="5" customWidth="1"/>
    <col min="22" max="22" width="18" style="5" customWidth="1"/>
    <col min="23" max="23" width="14.5" style="5" bestFit="1" customWidth="1"/>
    <col min="24" max="24" width="12.83203125" style="5" bestFit="1" customWidth="1"/>
    <col min="25" max="25" width="15.6640625" style="5" bestFit="1" customWidth="1"/>
    <col min="26" max="44" width="12.83203125" style="5"/>
    <col min="45" max="45" width="19.33203125" style="5" bestFit="1" customWidth="1"/>
    <col min="46" max="46" width="14.83203125" style="5" customWidth="1"/>
    <col min="47" max="47" width="15" style="5" bestFit="1" customWidth="1"/>
    <col min="48" max="16384" width="12.83203125" style="5"/>
  </cols>
  <sheetData>
    <row r="2" spans="2:48" ht="21" x14ac:dyDescent="0.2">
      <c r="B2" s="79" t="s">
        <v>109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98"/>
      <c r="X2" s="98"/>
      <c r="Y2" s="98"/>
    </row>
    <row r="3" spans="2:48" x14ac:dyDescent="0.2">
      <c r="T3" s="99" t="s">
        <v>128</v>
      </c>
      <c r="U3" s="100"/>
      <c r="V3" s="100"/>
    </row>
    <row r="4" spans="2:48" ht="37.5" customHeight="1" x14ac:dyDescent="0.2">
      <c r="B4" s="69" t="s">
        <v>16</v>
      </c>
      <c r="C4" s="69" t="s">
        <v>17</v>
      </c>
      <c r="D4" s="69" t="s">
        <v>18</v>
      </c>
      <c r="E4" s="69" t="s">
        <v>19</v>
      </c>
      <c r="F4" s="70" t="s">
        <v>20</v>
      </c>
      <c r="G4" s="71" t="s">
        <v>21</v>
      </c>
      <c r="H4" s="69" t="s">
        <v>36</v>
      </c>
      <c r="I4" s="69" t="s">
        <v>37</v>
      </c>
      <c r="J4" s="69" t="s">
        <v>22</v>
      </c>
      <c r="K4" s="69" t="s">
        <v>38</v>
      </c>
      <c r="L4" s="69" t="s">
        <v>58</v>
      </c>
      <c r="M4" s="69" t="s">
        <v>122</v>
      </c>
      <c r="N4" s="69" t="s">
        <v>121</v>
      </c>
      <c r="O4" s="69" t="s">
        <v>126</v>
      </c>
      <c r="P4" s="69" t="s">
        <v>124</v>
      </c>
      <c r="Q4" s="69" t="s">
        <v>123</v>
      </c>
      <c r="R4" s="69" t="s">
        <v>114</v>
      </c>
      <c r="S4" s="69" t="s">
        <v>125</v>
      </c>
      <c r="T4" s="101" t="s">
        <v>23</v>
      </c>
      <c r="U4" s="101" t="s">
        <v>24</v>
      </c>
      <c r="V4" s="101" t="s">
        <v>25</v>
      </c>
      <c r="AQ4" s="71" t="s">
        <v>21</v>
      </c>
      <c r="AR4" s="69" t="s">
        <v>18</v>
      </c>
      <c r="AS4" s="69" t="s">
        <v>129</v>
      </c>
      <c r="AT4" s="69" t="s">
        <v>130</v>
      </c>
      <c r="AU4" s="69" t="s">
        <v>132</v>
      </c>
      <c r="AV4" s="69" t="s">
        <v>133</v>
      </c>
    </row>
    <row r="5" spans="2:48" x14ac:dyDescent="0.2">
      <c r="B5" s="72">
        <v>1</v>
      </c>
      <c r="C5" s="25">
        <v>0</v>
      </c>
      <c r="D5" s="7">
        <f t="shared" ref="D5:D11" si="0">2*$C$15*C5</f>
        <v>0</v>
      </c>
      <c r="E5" s="21">
        <f t="shared" ref="E5:E11" si="1">2*C5*$C$16</f>
        <v>0</v>
      </c>
      <c r="F5" s="6">
        <v>0</v>
      </c>
      <c r="G5" s="13">
        <v>0</v>
      </c>
      <c r="H5" s="6">
        <v>9.15</v>
      </c>
      <c r="I5" s="6">
        <v>0.01</v>
      </c>
      <c r="J5" s="8">
        <f>LN(H5)</f>
        <v>2.2137538792874301</v>
      </c>
      <c r="K5" s="8">
        <f>I5/H5</f>
        <v>1.092896174863388E-3</v>
      </c>
      <c r="L5" s="9">
        <f>V$21*C5+W$21</f>
        <v>2.2936077634883212</v>
      </c>
      <c r="M5" s="9">
        <f>L5-J5</f>
        <v>7.9853884200891123E-2</v>
      </c>
      <c r="N5" s="9">
        <f>EXP(L5)</f>
        <v>9.9106284640279263</v>
      </c>
      <c r="O5" s="9">
        <f>N5-H5</f>
        <v>0.76062846402792594</v>
      </c>
      <c r="P5" s="9">
        <f>$F$15*D5+$G$15</f>
        <v>2.2936077634883212</v>
      </c>
      <c r="Q5" s="9">
        <f>P5-J5</f>
        <v>7.9853884200891123E-2</v>
      </c>
      <c r="R5" s="7">
        <f>EXP(P5)</f>
        <v>9.9106284640279263</v>
      </c>
      <c r="S5" s="7">
        <f>R5-H5</f>
        <v>0.76062846402792594</v>
      </c>
      <c r="T5" s="102">
        <v>0</v>
      </c>
      <c r="U5" s="103">
        <v>0</v>
      </c>
      <c r="V5" s="102" t="s">
        <v>26</v>
      </c>
      <c r="Z5" s="10"/>
      <c r="AA5" s="11"/>
      <c r="AB5" s="11"/>
      <c r="AC5" s="10"/>
      <c r="AQ5" s="13">
        <v>0</v>
      </c>
      <c r="AR5" s="7">
        <f>2*$C$15*C5</f>
        <v>0</v>
      </c>
      <c r="AS5" s="9">
        <f>AS$18*AQ5+AT$18</f>
        <v>0.93320016314123677</v>
      </c>
      <c r="AT5" s="9">
        <f>AS5-AR5</f>
        <v>0.93320016314123677</v>
      </c>
      <c r="AU5" s="109">
        <f>AS$32*AQ5+AT$32</f>
        <v>-5.6843418860808015E-14</v>
      </c>
      <c r="AV5" s="9">
        <f>AU5-AR5</f>
        <v>-5.6843418860808015E-14</v>
      </c>
    </row>
    <row r="6" spans="2:48" x14ac:dyDescent="0.2">
      <c r="B6" s="72">
        <v>2</v>
      </c>
      <c r="C6" s="25">
        <v>1</v>
      </c>
      <c r="D6" s="7">
        <f t="shared" si="0"/>
        <v>123</v>
      </c>
      <c r="E6" s="6">
        <f t="shared" si="1"/>
        <v>0.1</v>
      </c>
      <c r="F6" s="6">
        <v>660</v>
      </c>
      <c r="G6" s="13">
        <f>F6*10^-9</f>
        <v>6.6000000000000003E-7</v>
      </c>
      <c r="H6" s="6">
        <v>5.41</v>
      </c>
      <c r="I6" s="6">
        <v>0.01</v>
      </c>
      <c r="J6" s="8">
        <f>LN(H6)</f>
        <v>1.6882490928583902</v>
      </c>
      <c r="K6" s="8">
        <f>I6/H6</f>
        <v>1.8484288354898336E-3</v>
      </c>
      <c r="L6" s="9">
        <f>V$21*C6+W$21</f>
        <v>1.7191293973447648</v>
      </c>
      <c r="M6" s="9">
        <f t="shared" ref="M6:M11" si="2">L6-J6</f>
        <v>3.0880304486374577E-2</v>
      </c>
      <c r="N6" s="9">
        <f>EXP(L6)</f>
        <v>5.5796686747466087</v>
      </c>
      <c r="O6" s="9">
        <f t="shared" ref="O6:O11" si="3">N6-H6</f>
        <v>0.16966867474660852</v>
      </c>
      <c r="P6" s="9">
        <f>$F$15*D6+$G$15</f>
        <v>1.7191293973447648</v>
      </c>
      <c r="Q6" s="9">
        <f t="shared" ref="Q6:Q11" si="4">P6-J6</f>
        <v>3.0880304486374577E-2</v>
      </c>
      <c r="R6" s="7">
        <f>EXP(P6)</f>
        <v>5.5796686747466087</v>
      </c>
      <c r="S6" s="7">
        <f>R6-H6</f>
        <v>0.16966867474660852</v>
      </c>
      <c r="T6" s="104">
        <f>D6-D5</f>
        <v>123</v>
      </c>
      <c r="U6" s="103">
        <f>G6-G5</f>
        <v>6.6000000000000003E-7</v>
      </c>
      <c r="V6" s="105">
        <f>T6/U6</f>
        <v>186363636.36363634</v>
      </c>
      <c r="Z6" s="10"/>
      <c r="AA6" s="11"/>
      <c r="AB6" s="11"/>
      <c r="AC6" s="10"/>
      <c r="AQ6" s="13">
        <f>F6*10^-9</f>
        <v>6.6000000000000003E-7</v>
      </c>
      <c r="AR6" s="7">
        <f t="shared" ref="AR6:AR11" si="5">2*$C$15*C6</f>
        <v>123</v>
      </c>
      <c r="AS6" s="9">
        <f>AS$18*AQ6+AT$18</f>
        <v>123.26907176359359</v>
      </c>
      <c r="AT6" s="9">
        <f t="shared" ref="AT6:AT11" si="6">AS6-AR6</f>
        <v>0.26907176359358687</v>
      </c>
      <c r="AU6" s="9">
        <f t="shared" ref="AU6:AU11" si="7">AS$32*AQ6+AT$32</f>
        <v>122.99999999999997</v>
      </c>
      <c r="AV6" s="9">
        <f t="shared" ref="AV6:AV11" si="8">AU6-AR6</f>
        <v>0</v>
      </c>
    </row>
    <row r="7" spans="2:48" x14ac:dyDescent="0.2">
      <c r="B7" s="72">
        <v>3</v>
      </c>
      <c r="C7" s="25">
        <v>2</v>
      </c>
      <c r="D7" s="7">
        <f t="shared" si="0"/>
        <v>246</v>
      </c>
      <c r="E7" s="6">
        <f t="shared" si="1"/>
        <v>0.2</v>
      </c>
      <c r="F7" s="31">
        <v>1320</v>
      </c>
      <c r="G7" s="13">
        <f t="shared" ref="G7:G11" si="9">F7*10^-9</f>
        <v>1.3200000000000001E-6</v>
      </c>
      <c r="H7" s="6">
        <v>3.22</v>
      </c>
      <c r="I7" s="6">
        <v>0.01</v>
      </c>
      <c r="J7" s="8">
        <f>LN(H7)</f>
        <v>1.1693813595563169</v>
      </c>
      <c r="K7" s="8">
        <f>I7/H7</f>
        <v>3.105590062111801E-3</v>
      </c>
      <c r="L7" s="9">
        <f>V$21*C7+W$21</f>
        <v>1.1446510312012081</v>
      </c>
      <c r="M7" s="9">
        <f t="shared" si="2"/>
        <v>-2.4730328355108799E-2</v>
      </c>
      <c r="N7" s="9">
        <f>EXP(L7)</f>
        <v>3.1413449341733739</v>
      </c>
      <c r="O7" s="9">
        <f t="shared" si="3"/>
        <v>-7.8655065826626291E-2</v>
      </c>
      <c r="P7" s="9">
        <f>$F$15*D7+$G$15</f>
        <v>1.1446510312012081</v>
      </c>
      <c r="Q7" s="9">
        <f t="shared" si="4"/>
        <v>-2.4730328355108799E-2</v>
      </c>
      <c r="R7" s="9">
        <f>EXP(P7)</f>
        <v>3.1413449341733739</v>
      </c>
      <c r="S7" s="9">
        <f>R7-H7</f>
        <v>-7.8655065826626291E-2</v>
      </c>
      <c r="T7" s="104">
        <f>D7-D6</f>
        <v>123</v>
      </c>
      <c r="U7" s="103">
        <f>G7-G6</f>
        <v>6.6000000000000003E-7</v>
      </c>
      <c r="V7" s="105">
        <f t="shared" ref="V7:V11" si="10">T7/U7</f>
        <v>186363636.36363634</v>
      </c>
      <c r="Z7" s="10"/>
      <c r="AA7" s="14"/>
      <c r="AB7" s="11"/>
      <c r="AC7" s="10"/>
      <c r="AQ7" s="13">
        <f t="shared" ref="AQ7:AQ10" si="11">F7*10^-9</f>
        <v>1.3200000000000001E-6</v>
      </c>
      <c r="AR7" s="7">
        <f t="shared" si="5"/>
        <v>246</v>
      </c>
      <c r="AS7" s="9">
        <f>AS$18*AQ7+AT$18</f>
        <v>245.60494336404594</v>
      </c>
      <c r="AT7" s="9">
        <f t="shared" si="6"/>
        <v>-0.39505663595406304</v>
      </c>
      <c r="AU7" s="9">
        <f t="shared" si="7"/>
        <v>246</v>
      </c>
      <c r="AV7" s="9">
        <f t="shared" si="8"/>
        <v>0</v>
      </c>
    </row>
    <row r="8" spans="2:48" x14ac:dyDescent="0.2">
      <c r="B8" s="72">
        <v>4</v>
      </c>
      <c r="C8" s="25">
        <v>3</v>
      </c>
      <c r="D8" s="7">
        <f t="shared" si="0"/>
        <v>369</v>
      </c>
      <c r="E8" s="6">
        <f t="shared" si="1"/>
        <v>0.30000000000000004</v>
      </c>
      <c r="F8" s="31">
        <v>1980</v>
      </c>
      <c r="G8" s="13">
        <f t="shared" si="9"/>
        <v>1.9800000000000001E-6</v>
      </c>
      <c r="H8" s="6">
        <v>1.92</v>
      </c>
      <c r="I8" s="6">
        <v>0.01</v>
      </c>
      <c r="J8" s="8">
        <f>LN(H8)</f>
        <v>0.65232518603969014</v>
      </c>
      <c r="K8" s="8">
        <f>I8/H8</f>
        <v>5.2083333333333339E-3</v>
      </c>
      <c r="L8" s="9">
        <f>V$21*C8+W$21</f>
        <v>0.57017266505765152</v>
      </c>
      <c r="M8" s="9">
        <f t="shared" si="2"/>
        <v>-8.2152520982038624E-2</v>
      </c>
      <c r="N8" s="9">
        <f>EXP(L8)</f>
        <v>1.7685723957265005</v>
      </c>
      <c r="O8" s="9">
        <f t="shared" si="3"/>
        <v>-0.15142760427349944</v>
      </c>
      <c r="P8" s="9">
        <f>$F$15*D8+$G$15</f>
        <v>0.57017266505765174</v>
      </c>
      <c r="Q8" s="9">
        <f t="shared" si="4"/>
        <v>-8.2152520982038402E-2</v>
      </c>
      <c r="R8" s="7">
        <f>EXP(P8)</f>
        <v>1.7685723957265009</v>
      </c>
      <c r="S8" s="7">
        <f>R8-H8</f>
        <v>-0.15142760427349899</v>
      </c>
      <c r="T8" s="104">
        <f>D8-D7</f>
        <v>123</v>
      </c>
      <c r="U8" s="103">
        <f>G8-G7</f>
        <v>6.6000000000000003E-7</v>
      </c>
      <c r="V8" s="105">
        <f t="shared" si="10"/>
        <v>186363636.36363634</v>
      </c>
      <c r="AA8" s="15"/>
      <c r="AB8" s="15"/>
      <c r="AQ8" s="13">
        <f t="shared" si="11"/>
        <v>1.9800000000000001E-6</v>
      </c>
      <c r="AR8" s="7">
        <f t="shared" si="5"/>
        <v>369</v>
      </c>
      <c r="AS8" s="9">
        <f>AS$18*AQ8+AT$18</f>
        <v>367.94081496449832</v>
      </c>
      <c r="AT8" s="9">
        <f t="shared" si="6"/>
        <v>-1.0591850355016845</v>
      </c>
      <c r="AU8" s="9">
        <f t="shared" si="7"/>
        <v>369.00000000000006</v>
      </c>
      <c r="AV8" s="9">
        <f t="shared" si="8"/>
        <v>0</v>
      </c>
    </row>
    <row r="9" spans="2:48" x14ac:dyDescent="0.2">
      <c r="B9" s="72">
        <v>5</v>
      </c>
      <c r="C9" s="25">
        <v>4</v>
      </c>
      <c r="D9" s="7">
        <f t="shared" si="0"/>
        <v>492</v>
      </c>
      <c r="E9" s="6">
        <f t="shared" si="1"/>
        <v>0.4</v>
      </c>
      <c r="F9" s="31">
        <v>2640</v>
      </c>
      <c r="G9" s="13">
        <f t="shared" si="9"/>
        <v>2.6400000000000001E-6</v>
      </c>
      <c r="H9" s="6">
        <v>1.0900000000000001</v>
      </c>
      <c r="I9" s="6">
        <v>0.01</v>
      </c>
      <c r="J9" s="8">
        <f>LN(H9)</f>
        <v>8.6177696241052412E-2</v>
      </c>
      <c r="K9" s="8">
        <f>I9/H9</f>
        <v>9.1743119266055034E-3</v>
      </c>
      <c r="L9" s="9">
        <f>V$21*C9+W$21</f>
        <v>-4.3057010859048894E-3</v>
      </c>
      <c r="M9" s="9">
        <f t="shared" si="2"/>
        <v>-9.0483397326957302E-2</v>
      </c>
      <c r="N9" s="9">
        <f>EXP(L9)</f>
        <v>0.995703555155381</v>
      </c>
      <c r="O9" s="9">
        <f t="shared" si="3"/>
        <v>-9.4296444844619076E-2</v>
      </c>
      <c r="P9" s="9">
        <f>$F$15*D9+$G$15</f>
        <v>-4.3057010859048894E-3</v>
      </c>
      <c r="Q9" s="9">
        <f t="shared" si="4"/>
        <v>-9.0483397326957302E-2</v>
      </c>
      <c r="R9" s="9">
        <f>EXP(P9)</f>
        <v>0.995703555155381</v>
      </c>
      <c r="S9" s="9">
        <f>R9-H9</f>
        <v>-9.4296444844619076E-2</v>
      </c>
      <c r="T9" s="104">
        <f>D9-D8</f>
        <v>123</v>
      </c>
      <c r="U9" s="103">
        <f>G9-G8</f>
        <v>6.6000000000000003E-7</v>
      </c>
      <c r="V9" s="105">
        <f t="shared" si="10"/>
        <v>186363636.36363634</v>
      </c>
      <c r="AA9" s="15"/>
      <c r="AB9" s="15"/>
      <c r="AQ9" s="13">
        <f t="shared" si="11"/>
        <v>2.6400000000000001E-6</v>
      </c>
      <c r="AR9" s="7">
        <f t="shared" si="5"/>
        <v>492</v>
      </c>
      <c r="AS9" s="9">
        <f>AS$18*AQ9+AT$18</f>
        <v>490.27668656495064</v>
      </c>
      <c r="AT9" s="9">
        <f t="shared" si="6"/>
        <v>-1.7233134350493629</v>
      </c>
      <c r="AU9" s="9">
        <f t="shared" si="7"/>
        <v>492.00000000000006</v>
      </c>
      <c r="AV9" s="9">
        <f t="shared" si="8"/>
        <v>0</v>
      </c>
    </row>
    <row r="10" spans="2:48" x14ac:dyDescent="0.2">
      <c r="B10" s="72">
        <v>6</v>
      </c>
      <c r="C10" s="25">
        <v>5</v>
      </c>
      <c r="D10" s="7">
        <f t="shared" si="0"/>
        <v>615</v>
      </c>
      <c r="E10" s="6">
        <f t="shared" si="1"/>
        <v>0.5</v>
      </c>
      <c r="F10" s="31">
        <v>3320</v>
      </c>
      <c r="G10" s="13">
        <f t="shared" si="9"/>
        <v>3.3200000000000004E-6</v>
      </c>
      <c r="H10" s="31">
        <f>624*10^-3</f>
        <v>0.624</v>
      </c>
      <c r="I10" s="6">
        <v>1E-3</v>
      </c>
      <c r="J10" s="8">
        <f>LN(H10)</f>
        <v>-0.47160491061270937</v>
      </c>
      <c r="K10" s="8">
        <f>I10/H10</f>
        <v>1.6025641025641025E-3</v>
      </c>
      <c r="L10" s="9">
        <f>V$21*C10+W$21</f>
        <v>-0.5787840672294613</v>
      </c>
      <c r="M10" s="9">
        <f t="shared" si="2"/>
        <v>-0.10717915661675192</v>
      </c>
      <c r="N10" s="9">
        <f>EXP(L10)</f>
        <v>0.56057957940805891</v>
      </c>
      <c r="O10" s="9">
        <f t="shared" si="3"/>
        <v>-6.3420420591941085E-2</v>
      </c>
      <c r="P10" s="9">
        <f>$F$15*D10+$G$15</f>
        <v>-0.5787840672294613</v>
      </c>
      <c r="Q10" s="9">
        <f t="shared" si="4"/>
        <v>-0.10717915661675192</v>
      </c>
      <c r="R10" s="9">
        <f>EXP(P10)</f>
        <v>0.56057957940805891</v>
      </c>
      <c r="S10" s="9">
        <f>R10-H10</f>
        <v>-6.3420420591941085E-2</v>
      </c>
      <c r="T10" s="104">
        <f>D10-D9</f>
        <v>123</v>
      </c>
      <c r="U10" s="103">
        <f>G10-G9</f>
        <v>6.8000000000000027E-7</v>
      </c>
      <c r="V10" s="106">
        <f t="shared" si="10"/>
        <v>180882352.94117641</v>
      </c>
      <c r="Z10" s="17"/>
      <c r="AQ10" s="13">
        <f t="shared" si="11"/>
        <v>3.3200000000000004E-6</v>
      </c>
      <c r="AR10" s="7">
        <f t="shared" si="5"/>
        <v>615</v>
      </c>
      <c r="AS10" s="9">
        <f>AS$18*AQ10+AT$18</f>
        <v>616.31970578965911</v>
      </c>
      <c r="AT10" s="9">
        <f t="shared" si="6"/>
        <v>1.3197057896591105</v>
      </c>
      <c r="AU10" s="111"/>
      <c r="AV10" s="111"/>
    </row>
    <row r="11" spans="2:48" x14ac:dyDescent="0.2">
      <c r="B11" s="72">
        <v>7</v>
      </c>
      <c r="C11" s="25">
        <v>6</v>
      </c>
      <c r="D11" s="7">
        <f t="shared" si="0"/>
        <v>738</v>
      </c>
      <c r="E11" s="6">
        <f t="shared" si="1"/>
        <v>0.60000000000000009</v>
      </c>
      <c r="F11" s="31">
        <v>3980</v>
      </c>
      <c r="G11" s="13">
        <f t="shared" si="9"/>
        <v>3.98E-6</v>
      </c>
      <c r="H11" s="8">
        <f>260*10^-3</f>
        <v>0.26</v>
      </c>
      <c r="I11" s="6">
        <v>1E-3</v>
      </c>
      <c r="J11" s="8">
        <f>LN(H11)</f>
        <v>-1.3470736479666092</v>
      </c>
      <c r="K11" s="8">
        <f>I11/H11</f>
        <v>3.8461538461538459E-3</v>
      </c>
      <c r="L11" s="9">
        <f>V$21*C11+W$21</f>
        <v>-1.1532624333730181</v>
      </c>
      <c r="M11" s="9">
        <f t="shared" si="2"/>
        <v>0.19381121459359107</v>
      </c>
      <c r="N11" s="9">
        <f>EXP(L11)</f>
        <v>0.31560544624175513</v>
      </c>
      <c r="O11" s="9">
        <f t="shared" si="3"/>
        <v>5.5605446241755119E-2</v>
      </c>
      <c r="P11" s="9">
        <f>$F$15*D11+$G$15</f>
        <v>-1.1532624333730177</v>
      </c>
      <c r="Q11" s="9">
        <f t="shared" si="4"/>
        <v>0.19381121459359152</v>
      </c>
      <c r="R11" s="9">
        <f>EXP(P11)</f>
        <v>0.31560544624175529</v>
      </c>
      <c r="S11" s="9">
        <f>R11-H11</f>
        <v>5.5605446241755285E-2</v>
      </c>
      <c r="T11" s="104">
        <f>D11-D10</f>
        <v>123</v>
      </c>
      <c r="U11" s="103">
        <f>G11-G10</f>
        <v>6.5999999999999961E-7</v>
      </c>
      <c r="V11" s="106">
        <f t="shared" si="10"/>
        <v>186363636.36363646</v>
      </c>
      <c r="Z11" s="17"/>
      <c r="AA11" s="11"/>
      <c r="AB11" s="77"/>
      <c r="AQ11" s="13">
        <f>F11*10^-9</f>
        <v>3.98E-6</v>
      </c>
      <c r="AR11" s="7">
        <f t="shared" si="5"/>
        <v>738</v>
      </c>
      <c r="AS11" s="9">
        <f>AS$18*AQ11+AT$18</f>
        <v>738.65557739011149</v>
      </c>
      <c r="AT11" s="9">
        <f t="shared" si="6"/>
        <v>0.65557739011148897</v>
      </c>
      <c r="AU11" s="111"/>
      <c r="AV11" s="111"/>
    </row>
    <row r="12" spans="2:48" x14ac:dyDescent="0.2">
      <c r="Z12" s="17"/>
    </row>
    <row r="13" spans="2:48" x14ac:dyDescent="0.2">
      <c r="AA13" s="78"/>
    </row>
    <row r="14" spans="2:48" x14ac:dyDescent="0.2">
      <c r="E14" s="75" t="s">
        <v>35</v>
      </c>
      <c r="F14" s="75"/>
      <c r="G14" s="75"/>
      <c r="H14" s="75"/>
      <c r="I14" s="88"/>
      <c r="J14" s="88"/>
      <c r="K14" s="88"/>
    </row>
    <row r="15" spans="2:48" x14ac:dyDescent="0.2">
      <c r="B15" s="73" t="s">
        <v>110</v>
      </c>
      <c r="C15" s="9">
        <v>61.5</v>
      </c>
      <c r="E15" s="74" t="s">
        <v>1</v>
      </c>
      <c r="F15" s="22" cm="1">
        <f t="array" ref="F15:G19">LINEST(J5:J11,D5:D11,1,1)</f>
        <v>-4.6705558223053374E-3</v>
      </c>
      <c r="G15" s="7">
        <v>2.2936077634883212</v>
      </c>
      <c r="H15" s="74" t="s">
        <v>27</v>
      </c>
      <c r="I15" s="95"/>
      <c r="J15" s="95"/>
      <c r="K15" s="95"/>
      <c r="P15" s="18"/>
      <c r="U15" s="33"/>
      <c r="W15" s="20"/>
    </row>
    <row r="16" spans="2:48" x14ac:dyDescent="0.2">
      <c r="B16" s="73" t="s">
        <v>111</v>
      </c>
      <c r="C16" s="6">
        <v>0.05</v>
      </c>
      <c r="E16" s="74" t="s">
        <v>0</v>
      </c>
      <c r="F16" s="22">
        <v>1.8428104435602111E-4</v>
      </c>
      <c r="G16" s="7">
        <v>8.1725474806167611E-2</v>
      </c>
      <c r="H16" s="74" t="s">
        <v>29</v>
      </c>
      <c r="I16" s="95"/>
      <c r="J16" s="95"/>
      <c r="K16" s="95"/>
      <c r="P16" s="18"/>
    </row>
    <row r="17" spans="2:63" x14ac:dyDescent="0.2">
      <c r="B17" s="73" t="s">
        <v>112</v>
      </c>
      <c r="C17" s="80">
        <f>(C16/C15)</f>
        <v>8.1300813008130081E-4</v>
      </c>
      <c r="D17" s="32"/>
      <c r="E17" s="74" t="s">
        <v>31</v>
      </c>
      <c r="F17" s="8">
        <v>0.99227627491409409</v>
      </c>
      <c r="G17" s="7">
        <v>0.11994020641848656</v>
      </c>
      <c r="H17" s="74" t="s">
        <v>32</v>
      </c>
      <c r="I17" s="95"/>
      <c r="J17" s="95"/>
      <c r="K17" s="95"/>
      <c r="P17" s="11"/>
      <c r="AQ17" s="10"/>
      <c r="AR17" s="92" t="s">
        <v>57</v>
      </c>
      <c r="AS17" s="93"/>
      <c r="AT17" s="93"/>
      <c r="AU17" s="94"/>
    </row>
    <row r="18" spans="2:63" x14ac:dyDescent="0.2">
      <c r="B18" s="73" t="s">
        <v>115</v>
      </c>
      <c r="C18" s="6">
        <v>0.84599999999999997</v>
      </c>
      <c r="F18" s="15">
        <v>642.35602890940606</v>
      </c>
      <c r="G18" s="15">
        <v>5</v>
      </c>
      <c r="AQ18" s="10"/>
      <c r="AR18" s="74" t="s">
        <v>1</v>
      </c>
      <c r="AS18" s="107">
        <f t="array" ref="AS18:AT20">LINEST(D5:D11,G5:G11,1,1)</f>
        <v>185357381.21280658</v>
      </c>
      <c r="AT18" s="7">
        <v>0.93320016314123677</v>
      </c>
      <c r="AU18" s="74" t="s">
        <v>27</v>
      </c>
    </row>
    <row r="19" spans="2:63" x14ac:dyDescent="0.2">
      <c r="B19" s="73" t="s">
        <v>116</v>
      </c>
      <c r="C19" s="22">
        <f>LN(C18)</f>
        <v>-0.16723591937591381</v>
      </c>
      <c r="F19" s="15">
        <v>9.2407110086751629</v>
      </c>
      <c r="G19" s="15">
        <v>7.1928265578545814E-2</v>
      </c>
      <c r="AQ19" s="10"/>
      <c r="AR19" s="74" t="s">
        <v>0</v>
      </c>
      <c r="AS19" s="82">
        <v>345584.93198976782</v>
      </c>
      <c r="AT19" s="7">
        <v>0.82539110432793239</v>
      </c>
      <c r="AU19" s="74" t="s">
        <v>29</v>
      </c>
    </row>
    <row r="20" spans="2:63" ht="17" x14ac:dyDescent="0.2">
      <c r="E20" s="76" t="s">
        <v>120</v>
      </c>
      <c r="F20" s="81" t="s">
        <v>118</v>
      </c>
      <c r="U20" s="92" t="s">
        <v>59</v>
      </c>
      <c r="V20" s="93"/>
      <c r="W20" s="93"/>
      <c r="X20" s="94"/>
      <c r="AN20" s="18"/>
      <c r="AR20" s="74" t="s">
        <v>31</v>
      </c>
      <c r="AS20" s="83">
        <v>0.99998261989951986</v>
      </c>
      <c r="AT20" s="21">
        <v>1.2134594451071794</v>
      </c>
      <c r="AU20" s="74" t="s">
        <v>32</v>
      </c>
    </row>
    <row r="21" spans="2:63" x14ac:dyDescent="0.2">
      <c r="E21" s="76" t="s">
        <v>119</v>
      </c>
      <c r="F21" s="22">
        <f>-F15</f>
        <v>4.6705558223053374E-3</v>
      </c>
      <c r="G21" s="96"/>
      <c r="U21" s="74" t="s">
        <v>1</v>
      </c>
      <c r="V21" s="9">
        <f t="array" ref="V21:W23">LINEST(J5:J11,C5:C11,1,1)</f>
        <v>-0.57447836614355652</v>
      </c>
      <c r="W21" s="9">
        <v>2.2936077634883212</v>
      </c>
      <c r="X21" s="74" t="s">
        <v>27</v>
      </c>
      <c r="AN21" s="18"/>
    </row>
    <row r="22" spans="2:63" x14ac:dyDescent="0.2">
      <c r="E22" s="76" t="s">
        <v>127</v>
      </c>
      <c r="F22" s="22">
        <f>F16</f>
        <v>1.8428104435602111E-4</v>
      </c>
      <c r="G22" s="96"/>
      <c r="U22" s="74" t="s">
        <v>0</v>
      </c>
      <c r="V22" s="9">
        <v>2.2666568455790601E-2</v>
      </c>
      <c r="W22" s="9">
        <v>8.1725474806167625E-2</v>
      </c>
      <c r="X22" s="74" t="s">
        <v>29</v>
      </c>
      <c r="AN22" s="11"/>
    </row>
    <row r="23" spans="2:63" x14ac:dyDescent="0.2">
      <c r="E23" s="76" t="s">
        <v>33</v>
      </c>
      <c r="F23" s="9">
        <f>F22/F21</f>
        <v>3.9455913036290813E-2</v>
      </c>
      <c r="G23" s="97"/>
      <c r="U23" s="74" t="s">
        <v>31</v>
      </c>
      <c r="V23" s="8">
        <v>0.99227627491409409</v>
      </c>
      <c r="W23" s="7">
        <v>0.11994020641848657</v>
      </c>
      <c r="X23" s="74" t="s">
        <v>32</v>
      </c>
    </row>
    <row r="24" spans="2:63" x14ac:dyDescent="0.2">
      <c r="U24" s="24"/>
      <c r="AA24" s="23"/>
      <c r="AB24" s="11"/>
    </row>
    <row r="25" spans="2:63" x14ac:dyDescent="0.2">
      <c r="AA25" s="23"/>
      <c r="AB25" s="11"/>
      <c r="AR25" s="73" t="s">
        <v>28</v>
      </c>
      <c r="AS25" s="107">
        <v>185357381.21000001</v>
      </c>
    </row>
    <row r="26" spans="2:63" ht="19" x14ac:dyDescent="0.2">
      <c r="AA26" s="14"/>
      <c r="AB26" s="11"/>
      <c r="AR26" s="73" t="s">
        <v>30</v>
      </c>
      <c r="AS26" s="82">
        <v>345584.93</v>
      </c>
      <c r="BF26" s="127" t="s">
        <v>141</v>
      </c>
      <c r="BG26" s="127"/>
      <c r="BH26" s="127"/>
      <c r="BI26" s="127"/>
      <c r="BJ26" s="127"/>
      <c r="BK26" s="127"/>
    </row>
    <row r="27" spans="2:63" ht="17" x14ac:dyDescent="0.2">
      <c r="U27" s="76" t="s">
        <v>120</v>
      </c>
      <c r="V27" s="81" t="s">
        <v>118</v>
      </c>
      <c r="AA27" s="15"/>
      <c r="AB27" s="15"/>
      <c r="AR27" s="73" t="s">
        <v>34</v>
      </c>
      <c r="AS27" s="85">
        <f>(AS19/AS18)</f>
        <v>1.8644249812366841E-3</v>
      </c>
    </row>
    <row r="28" spans="2:63" x14ac:dyDescent="0.2">
      <c r="U28" s="76" t="s">
        <v>119</v>
      </c>
      <c r="V28" s="22">
        <f>(C19-V21)/(2*C15)</f>
        <v>3.3109142013629488E-3</v>
      </c>
      <c r="AA28" s="15"/>
      <c r="AB28" s="15"/>
    </row>
    <row r="29" spans="2:63" x14ac:dyDescent="0.2">
      <c r="U29" s="76" t="s">
        <v>127</v>
      </c>
      <c r="V29" s="22">
        <v>2.0000000000000001E-4</v>
      </c>
    </row>
    <row r="30" spans="2:63" x14ac:dyDescent="0.2">
      <c r="U30" s="86" t="s">
        <v>117</v>
      </c>
      <c r="V30" s="87">
        <f>V29/V28</f>
        <v>6.040627688801762E-2</v>
      </c>
    </row>
    <row r="31" spans="2:63" x14ac:dyDescent="0.2">
      <c r="U31" s="90"/>
      <c r="V31" s="91"/>
      <c r="AR31" s="92" t="s">
        <v>131</v>
      </c>
      <c r="AS31" s="93"/>
      <c r="AT31" s="93"/>
      <c r="AU31" s="94"/>
    </row>
    <row r="32" spans="2:63" x14ac:dyDescent="0.2">
      <c r="AR32" s="74" t="s">
        <v>1</v>
      </c>
      <c r="AS32" s="26">
        <f t="array" ref="AS32:AT34">LINEST(AR5:AR9,AQ5:AQ9,1,1)</f>
        <v>186363636.3636364</v>
      </c>
      <c r="AT32" s="82">
        <v>-5.6843418860808015E-14</v>
      </c>
      <c r="AU32" s="74" t="s">
        <v>27</v>
      </c>
    </row>
    <row r="33" spans="44:47" x14ac:dyDescent="0.2">
      <c r="AR33" s="74" t="s">
        <v>0</v>
      </c>
      <c r="AS33" s="19">
        <v>1.8014627398625457E-8</v>
      </c>
      <c r="AT33" s="82">
        <v>2.9123585721775951E-14</v>
      </c>
      <c r="AU33" s="74" t="s">
        <v>29</v>
      </c>
    </row>
    <row r="34" spans="44:47" x14ac:dyDescent="0.2">
      <c r="AR34" s="74" t="s">
        <v>31</v>
      </c>
      <c r="AS34" s="83">
        <v>1</v>
      </c>
      <c r="AT34" s="82">
        <v>3.7598387494094122E-14</v>
      </c>
      <c r="AU34" s="74" t="s">
        <v>32</v>
      </c>
    </row>
    <row r="40" spans="44:47" x14ac:dyDescent="0.2">
      <c r="AR40" s="73" t="s">
        <v>28</v>
      </c>
      <c r="AS40" s="26">
        <v>185357381.21000001</v>
      </c>
    </row>
    <row r="41" spans="44:47" x14ac:dyDescent="0.2">
      <c r="AR41" s="73" t="s">
        <v>30</v>
      </c>
      <c r="AS41" s="19">
        <v>2E-8</v>
      </c>
    </row>
    <row r="42" spans="44:47" x14ac:dyDescent="0.2">
      <c r="AR42" s="73" t="s">
        <v>34</v>
      </c>
      <c r="AS42" s="110">
        <f>(AS41/AS40)</f>
        <v>1.0789966857236222E-16</v>
      </c>
    </row>
    <row r="57" spans="10:16" ht="19" x14ac:dyDescent="0.25">
      <c r="J57" s="128" t="s">
        <v>139</v>
      </c>
      <c r="K57" s="128"/>
      <c r="L57" s="128"/>
      <c r="M57" s="128"/>
      <c r="N57" s="128"/>
      <c r="O57" s="128"/>
      <c r="P57" s="128"/>
    </row>
    <row r="65" spans="2:8" ht="19" x14ac:dyDescent="0.25">
      <c r="B65" s="127" t="s">
        <v>140</v>
      </c>
      <c r="C65" s="127"/>
      <c r="D65" s="127"/>
      <c r="E65" s="127"/>
      <c r="F65" s="127"/>
      <c r="G65" s="127"/>
      <c r="H65" s="129"/>
    </row>
    <row r="97" spans="2:25" ht="21" x14ac:dyDescent="0.2">
      <c r="B97" s="79" t="s">
        <v>113</v>
      </c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98"/>
      <c r="X97" s="98"/>
      <c r="Y97" s="98"/>
    </row>
    <row r="98" spans="2:25" x14ac:dyDescent="0.2">
      <c r="T98" s="99" t="s">
        <v>128</v>
      </c>
      <c r="U98" s="100"/>
      <c r="V98" s="100"/>
    </row>
    <row r="99" spans="2:25" ht="18" x14ac:dyDescent="0.2">
      <c r="B99" s="69" t="s">
        <v>16</v>
      </c>
      <c r="C99" s="69" t="s">
        <v>17</v>
      </c>
      <c r="D99" s="69" t="s">
        <v>18</v>
      </c>
      <c r="E99" s="69" t="s">
        <v>19</v>
      </c>
      <c r="F99" s="70" t="s">
        <v>20</v>
      </c>
      <c r="G99" s="71" t="s">
        <v>21</v>
      </c>
      <c r="H99" s="69" t="s">
        <v>36</v>
      </c>
      <c r="I99" s="69" t="s">
        <v>37</v>
      </c>
      <c r="J99" s="69" t="s">
        <v>22</v>
      </c>
      <c r="K99" s="69" t="s">
        <v>38</v>
      </c>
      <c r="L99" s="69" t="s">
        <v>58</v>
      </c>
      <c r="M99" s="69" t="s">
        <v>122</v>
      </c>
      <c r="N99" s="69" t="s">
        <v>121</v>
      </c>
      <c r="O99" s="69" t="s">
        <v>126</v>
      </c>
      <c r="P99" s="69" t="s">
        <v>124</v>
      </c>
      <c r="Q99" s="69" t="s">
        <v>123</v>
      </c>
      <c r="R99" s="69" t="s">
        <v>114</v>
      </c>
      <c r="S99" s="69" t="s">
        <v>125</v>
      </c>
      <c r="T99" s="101" t="s">
        <v>23</v>
      </c>
      <c r="U99" s="101" t="s">
        <v>24</v>
      </c>
      <c r="V99" s="101" t="s">
        <v>25</v>
      </c>
    </row>
    <row r="100" spans="2:25" x14ac:dyDescent="0.2">
      <c r="B100" s="72">
        <v>1</v>
      </c>
      <c r="C100" s="25">
        <v>0</v>
      </c>
      <c r="D100" s="7">
        <f t="shared" ref="D100:D106" si="12">2*$C$15*C100</f>
        <v>0</v>
      </c>
      <c r="E100" s="21">
        <f t="shared" ref="E100:E106" si="13">2*C100*$C$16</f>
        <v>0</v>
      </c>
      <c r="F100" s="6">
        <v>0</v>
      </c>
      <c r="G100" s="13">
        <v>0</v>
      </c>
      <c r="H100" s="6">
        <v>9.52</v>
      </c>
      <c r="I100" s="6">
        <v>0.01</v>
      </c>
      <c r="J100" s="8">
        <f>LN(H100)</f>
        <v>2.253394848803274</v>
      </c>
      <c r="K100" s="8">
        <f>I100/H100</f>
        <v>1.0504201680672271E-3</v>
      </c>
      <c r="L100" s="9">
        <f>R$114*C100+S$114</f>
        <v>2.2375211543821685</v>
      </c>
      <c r="M100" s="8">
        <f>L100-J100</f>
        <v>-1.5873694421105533E-2</v>
      </c>
      <c r="N100" s="9">
        <f>EXP(L100)</f>
        <v>9.3700755049995337</v>
      </c>
      <c r="O100" s="9">
        <f>N100-H100</f>
        <v>-0.1499244950004659</v>
      </c>
      <c r="P100" s="9">
        <f>$D$113*D100+$E$113</f>
        <v>2.2375211543821685</v>
      </c>
      <c r="Q100" s="9">
        <f>P100-J100</f>
        <v>-1.5873694421105533E-2</v>
      </c>
      <c r="R100" s="7">
        <f>EXP(P100)</f>
        <v>9.3700755049995337</v>
      </c>
      <c r="S100" s="7">
        <f>R100-H100</f>
        <v>-0.1499244950004659</v>
      </c>
      <c r="T100" s="102">
        <v>0</v>
      </c>
      <c r="U100" s="103">
        <v>0</v>
      </c>
      <c r="V100" s="102" t="s">
        <v>26</v>
      </c>
    </row>
    <row r="101" spans="2:25" x14ac:dyDescent="0.2">
      <c r="B101" s="72">
        <v>2</v>
      </c>
      <c r="C101" s="25">
        <v>1</v>
      </c>
      <c r="D101" s="7">
        <f t="shared" si="12"/>
        <v>123</v>
      </c>
      <c r="E101" s="6">
        <f t="shared" si="13"/>
        <v>0.1</v>
      </c>
      <c r="F101" s="6">
        <v>660</v>
      </c>
      <c r="G101" s="13">
        <f>F101*10^-9</f>
        <v>6.6000000000000003E-7</v>
      </c>
      <c r="H101" s="6">
        <v>5.72</v>
      </c>
      <c r="I101" s="6">
        <v>0.01</v>
      </c>
      <c r="J101" s="8">
        <f>LN(H101)</f>
        <v>1.7439688053917064</v>
      </c>
      <c r="K101" s="8">
        <f t="shared" ref="K101:K106" si="14">I101/H101</f>
        <v>1.7482517482517485E-3</v>
      </c>
      <c r="L101" s="9">
        <f>R$114*C101+S$114</f>
        <v>1.7507128274898045</v>
      </c>
      <c r="M101" s="8">
        <f t="shared" ref="M101:M106" si="15">L101-J101</f>
        <v>6.7440220980981014E-3</v>
      </c>
      <c r="N101" s="9">
        <f t="shared" ref="N101:N106" si="16">EXP(L101)</f>
        <v>5.7587061773566166</v>
      </c>
      <c r="O101" s="9">
        <f t="shared" ref="O101:O106" si="17">N101-H101</f>
        <v>3.8706177356616855E-2</v>
      </c>
      <c r="P101" s="9">
        <f>$D$113*D101+$E$113</f>
        <v>1.7507128274898045</v>
      </c>
      <c r="Q101" s="9">
        <f>P101-J101</f>
        <v>6.7440220980981014E-3</v>
      </c>
      <c r="R101" s="7">
        <f>EXP(P101)</f>
        <v>5.7587061773566166</v>
      </c>
      <c r="S101" s="7">
        <f>R101-H101</f>
        <v>3.8706177356616855E-2</v>
      </c>
      <c r="T101" s="104">
        <f>D101-D100</f>
        <v>123</v>
      </c>
      <c r="U101" s="103">
        <f>G101-G100</f>
        <v>6.6000000000000003E-7</v>
      </c>
      <c r="V101" s="105">
        <f>T101/U101</f>
        <v>186363636.36363634</v>
      </c>
    </row>
    <row r="102" spans="2:25" x14ac:dyDescent="0.2">
      <c r="B102" s="72">
        <v>3</v>
      </c>
      <c r="C102" s="25">
        <v>2</v>
      </c>
      <c r="D102" s="7">
        <f t="shared" si="12"/>
        <v>246</v>
      </c>
      <c r="E102" s="6">
        <f t="shared" si="13"/>
        <v>0.2</v>
      </c>
      <c r="F102" s="31">
        <v>1320</v>
      </c>
      <c r="G102" s="13">
        <f t="shared" ref="G102:G106" si="18">F102*10^-9</f>
        <v>1.3200000000000001E-6</v>
      </c>
      <c r="H102" s="6">
        <v>3.48</v>
      </c>
      <c r="I102" s="6">
        <v>0.01</v>
      </c>
      <c r="J102" s="8">
        <f>LN(H102)</f>
        <v>1.2470322937863829</v>
      </c>
      <c r="K102" s="8">
        <f t="shared" si="14"/>
        <v>2.8735632183908046E-3</v>
      </c>
      <c r="L102" s="9">
        <f>R$114*C102+S$114</f>
        <v>1.2639045005974405</v>
      </c>
      <c r="M102" s="8">
        <f t="shared" si="15"/>
        <v>1.6872206811057611E-2</v>
      </c>
      <c r="N102" s="9">
        <f t="shared" si="16"/>
        <v>3.5392134054235571</v>
      </c>
      <c r="O102" s="9">
        <f t="shared" si="17"/>
        <v>5.9213405423557131E-2</v>
      </c>
      <c r="P102" s="9">
        <f>$D$113*D102+$E$113</f>
        <v>1.2639045005974405</v>
      </c>
      <c r="Q102" s="9">
        <f>P102-J102</f>
        <v>1.6872206811057611E-2</v>
      </c>
      <c r="R102" s="9">
        <f>EXP(P102)</f>
        <v>3.5392134054235571</v>
      </c>
      <c r="S102" s="9">
        <f>R102-H102</f>
        <v>5.9213405423557131E-2</v>
      </c>
      <c r="T102" s="104">
        <f>D102-D101</f>
        <v>123</v>
      </c>
      <c r="U102" s="103">
        <f>G102-G101</f>
        <v>6.6000000000000003E-7</v>
      </c>
      <c r="V102" s="105">
        <f t="shared" ref="V102:V106" si="19">T102/U102</f>
        <v>186363636.36363634</v>
      </c>
    </row>
    <row r="103" spans="2:25" x14ac:dyDescent="0.2">
      <c r="B103" s="72">
        <v>4</v>
      </c>
      <c r="C103" s="25">
        <v>3</v>
      </c>
      <c r="D103" s="7">
        <f t="shared" si="12"/>
        <v>369</v>
      </c>
      <c r="E103" s="6">
        <f t="shared" si="13"/>
        <v>0.30000000000000004</v>
      </c>
      <c r="F103" s="31">
        <v>1980</v>
      </c>
      <c r="G103" s="13">
        <f t="shared" si="18"/>
        <v>1.9800000000000001E-6</v>
      </c>
      <c r="H103" s="6">
        <v>2.16</v>
      </c>
      <c r="I103" s="6">
        <v>0.01</v>
      </c>
      <c r="J103" s="8">
        <f>LN(H103)</f>
        <v>0.77010822169607374</v>
      </c>
      <c r="K103" s="8">
        <f t="shared" si="14"/>
        <v>4.6296296296296294E-3</v>
      </c>
      <c r="L103" s="9">
        <f>R$114*C103+S$114</f>
        <v>0.77709617370507655</v>
      </c>
      <c r="M103" s="8">
        <f t="shared" si="15"/>
        <v>6.987952009002818E-3</v>
      </c>
      <c r="N103" s="9">
        <f t="shared" si="16"/>
        <v>2.1751468373890122</v>
      </c>
      <c r="O103" s="9">
        <f t="shared" si="17"/>
        <v>1.5146837389012013E-2</v>
      </c>
      <c r="P103" s="9">
        <f>$D$113*D103+$E$113</f>
        <v>0.77709617370507655</v>
      </c>
      <c r="Q103" s="9">
        <f>P103-J103</f>
        <v>6.987952009002818E-3</v>
      </c>
      <c r="R103" s="7">
        <f>EXP(P103)</f>
        <v>2.1751468373890122</v>
      </c>
      <c r="S103" s="7">
        <f>R103-H103</f>
        <v>1.5146837389012013E-2</v>
      </c>
      <c r="T103" s="104">
        <f>D103-D102</f>
        <v>123</v>
      </c>
      <c r="U103" s="103">
        <f>G103-G102</f>
        <v>6.6000000000000003E-7</v>
      </c>
      <c r="V103" s="105">
        <f t="shared" si="19"/>
        <v>186363636.36363634</v>
      </c>
    </row>
    <row r="104" spans="2:25" x14ac:dyDescent="0.2">
      <c r="B104" s="72">
        <v>5</v>
      </c>
      <c r="C104" s="25">
        <v>4</v>
      </c>
      <c r="D104" s="7">
        <f t="shared" si="12"/>
        <v>492</v>
      </c>
      <c r="E104" s="6">
        <f t="shared" si="13"/>
        <v>0.4</v>
      </c>
      <c r="F104" s="31">
        <v>2640</v>
      </c>
      <c r="G104" s="13">
        <f t="shared" si="18"/>
        <v>2.6400000000000001E-6</v>
      </c>
      <c r="H104" s="6">
        <v>1.34</v>
      </c>
      <c r="I104" s="6">
        <v>0.01</v>
      </c>
      <c r="J104" s="8">
        <f>LN(H104)</f>
        <v>0.29266961396282004</v>
      </c>
      <c r="K104" s="8">
        <f t="shared" si="14"/>
        <v>7.462686567164179E-3</v>
      </c>
      <c r="L104" s="9">
        <f>R$114*C104+S$114</f>
        <v>0.29028784681271258</v>
      </c>
      <c r="M104" s="8">
        <f t="shared" si="15"/>
        <v>-2.3817671501074611E-3</v>
      </c>
      <c r="N104" s="9">
        <f t="shared" si="16"/>
        <v>1.3368122297890104</v>
      </c>
      <c r="O104" s="9">
        <f t="shared" si="17"/>
        <v>-3.1877702109897044E-3</v>
      </c>
      <c r="P104" s="9">
        <f>$D$113*D104+$E$113</f>
        <v>0.29028784681271258</v>
      </c>
      <c r="Q104" s="9">
        <f>P104-J104</f>
        <v>-2.3817671501074611E-3</v>
      </c>
      <c r="R104" s="9">
        <f>EXP(P104)</f>
        <v>1.3368122297890104</v>
      </c>
      <c r="S104" s="9">
        <f>R104-H104</f>
        <v>-3.1877702109897044E-3</v>
      </c>
      <c r="T104" s="104">
        <f>D104-D103</f>
        <v>123</v>
      </c>
      <c r="U104" s="103">
        <f>G104-G103</f>
        <v>6.6000000000000003E-7</v>
      </c>
      <c r="V104" s="105">
        <f t="shared" si="19"/>
        <v>186363636.36363634</v>
      </c>
    </row>
    <row r="105" spans="2:25" x14ac:dyDescent="0.2">
      <c r="B105" s="72">
        <v>6</v>
      </c>
      <c r="C105" s="25">
        <v>5</v>
      </c>
      <c r="D105" s="7">
        <f t="shared" si="12"/>
        <v>615</v>
      </c>
      <c r="E105" s="6">
        <f t="shared" si="13"/>
        <v>0.5</v>
      </c>
      <c r="F105" s="31">
        <v>3320</v>
      </c>
      <c r="G105" s="13">
        <f t="shared" si="18"/>
        <v>3.3200000000000004E-6</v>
      </c>
      <c r="H105" s="108">
        <f>840 * 10^-3</f>
        <v>0.84</v>
      </c>
      <c r="I105" s="6">
        <v>0.01</v>
      </c>
      <c r="J105" s="8">
        <f>LN(H105)</f>
        <v>-0.1743533871447778</v>
      </c>
      <c r="K105" s="9">
        <f t="shared" si="14"/>
        <v>1.1904761904761906E-2</v>
      </c>
      <c r="L105" s="9">
        <f>R$114*C105+S$114</f>
        <v>-0.19652048007965117</v>
      </c>
      <c r="M105" s="8">
        <f t="shared" si="15"/>
        <v>-2.2167092934873373E-2</v>
      </c>
      <c r="N105" s="9">
        <f t="shared" si="16"/>
        <v>0.82158450500684965</v>
      </c>
      <c r="O105" s="9">
        <f t="shared" si="17"/>
        <v>-1.8415494993150316E-2</v>
      </c>
      <c r="P105" s="9">
        <f>$D$113*D105+$E$113</f>
        <v>-0.19652048007965117</v>
      </c>
      <c r="Q105" s="9">
        <f>P105-J105</f>
        <v>-2.2167092934873373E-2</v>
      </c>
      <c r="R105" s="9">
        <f>EXP(P105)</f>
        <v>0.82158450500684965</v>
      </c>
      <c r="S105" s="9">
        <f>R105-H105</f>
        <v>-1.8415494993150316E-2</v>
      </c>
      <c r="T105" s="104">
        <f>D105-D104</f>
        <v>123</v>
      </c>
      <c r="U105" s="103">
        <f>G105-G104</f>
        <v>6.8000000000000027E-7</v>
      </c>
      <c r="V105" s="106">
        <f t="shared" si="19"/>
        <v>180882352.94117641</v>
      </c>
    </row>
    <row r="106" spans="2:25" x14ac:dyDescent="0.2">
      <c r="B106" s="72">
        <v>7</v>
      </c>
      <c r="C106" s="25">
        <v>6</v>
      </c>
      <c r="D106" s="7">
        <f t="shared" si="12"/>
        <v>738</v>
      </c>
      <c r="E106" s="6">
        <f t="shared" si="13"/>
        <v>0.60000000000000009</v>
      </c>
      <c r="F106" s="31">
        <v>3980</v>
      </c>
      <c r="G106" s="13">
        <f t="shared" si="18"/>
        <v>3.98E-6</v>
      </c>
      <c r="H106" s="9">
        <f>500*10^-3</f>
        <v>0.5</v>
      </c>
      <c r="I106" s="6">
        <v>0.01</v>
      </c>
      <c r="J106" s="8">
        <f>LN(H106)</f>
        <v>-0.69314718055994529</v>
      </c>
      <c r="K106" s="9">
        <f t="shared" si="14"/>
        <v>0.02</v>
      </c>
      <c r="L106" s="9">
        <f>R$114*C106+S$114</f>
        <v>-0.68332880697201537</v>
      </c>
      <c r="M106" s="8">
        <f t="shared" si="15"/>
        <v>9.8183735879299183E-3</v>
      </c>
      <c r="N106" s="9">
        <f t="shared" si="16"/>
        <v>0.5049333659775731</v>
      </c>
      <c r="O106" s="9">
        <f t="shared" si="17"/>
        <v>4.9333659775731009E-3</v>
      </c>
      <c r="P106" s="9">
        <f>$D$113*D106+$E$113</f>
        <v>-0.68332880697201537</v>
      </c>
      <c r="Q106" s="9">
        <f>P106-J106</f>
        <v>9.8183735879299183E-3</v>
      </c>
      <c r="R106" s="9">
        <f>EXP(P106)</f>
        <v>0.5049333659775731</v>
      </c>
      <c r="S106" s="9">
        <f>R106-H106</f>
        <v>4.9333659775731009E-3</v>
      </c>
      <c r="T106" s="104">
        <f>D106-D105</f>
        <v>123</v>
      </c>
      <c r="U106" s="103">
        <f>G106-G105</f>
        <v>6.5999999999999961E-7</v>
      </c>
      <c r="V106" s="106">
        <f t="shared" si="19"/>
        <v>186363636.36363646</v>
      </c>
    </row>
    <row r="108" spans="2:25" x14ac:dyDescent="0.2">
      <c r="G108" s="32" t="s">
        <v>60</v>
      </c>
    </row>
    <row r="112" spans="2:25" x14ac:dyDescent="0.2">
      <c r="C112" s="75" t="s">
        <v>35</v>
      </c>
      <c r="D112" s="75"/>
      <c r="E112" s="75"/>
      <c r="F112" s="75"/>
    </row>
    <row r="113" spans="3:20" x14ac:dyDescent="0.2">
      <c r="C113" s="74" t="s">
        <v>1</v>
      </c>
      <c r="D113" s="83">
        <f t="array" ref="D113:E115">LINEST(J100:J106,D100:D106,1,1)</f>
        <v>-3.9577912755476745E-3</v>
      </c>
      <c r="E113" s="9">
        <v>2.2375211543821685</v>
      </c>
      <c r="F113" s="74" t="s">
        <v>27</v>
      </c>
      <c r="Q113" s="75" t="s">
        <v>35</v>
      </c>
      <c r="R113" s="75"/>
      <c r="S113" s="75"/>
      <c r="T113" s="75"/>
    </row>
    <row r="114" spans="3:20" x14ac:dyDescent="0.2">
      <c r="C114" s="74" t="s">
        <v>0</v>
      </c>
      <c r="D114" s="83">
        <v>2.4043333592500754E-5</v>
      </c>
      <c r="E114" s="9">
        <v>1.0662805068404215E-2</v>
      </c>
      <c r="F114" s="74" t="s">
        <v>29</v>
      </c>
      <c r="Q114" s="74" t="s">
        <v>1</v>
      </c>
      <c r="R114" s="8">
        <f t="array" ref="R114:S116">LINEST(J100:J106,C100:C106,1,1)</f>
        <v>-0.48680832689236397</v>
      </c>
      <c r="S114" s="9">
        <v>2.2375211543821685</v>
      </c>
      <c r="T114" s="74" t="s">
        <v>27</v>
      </c>
    </row>
    <row r="115" spans="3:20" x14ac:dyDescent="0.2">
      <c r="C115" s="74" t="s">
        <v>31</v>
      </c>
      <c r="D115" s="22">
        <v>0.99981550973082778</v>
      </c>
      <c r="E115" s="9">
        <v>1.5648719618181661E-2</v>
      </c>
      <c r="F115" s="74" t="s">
        <v>32</v>
      </c>
      <c r="Q115" s="74" t="s">
        <v>0</v>
      </c>
      <c r="R115" s="8">
        <v>2.9573300318776127E-3</v>
      </c>
      <c r="S115" s="9">
        <v>1.0662805068404287E-2</v>
      </c>
      <c r="T115" s="74" t="s">
        <v>29</v>
      </c>
    </row>
    <row r="116" spans="3:20" x14ac:dyDescent="0.2">
      <c r="Q116" s="74" t="s">
        <v>31</v>
      </c>
      <c r="R116" s="22">
        <v>0.99981550973082778</v>
      </c>
      <c r="S116" s="9">
        <v>1.5648719618181765E-2</v>
      </c>
      <c r="T116" s="74" t="s">
        <v>32</v>
      </c>
    </row>
  </sheetData>
  <mergeCells count="13">
    <mergeCell ref="BF26:BK26"/>
    <mergeCell ref="AR17:AU17"/>
    <mergeCell ref="B2:V2"/>
    <mergeCell ref="U20:X20"/>
    <mergeCell ref="C112:F112"/>
    <mergeCell ref="Q113:T113"/>
    <mergeCell ref="T3:V3"/>
    <mergeCell ref="T98:V98"/>
    <mergeCell ref="B97:V97"/>
    <mergeCell ref="AR31:AU31"/>
    <mergeCell ref="J57:P57"/>
    <mergeCell ref="B65:G65"/>
    <mergeCell ref="E14:H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71D2-D440-428C-BFA9-1510F3E3B96E}">
  <dimension ref="A2:U55"/>
  <sheetViews>
    <sheetView zoomScaleNormal="115" workbookViewId="0">
      <selection activeCell="I53" sqref="I53"/>
    </sheetView>
  </sheetViews>
  <sheetFormatPr baseColWidth="10" defaultColWidth="12.83203125" defaultRowHeight="16" x14ac:dyDescent="0.2"/>
  <cols>
    <col min="1" max="3" width="12.83203125" style="5"/>
    <col min="4" max="4" width="14.5" style="5" bestFit="1" customWidth="1"/>
    <col min="5" max="5" width="14.5" style="5" customWidth="1"/>
    <col min="6" max="6" width="15.1640625" style="5" bestFit="1" customWidth="1"/>
    <col min="7" max="7" width="15.1640625" style="5" customWidth="1"/>
    <col min="8" max="10" width="12.83203125" style="5"/>
    <col min="11" max="11" width="13.5" style="5" customWidth="1"/>
    <col min="12" max="12" width="12.83203125" style="5"/>
    <col min="13" max="13" width="13.5" style="5" bestFit="1" customWidth="1"/>
    <col min="14" max="14" width="12.83203125" style="5"/>
    <col min="15" max="15" width="14.5" style="5" bestFit="1" customWidth="1"/>
    <col min="16" max="17" width="12.83203125" style="5"/>
    <col min="18" max="18" width="13.1640625" style="5" bestFit="1" customWidth="1"/>
    <col min="19" max="16384" width="12.83203125" style="5"/>
  </cols>
  <sheetData>
    <row r="2" spans="1:21" x14ac:dyDescent="0.2">
      <c r="B2" s="27"/>
      <c r="C2" s="27"/>
      <c r="D2" s="27"/>
      <c r="E2" s="27"/>
      <c r="F2" s="27"/>
      <c r="G2" s="27"/>
      <c r="H2" s="27"/>
      <c r="I2" s="27"/>
      <c r="J2" s="122" t="s">
        <v>136</v>
      </c>
      <c r="K2" s="122"/>
      <c r="L2" s="122"/>
      <c r="M2" s="122"/>
      <c r="N2" s="122"/>
      <c r="O2" s="122"/>
    </row>
    <row r="3" spans="1:21" x14ac:dyDescent="0.2">
      <c r="B3" s="112" t="s">
        <v>61</v>
      </c>
      <c r="C3" s="112" t="s">
        <v>134</v>
      </c>
      <c r="D3" s="113" t="s">
        <v>39</v>
      </c>
      <c r="E3" s="112" t="s">
        <v>135</v>
      </c>
      <c r="F3" s="114" t="s">
        <v>40</v>
      </c>
      <c r="G3" s="114" t="s">
        <v>137</v>
      </c>
      <c r="H3" s="114" t="s">
        <v>48</v>
      </c>
      <c r="I3" s="114" t="s">
        <v>49</v>
      </c>
      <c r="J3" s="119" t="s">
        <v>51</v>
      </c>
      <c r="K3" s="119" t="s">
        <v>55</v>
      </c>
      <c r="L3" s="119" t="s">
        <v>52</v>
      </c>
      <c r="M3" s="119" t="s">
        <v>56</v>
      </c>
      <c r="N3" s="119" t="s">
        <v>53</v>
      </c>
      <c r="O3" s="119" t="s">
        <v>54</v>
      </c>
      <c r="T3" s="123"/>
      <c r="U3" s="123"/>
    </row>
    <row r="4" spans="1:21" x14ac:dyDescent="0.2">
      <c r="A4" s="118"/>
      <c r="B4" s="117">
        <v>1.06E-3</v>
      </c>
      <c r="C4" s="116">
        <v>1.0000000000000001E-5</v>
      </c>
      <c r="D4" s="28">
        <f>B4*1000000</f>
        <v>1060</v>
      </c>
      <c r="E4" s="28">
        <f>C4*1000000</f>
        <v>10</v>
      </c>
      <c r="F4" s="28">
        <v>0</v>
      </c>
      <c r="G4" s="28">
        <f>(F4*PI())/180</f>
        <v>0</v>
      </c>
      <c r="H4" s="30">
        <f>$L$20*G4+$M$20</f>
        <v>-34204.285714284517</v>
      </c>
      <c r="I4" s="29">
        <f>H4-D4</f>
        <v>-35264.285714284517</v>
      </c>
      <c r="J4" s="119">
        <f>LN(D4)</f>
        <v>6.9660241871061128</v>
      </c>
      <c r="K4" s="120">
        <f>E4/D4</f>
        <v>9.433962264150943E-3</v>
      </c>
      <c r="L4" s="119" t="e">
        <f>LN(F4)</f>
        <v>#NUM!</v>
      </c>
      <c r="M4" s="119" t="e">
        <f>$U$4/F4</f>
        <v>#DIV/0!</v>
      </c>
      <c r="N4" s="119"/>
      <c r="O4" s="121">
        <f>K4-N4</f>
        <v>9.433962264150943E-3</v>
      </c>
      <c r="T4" s="123"/>
      <c r="U4" s="89"/>
    </row>
    <row r="5" spans="1:21" x14ac:dyDescent="0.2">
      <c r="A5" s="118"/>
      <c r="B5" s="117">
        <v>1.5036</v>
      </c>
      <c r="C5" s="28">
        <v>1E-4</v>
      </c>
      <c r="D5" s="28">
        <f t="shared" ref="D5:D10" si="0">B5*1000000</f>
        <v>1503600</v>
      </c>
      <c r="E5" s="28">
        <f t="shared" ref="E5:E9" si="1">C5*1000000</f>
        <v>100</v>
      </c>
      <c r="F5" s="28">
        <v>180</v>
      </c>
      <c r="G5" s="126">
        <f t="shared" ref="G5:G10" si="2">(F5*PI())/180</f>
        <v>3.1415926535897931</v>
      </c>
      <c r="H5" s="30">
        <f t="shared" ref="H5:H10" si="3">$L$20*G5+$M$20</f>
        <v>1508857.1428571437</v>
      </c>
      <c r="I5" s="29">
        <f>H5-D5</f>
        <v>5257.1428571436554</v>
      </c>
      <c r="J5" s="119">
        <f>LN(D5)</f>
        <v>14.22337279067216</v>
      </c>
      <c r="K5" s="120">
        <f t="shared" ref="K5:K10" si="4">E5/D5</f>
        <v>6.6507049747273214E-5</v>
      </c>
      <c r="L5" s="119">
        <f>LN(F5)</f>
        <v>5.1929568508902104</v>
      </c>
      <c r="M5" s="119">
        <f>$U$4/F5</f>
        <v>0</v>
      </c>
      <c r="N5" s="119"/>
      <c r="O5" s="121">
        <f t="shared" ref="O5:O10" si="5">K5-N5</f>
        <v>6.6507049747273214E-5</v>
      </c>
      <c r="T5" s="89"/>
      <c r="U5" s="89"/>
    </row>
    <row r="6" spans="1:21" x14ac:dyDescent="0.2">
      <c r="A6" s="118"/>
      <c r="B6" s="117">
        <v>3.0196000000000001</v>
      </c>
      <c r="C6" s="28">
        <v>1E-4</v>
      </c>
      <c r="D6" s="28">
        <f t="shared" si="0"/>
        <v>3019600</v>
      </c>
      <c r="E6" s="28">
        <f t="shared" si="1"/>
        <v>100</v>
      </c>
      <c r="F6" s="28">
        <v>360</v>
      </c>
      <c r="G6" s="126">
        <f t="shared" si="2"/>
        <v>6.2831853071795862</v>
      </c>
      <c r="H6" s="30">
        <f t="shared" si="3"/>
        <v>3051918.5714285718</v>
      </c>
      <c r="I6" s="29">
        <f>H6-D6</f>
        <v>32318.571428571828</v>
      </c>
      <c r="J6" s="119">
        <f>LN(D6)</f>
        <v>14.920634930247607</v>
      </c>
      <c r="K6" s="120">
        <f t="shared" si="4"/>
        <v>3.3116969134984766E-5</v>
      </c>
      <c r="L6" s="119">
        <f>LN(F6)</f>
        <v>5.8861040314501558</v>
      </c>
      <c r="M6" s="119">
        <f>$U$4/F6</f>
        <v>0</v>
      </c>
      <c r="N6" s="119"/>
      <c r="O6" s="121">
        <f t="shared" si="5"/>
        <v>3.3116969134984766E-5</v>
      </c>
    </row>
    <row r="7" spans="1:21" x14ac:dyDescent="0.2">
      <c r="A7" s="118"/>
      <c r="B7" s="117">
        <v>4.5612000000000004</v>
      </c>
      <c r="C7" s="28">
        <v>1E-4</v>
      </c>
      <c r="D7" s="28">
        <f t="shared" si="0"/>
        <v>4561200</v>
      </c>
      <c r="E7" s="28">
        <f t="shared" si="1"/>
        <v>100</v>
      </c>
      <c r="F7" s="28">
        <v>540</v>
      </c>
      <c r="G7" s="126">
        <f t="shared" si="2"/>
        <v>9.4247779607693793</v>
      </c>
      <c r="H7" s="30">
        <f t="shared" si="3"/>
        <v>4594980</v>
      </c>
      <c r="I7" s="29">
        <f>H7-D7</f>
        <v>33780</v>
      </c>
      <c r="J7" s="119">
        <f>LN(D7)</f>
        <v>15.333096304765341</v>
      </c>
      <c r="K7" s="120">
        <f t="shared" si="4"/>
        <v>2.1924055073226343E-5</v>
      </c>
      <c r="L7" s="119">
        <f>LN(F7)</f>
        <v>6.2915691395583204</v>
      </c>
      <c r="M7" s="119">
        <f>$U$4/F7</f>
        <v>0</v>
      </c>
      <c r="N7" s="119"/>
      <c r="O7" s="121">
        <f t="shared" si="5"/>
        <v>2.1924055073226343E-5</v>
      </c>
    </row>
    <row r="8" spans="1:21" x14ac:dyDescent="0.2">
      <c r="A8" s="118"/>
      <c r="B8" s="117">
        <v>6.1242999999999999</v>
      </c>
      <c r="C8" s="28">
        <v>1E-4</v>
      </c>
      <c r="D8" s="28">
        <f t="shared" si="0"/>
        <v>6124300</v>
      </c>
      <c r="E8" s="28">
        <f t="shared" si="1"/>
        <v>100</v>
      </c>
      <c r="F8" s="28">
        <v>720</v>
      </c>
      <c r="G8" s="126">
        <f t="shared" si="2"/>
        <v>12.566370614359172</v>
      </c>
      <c r="H8" s="30">
        <f t="shared" si="3"/>
        <v>6138041.4285714282</v>
      </c>
      <c r="I8" s="29">
        <f>H8-D8</f>
        <v>13741.428571428172</v>
      </c>
      <c r="J8" s="119">
        <f>LN(D8)</f>
        <v>15.627775022149669</v>
      </c>
      <c r="K8" s="120">
        <f t="shared" si="4"/>
        <v>1.6328396714726581E-5</v>
      </c>
      <c r="L8" s="119">
        <f>LN(F8)</f>
        <v>6.5792512120101012</v>
      </c>
      <c r="M8" s="119">
        <f>$U$4/F8</f>
        <v>0</v>
      </c>
      <c r="N8" s="119"/>
      <c r="O8" s="121">
        <f t="shared" si="5"/>
        <v>1.6328396714726581E-5</v>
      </c>
    </row>
    <row r="9" spans="1:21" x14ac:dyDescent="0.2">
      <c r="A9" s="118"/>
      <c r="B9" s="117">
        <v>7.7538999999999998</v>
      </c>
      <c r="C9" s="28">
        <v>1E-4</v>
      </c>
      <c r="D9" s="28">
        <f t="shared" si="0"/>
        <v>7753900</v>
      </c>
      <c r="E9" s="28">
        <f t="shared" si="1"/>
        <v>100</v>
      </c>
      <c r="F9" s="28">
        <v>900</v>
      </c>
      <c r="G9" s="126">
        <f t="shared" si="2"/>
        <v>15.707963267948966</v>
      </c>
      <c r="H9" s="30">
        <f t="shared" si="3"/>
        <v>7681102.8571428573</v>
      </c>
      <c r="I9" s="29">
        <f>H9-D9</f>
        <v>-72797.142857142724</v>
      </c>
      <c r="J9" s="119">
        <f>LN(D9)</f>
        <v>15.863706500560337</v>
      </c>
      <c r="K9" s="120">
        <f t="shared" si="4"/>
        <v>1.2896735836159869E-5</v>
      </c>
      <c r="L9" s="119">
        <f>LN(F9)</f>
        <v>6.8023947633243109</v>
      </c>
      <c r="M9" s="119">
        <f>$U$4/F9</f>
        <v>0</v>
      </c>
      <c r="N9" s="119"/>
      <c r="O9" s="121">
        <f t="shared" si="5"/>
        <v>1.2896735836159869E-5</v>
      </c>
    </row>
    <row r="10" spans="1:21" x14ac:dyDescent="0.2">
      <c r="A10" s="118"/>
      <c r="B10" s="117">
        <v>9.2012</v>
      </c>
      <c r="C10" s="28">
        <v>1E-4</v>
      </c>
      <c r="D10" s="28">
        <f t="shared" si="0"/>
        <v>9201200</v>
      </c>
      <c r="E10" s="28">
        <f>C10*1000000</f>
        <v>100</v>
      </c>
      <c r="F10" s="28">
        <v>1080</v>
      </c>
      <c r="G10" s="126">
        <f t="shared" si="2"/>
        <v>18.849555921538759</v>
      </c>
      <c r="H10" s="30">
        <f t="shared" si="3"/>
        <v>9224164.2857142836</v>
      </c>
      <c r="I10" s="29">
        <f>H10-D10</f>
        <v>22964.285714283586</v>
      </c>
      <c r="J10" s="119">
        <f>LN(D10)</f>
        <v>16.034844468296001</v>
      </c>
      <c r="K10" s="120">
        <f t="shared" si="4"/>
        <v>1.0868147632917445E-5</v>
      </c>
      <c r="L10" s="119">
        <f>LN(F10)</f>
        <v>6.9847163201182658</v>
      </c>
      <c r="M10" s="119">
        <f>$U$4/F10</f>
        <v>0</v>
      </c>
      <c r="N10" s="119"/>
      <c r="O10" s="121">
        <f t="shared" si="5"/>
        <v>1.0868147632917445E-5</v>
      </c>
    </row>
    <row r="11" spans="1:21" x14ac:dyDescent="0.2">
      <c r="I11" s="27"/>
      <c r="J11" s="27"/>
      <c r="K11" s="27"/>
    </row>
    <row r="12" spans="1:21" x14ac:dyDescent="0.2">
      <c r="J12" s="124" t="s">
        <v>50</v>
      </c>
      <c r="K12" s="124"/>
      <c r="L12" s="124"/>
      <c r="M12" s="124"/>
    </row>
    <row r="13" spans="1:21" x14ac:dyDescent="0.2">
      <c r="J13" s="119" t="s">
        <v>1</v>
      </c>
      <c r="K13" s="125">
        <f t="array" ref="K13:L15">LINEST(J5:J10,L5:L10,1,1)</f>
        <v>1.0151039540962079</v>
      </c>
      <c r="L13" s="125">
        <v>8.9494099832749203</v>
      </c>
      <c r="M13" s="119" t="s">
        <v>27</v>
      </c>
    </row>
    <row r="14" spans="1:21" x14ac:dyDescent="0.2">
      <c r="J14" s="119" t="s">
        <v>0</v>
      </c>
      <c r="K14" s="125">
        <v>3.9378201962176366E-3</v>
      </c>
      <c r="L14" s="125">
        <v>2.4881199660988628E-2</v>
      </c>
      <c r="M14" s="119" t="s">
        <v>29</v>
      </c>
    </row>
    <row r="15" spans="1:21" x14ac:dyDescent="0.2">
      <c r="J15" s="119" t="s">
        <v>31</v>
      </c>
      <c r="K15" s="125">
        <v>0.9999398099678225</v>
      </c>
      <c r="L15" s="125">
        <v>5.8347307870188032E-3</v>
      </c>
      <c r="M15" s="119" t="s">
        <v>32</v>
      </c>
    </row>
    <row r="17" spans="6:14" x14ac:dyDescent="0.2">
      <c r="F17" s="15"/>
      <c r="G17" s="15"/>
      <c r="H17" s="15"/>
    </row>
    <row r="18" spans="6:14" x14ac:dyDescent="0.2">
      <c r="K18" s="27"/>
      <c r="L18" s="27"/>
      <c r="M18" s="27"/>
      <c r="N18" s="27"/>
    </row>
    <row r="19" spans="6:14" x14ac:dyDescent="0.2">
      <c r="K19" s="115" t="s">
        <v>50</v>
      </c>
      <c r="L19" s="115"/>
      <c r="M19" s="115"/>
      <c r="N19" s="115"/>
    </row>
    <row r="20" spans="6:14" x14ac:dyDescent="0.2">
      <c r="K20" s="113" t="s">
        <v>1</v>
      </c>
      <c r="L20" s="16">
        <f t="array" ref="L20:M22">LINEST(D4:D10,G4:G10,1,1)</f>
        <v>491171.70770316879</v>
      </c>
      <c r="M20" s="82">
        <v>-34204.285714284517</v>
      </c>
      <c r="N20" s="113" t="s">
        <v>27</v>
      </c>
    </row>
    <row r="21" spans="6:14" x14ac:dyDescent="0.2">
      <c r="K21" s="113" t="s">
        <v>0</v>
      </c>
      <c r="L21" s="9">
        <v>2618.2795439020115</v>
      </c>
      <c r="M21" s="19">
        <v>29657.706401196599</v>
      </c>
      <c r="N21" s="113" t="s">
        <v>29</v>
      </c>
    </row>
    <row r="22" spans="6:14" x14ac:dyDescent="0.2">
      <c r="K22" s="113" t="s">
        <v>31</v>
      </c>
      <c r="L22" s="83">
        <v>0.99985793940031753</v>
      </c>
      <c r="M22" s="19">
        <v>43525.613477254956</v>
      </c>
      <c r="N22" s="113" t="s">
        <v>32</v>
      </c>
    </row>
    <row r="23" spans="6:14" x14ac:dyDescent="0.2">
      <c r="L23" s="15"/>
      <c r="M23" s="15"/>
      <c r="N23" s="15"/>
    </row>
    <row r="26" spans="6:14" x14ac:dyDescent="0.2">
      <c r="L26" s="73" t="s">
        <v>110</v>
      </c>
      <c r="M26" s="9">
        <f>'Parte 2'!C15</f>
        <v>61.5</v>
      </c>
    </row>
    <row r="27" spans="6:14" x14ac:dyDescent="0.2">
      <c r="L27" s="73" t="s">
        <v>111</v>
      </c>
      <c r="M27" s="6">
        <f>'Parte 2'!C16</f>
        <v>0.05</v>
      </c>
    </row>
    <row r="28" spans="6:14" x14ac:dyDescent="0.2">
      <c r="L28" s="76" t="s">
        <v>41</v>
      </c>
      <c r="M28" s="16">
        <f>4*PI()*10^(-7)</f>
        <v>1.2566370614359173E-6</v>
      </c>
    </row>
    <row r="29" spans="6:14" ht="17" x14ac:dyDescent="0.2">
      <c r="L29" s="76" t="s">
        <v>42</v>
      </c>
      <c r="M29" s="16">
        <f>8.85*10^(-12)</f>
        <v>8.8499999999999988E-12</v>
      </c>
    </row>
    <row r="30" spans="6:14" ht="17" x14ac:dyDescent="0.2">
      <c r="L30" s="73" t="s">
        <v>43</v>
      </c>
      <c r="M30" s="26">
        <f>1/SQRT(2.3*M28*M29)</f>
        <v>197724057.76581627</v>
      </c>
    </row>
    <row r="31" spans="6:14" x14ac:dyDescent="0.2">
      <c r="M31" s="27"/>
    </row>
    <row r="32" spans="6:14" x14ac:dyDescent="0.2">
      <c r="M32" s="27"/>
    </row>
    <row r="33" spans="12:13" ht="17" x14ac:dyDescent="0.2">
      <c r="L33" s="73" t="s">
        <v>44</v>
      </c>
      <c r="M33" s="12">
        <f>L20*2*PI()*M26</f>
        <v>189796555.71428567</v>
      </c>
    </row>
    <row r="34" spans="12:13" ht="17" x14ac:dyDescent="0.2">
      <c r="L34" s="73" t="s">
        <v>45</v>
      </c>
      <c r="M34" s="16">
        <f>SQRT((2*PI()*M26*L21)^2+(2*PI()*L20*M27)^2)</f>
        <v>1023444.1855029315</v>
      </c>
    </row>
    <row r="35" spans="12:13" ht="17" x14ac:dyDescent="0.2">
      <c r="L35" s="73" t="s">
        <v>46</v>
      </c>
      <c r="M35" s="85">
        <f>M34/M33</f>
        <v>5.3923222244538259E-3</v>
      </c>
    </row>
    <row r="36" spans="12:13" x14ac:dyDescent="0.2">
      <c r="L36" s="73" t="s">
        <v>47</v>
      </c>
      <c r="M36" s="84">
        <f>(M33-M30)/M30</f>
        <v>-4.0093765731431162E-2</v>
      </c>
    </row>
    <row r="55" spans="2:7" ht="19" x14ac:dyDescent="0.2">
      <c r="B55" s="127" t="s">
        <v>138</v>
      </c>
      <c r="C55" s="127"/>
      <c r="D55" s="127"/>
      <c r="E55" s="127"/>
      <c r="F55" s="127"/>
      <c r="G55" s="127"/>
    </row>
  </sheetData>
  <mergeCells count="4">
    <mergeCell ref="K19:N19"/>
    <mergeCell ref="J12:M12"/>
    <mergeCell ref="J2:O2"/>
    <mergeCell ref="B55:G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Parte 1</vt:lpstr>
      <vt:lpstr>Parte 2</vt:lpstr>
      <vt:lpstr>Parte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Microsoft Office User</cp:lastModifiedBy>
  <dcterms:created xsi:type="dcterms:W3CDTF">2015-06-05T18:19:34Z</dcterms:created>
  <dcterms:modified xsi:type="dcterms:W3CDTF">2023-03-20T09:19:27Z</dcterms:modified>
</cp:coreProperties>
</file>