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3\"/>
    </mc:Choice>
  </mc:AlternateContent>
  <xr:revisionPtr revIDLastSave="0" documentId="13_ncr:1_{DFDF3D3B-4DAD-4759-8126-0BC3B75EAA49}" xr6:coauthVersionLast="47" xr6:coauthVersionMax="47" xr10:uidLastSave="{00000000-0000-0000-0000-000000000000}"/>
  <bookViews>
    <workbookView xWindow="-108" yWindow="-108" windowWidth="23256" windowHeight="12456" activeTab="1" xr2:uid="{CAF38A1F-BD9D-416B-BE17-8DE3D13292B8}"/>
  </bookViews>
  <sheets>
    <sheet name="P1.1" sheetId="1" r:id="rId1"/>
    <sheet name="P1.2" sheetId="2" r:id="rId2"/>
    <sheet name="P1.3" sheetId="3" r:id="rId3"/>
    <sheet name="P2.1" sheetId="4" r:id="rId4"/>
    <sheet name="P2.2" sheetId="5" r:id="rId5"/>
    <sheet name="P2.3" sheetId="7" r:id="rId6"/>
    <sheet name="P2.1 FENDA MULTIPL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2" l="1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7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28" i="2"/>
  <c r="AH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28" i="2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4" i="2"/>
  <c r="I21" i="2" s="1" a="1"/>
  <c r="I21" i="2" s="1"/>
  <c r="R7" i="2"/>
  <c r="R23" i="2"/>
  <c r="S23" i="2"/>
  <c r="T23" i="2"/>
  <c r="R24" i="2"/>
  <c r="S24" i="2"/>
  <c r="T24" i="2"/>
  <c r="R22" i="2"/>
  <c r="R14" i="2"/>
  <c r="R17" i="2"/>
  <c r="R18" i="2"/>
  <c r="R19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7" i="2"/>
  <c r="R8" i="2"/>
  <c r="R9" i="2"/>
  <c r="R10" i="2"/>
  <c r="R11" i="2"/>
  <c r="R12" i="2"/>
  <c r="R13" i="2"/>
  <c r="R15" i="2"/>
  <c r="R16" i="2"/>
  <c r="R20" i="2"/>
  <c r="R21" i="2"/>
  <c r="C7" i="4"/>
  <c r="C5" i="4"/>
  <c r="G4" i="5"/>
  <c r="D10" i="3"/>
  <c r="O10" i="1"/>
  <c r="D4" i="5"/>
  <c r="B8" i="1"/>
  <c r="B7" i="1"/>
  <c r="C7" i="1" s="1"/>
  <c r="D7" i="1" s="1"/>
  <c r="F13" i="7"/>
  <c r="F15" i="7" s="1"/>
  <c r="N14" i="7"/>
  <c r="F14" i="7" s="1"/>
  <c r="C5" i="1"/>
  <c r="D5" i="1"/>
  <c r="E5" i="1"/>
  <c r="F5" i="1"/>
  <c r="G5" i="1"/>
  <c r="H5" i="1"/>
  <c r="I5" i="1"/>
  <c r="J5" i="1"/>
  <c r="K5" i="1"/>
  <c r="B5" i="1"/>
  <c r="C4" i="4"/>
  <c r="D11" i="8"/>
  <c r="D10" i="8"/>
  <c r="D9" i="8"/>
  <c r="D8" i="8"/>
  <c r="D7" i="8"/>
  <c r="D6" i="8"/>
  <c r="D5" i="8"/>
  <c r="D4" i="8"/>
  <c r="AH5" i="2"/>
  <c r="D4" i="3"/>
  <c r="D13" i="7"/>
  <c r="E13" i="7"/>
  <c r="E15" i="7" s="1"/>
  <c r="D14" i="7"/>
  <c r="E14" i="7"/>
  <c r="C14" i="7"/>
  <c r="C13" i="7"/>
  <c r="C15" i="7" s="1"/>
  <c r="D9" i="5"/>
  <c r="D8" i="5"/>
  <c r="D7" i="5"/>
  <c r="D6" i="5"/>
  <c r="D5" i="5"/>
  <c r="C6" i="4"/>
  <c r="C8" i="4"/>
  <c r="C9" i="4"/>
  <c r="C10" i="4"/>
  <c r="C11" i="4"/>
  <c r="D20" i="3"/>
  <c r="D5" i="3"/>
  <c r="D6" i="3"/>
  <c r="D7" i="3"/>
  <c r="D8" i="3"/>
  <c r="D9" i="3"/>
  <c r="D16" i="3"/>
  <c r="D22" i="3" s="1"/>
  <c r="D25" i="3" s="1"/>
  <c r="D17" i="3"/>
  <c r="D18" i="3"/>
  <c r="D19" i="3"/>
  <c r="D21" i="3"/>
  <c r="AH6" i="2"/>
  <c r="I23" i="2" l="1"/>
  <c r="J23" i="2"/>
  <c r="J22" i="2"/>
  <c r="I22" i="2"/>
  <c r="J21" i="2"/>
  <c r="D9" i="2" s="1"/>
  <c r="Y21" i="2" a="1"/>
  <c r="Y21" i="2" s="1"/>
  <c r="F4" i="8"/>
  <c r="E4" i="5"/>
  <c r="N9" i="1"/>
  <c r="N10" i="1"/>
  <c r="C8" i="1"/>
  <c r="C9" i="1" s="1"/>
  <c r="D9" i="1" s="1"/>
  <c r="AH8" i="2"/>
  <c r="AH9" i="2" s="1"/>
  <c r="D23" i="3"/>
  <c r="D24" i="3" s="1"/>
  <c r="D11" i="3"/>
  <c r="D13" i="3"/>
  <c r="AH10" i="2"/>
  <c r="D15" i="7"/>
  <c r="C16" i="7"/>
  <c r="C19" i="7" s="1"/>
  <c r="C17" i="7"/>
  <c r="C18" i="7" s="1"/>
  <c r="E4" i="8"/>
  <c r="F4" i="5"/>
  <c r="C13" i="4"/>
  <c r="C12" i="4"/>
  <c r="C15" i="4" s="1"/>
  <c r="D13" i="2" l="1"/>
  <c r="D12" i="2"/>
  <c r="D20" i="2"/>
  <c r="D7" i="2"/>
  <c r="D10" i="2"/>
  <c r="D11" i="2"/>
  <c r="E11" i="2" s="1"/>
  <c r="D18" i="2"/>
  <c r="D16" i="2"/>
  <c r="E16" i="2" s="1"/>
  <c r="D5" i="2"/>
  <c r="E5" i="2" s="1"/>
  <c r="D21" i="2"/>
  <c r="E21" i="2" s="1"/>
  <c r="D17" i="2"/>
  <c r="E17" i="2" s="1"/>
  <c r="D8" i="2"/>
  <c r="E8" i="2" s="1"/>
  <c r="D15" i="2"/>
  <c r="E15" i="2" s="1"/>
  <c r="D14" i="2"/>
  <c r="E14" i="2" s="1"/>
  <c r="D19" i="2"/>
  <c r="D6" i="2"/>
  <c r="E6" i="2" s="1"/>
  <c r="D4" i="2"/>
  <c r="E4" i="2" s="1"/>
  <c r="E7" i="2"/>
  <c r="E19" i="2"/>
  <c r="E18" i="2"/>
  <c r="E20" i="2"/>
  <c r="E12" i="2"/>
  <c r="E9" i="2"/>
  <c r="E10" i="2"/>
  <c r="E13" i="2"/>
  <c r="Z23" i="2"/>
  <c r="Z21" i="2"/>
  <c r="U23" i="2" s="1"/>
  <c r="V23" i="2" s="1"/>
  <c r="Y22" i="2"/>
  <c r="Z22" i="2"/>
  <c r="Y23" i="2"/>
  <c r="C14" i="4"/>
  <c r="D8" i="1"/>
  <c r="C10" i="1"/>
  <c r="C11" i="1"/>
  <c r="D10" i="1"/>
  <c r="D12" i="3"/>
  <c r="N12" i="1"/>
  <c r="N11" i="1"/>
  <c r="U15" i="2" l="1"/>
  <c r="V15" i="2" s="1"/>
  <c r="U24" i="2"/>
  <c r="V24" i="2" s="1"/>
  <c r="U10" i="2"/>
  <c r="V10" i="2" s="1"/>
  <c r="U17" i="2"/>
  <c r="V17" i="2" s="1"/>
  <c r="U9" i="2"/>
  <c r="V9" i="2" s="1"/>
  <c r="U21" i="2"/>
  <c r="V21" i="2" s="1"/>
  <c r="U22" i="2"/>
  <c r="V22" i="2" s="1"/>
  <c r="AB21" i="2"/>
  <c r="U14" i="2"/>
  <c r="V14" i="2" s="1"/>
  <c r="U16" i="2"/>
  <c r="V16" i="2" s="1"/>
  <c r="U18" i="2"/>
  <c r="V18" i="2" s="1"/>
  <c r="U19" i="2"/>
  <c r="V19" i="2" s="1"/>
  <c r="U11" i="2"/>
  <c r="V11" i="2" s="1"/>
  <c r="U7" i="2"/>
  <c r="V7" i="2" s="1"/>
  <c r="U13" i="2"/>
  <c r="V13" i="2" s="1"/>
  <c r="U8" i="2"/>
  <c r="V8" i="2" s="1"/>
  <c r="U12" i="2"/>
  <c r="V12" i="2" s="1"/>
  <c r="U20" i="2"/>
  <c r="V20" i="2" s="1"/>
  <c r="C12" i="1"/>
  <c r="D11" i="1"/>
  <c r="N14" i="1"/>
  <c r="C13" i="1" l="1"/>
  <c r="D12" i="1"/>
  <c r="N13" i="1"/>
  <c r="C14" i="1" l="1"/>
  <c r="D13" i="1"/>
  <c r="C15" i="1" l="1"/>
  <c r="D14" i="1"/>
  <c r="C16" i="1" l="1"/>
  <c r="D16" i="1" s="1"/>
  <c r="D15" i="1"/>
  <c r="G9" i="1" l="1" a="1"/>
  <c r="G9" i="1" s="1"/>
  <c r="H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<sst xmlns="http://schemas.openxmlformats.org/spreadsheetml/2006/main" count="146" uniqueCount="91">
  <si>
    <t>Determinação do n do ar - Método 1</t>
  </si>
  <si>
    <t>Determinação do n do ar - Método 2</t>
  </si>
  <si>
    <t>Determinação do n do vidro</t>
  </si>
  <si>
    <t>Determinação da largura de fenda</t>
  </si>
  <si>
    <t>Determinação de diâmetro de fio</t>
  </si>
  <si>
    <t>N</t>
  </si>
  <si>
    <t>Ensaio 1</t>
  </si>
  <si>
    <t>Ensaio 2</t>
  </si>
  <si>
    <t>Ensaio 3</t>
  </si>
  <si>
    <t>Ensaio 4</t>
  </si>
  <si>
    <t>Ensaio 5</t>
  </si>
  <si>
    <t>Ensaio 6</t>
  </si>
  <si>
    <t>Ensaio 7</t>
  </si>
  <si>
    <t>Ensaio 8</t>
  </si>
  <si>
    <t>Ensaio 9</t>
  </si>
  <si>
    <t>Ensaio 10</t>
  </si>
  <si>
    <t>Média</t>
  </si>
  <si>
    <t>u(Média)</t>
  </si>
  <si>
    <t>u(microm)</t>
  </si>
  <si>
    <t>λ0 (m)</t>
  </si>
  <si>
    <t>erro %</t>
  </si>
  <si>
    <r>
      <t>n</t>
    </r>
    <r>
      <rPr>
        <vertAlign val="subscript"/>
        <sz val="11"/>
        <color theme="1"/>
        <rFont val="Calibri"/>
        <family val="2"/>
        <scheme val="minor"/>
      </rPr>
      <t>a</t>
    </r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</si>
  <si>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</si>
  <si>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ajuste</t>
  </si>
  <si>
    <t>resíduos</t>
  </si>
  <si>
    <t>Regressão Linear</t>
  </si>
  <si>
    <t>m</t>
  </si>
  <si>
    <t>u(m)</t>
  </si>
  <si>
    <t>b</t>
  </si>
  <si>
    <t>u(b)</t>
  </si>
  <si>
    <t>sy</t>
  </si>
  <si>
    <t>dc</t>
  </si>
  <si>
    <t>u(dc)</t>
  </si>
  <si>
    <t>u(%)</t>
  </si>
  <si>
    <t>h</t>
  </si>
  <si>
    <t>u(h)</t>
  </si>
  <si>
    <t>u(medio)</t>
  </si>
  <si>
    <t>d</t>
  </si>
  <si>
    <t>u(d)</t>
  </si>
  <si>
    <t>Ymin|m</t>
  </si>
  <si>
    <t>b medio</t>
  </si>
  <si>
    <t>Determinação de diâmetro de orifício circular</t>
  </si>
  <si>
    <t>Zeros</t>
  </si>
  <si>
    <t>1º</t>
  </si>
  <si>
    <t xml:space="preserve">2º </t>
  </si>
  <si>
    <t>3º</t>
  </si>
  <si>
    <t>4º</t>
  </si>
  <si>
    <t>2 fendas, largura ,04mm, distanciamento ,125mm</t>
  </si>
  <si>
    <t>p (bar)</t>
  </si>
  <si>
    <t>erro (%)</t>
  </si>
  <si>
    <r>
      <t>n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(referência)</t>
    </r>
  </si>
  <si>
    <t>Δd (μm)</t>
  </si>
  <si>
    <t>Δd (m)</t>
  </si>
  <si>
    <t>Média de Δd (m)</t>
  </si>
  <si>
    <t>u(Média Δd) (m)</t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</si>
  <si>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</t>
    </r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</si>
  <si>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</si>
  <si>
    <t>i (°)</t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</si>
  <si>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v-normal </t>
    </r>
    <r>
      <rPr>
        <sz val="11"/>
        <color theme="1"/>
        <rFont val="Calibri"/>
        <family val="2"/>
        <scheme val="minor"/>
      </rPr>
      <t>(ref)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</si>
  <si>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</si>
  <si>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 (%)</t>
    </r>
  </si>
  <si>
    <t>d (m)</t>
  </si>
  <si>
    <t>u(d) (m)</t>
  </si>
  <si>
    <t>b (referência) (m)</t>
  </si>
  <si>
    <t>b médio</t>
  </si>
  <si>
    <t>u(b médio)</t>
  </si>
  <si>
    <r>
      <t>Y</t>
    </r>
    <r>
      <rPr>
        <vertAlign val="subscript"/>
        <sz val="11"/>
        <color theme="1"/>
        <rFont val="Calibri"/>
        <family val="2"/>
        <scheme val="minor"/>
      </rPr>
      <t>min|m</t>
    </r>
    <r>
      <rPr>
        <sz val="11"/>
        <color theme="1"/>
        <rFont val="Calibri"/>
        <family val="2"/>
        <scheme val="minor"/>
      </rPr>
      <t xml:space="preserve"> (m)</t>
    </r>
  </si>
  <si>
    <t>b (m)</t>
  </si>
  <si>
    <t>u(b médio) (%)</t>
  </si>
  <si>
    <t>u(D médio) (%)</t>
  </si>
  <si>
    <t>D (referência) (m)</t>
  </si>
  <si>
    <t>u(D) (m)</t>
  </si>
  <si>
    <t>D médio (m)</t>
  </si>
  <si>
    <t>u(D médio) (m)</t>
  </si>
  <si>
    <t>D (m)</t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</si>
  <si>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(%)</t>
    </r>
  </si>
  <si>
    <t>n</t>
  </si>
  <si>
    <t>Média de N</t>
  </si>
  <si>
    <t>u(Média de N)</t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</si>
  <si>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</si>
  <si>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</si>
  <si>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</si>
  <si>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 (%)</t>
    </r>
  </si>
  <si>
    <t xml:space="preserve"> 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</si>
  <si>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</si>
  <si>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log(p)</t>
  </si>
  <si>
    <t>log(N)</t>
  </si>
  <si>
    <t>N (±1)</t>
  </si>
  <si>
    <t>u(log(N))</t>
  </si>
  <si>
    <t>p (Pa)</t>
  </si>
  <si>
    <t>De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</si>
</sst>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"/>
    <numFmt numFmtId="167" formatCode="0.0000%"/>
    <numFmt numFmtId="168" formatCode="0.0"/>
    <numFmt numFmtId="169" formatCode="0.0E+00"/>
    <numFmt numFmtId="170" formatCode="0E+00"/>
    <numFmt numFmtId="171" formatCode="0.000E+00"/>
    <numFmt numFmtId="172" formatCode="0.000000"/>
    <numFmt numFmtId="173" formatCode="0.00000%"/>
    <numFmt numFmtId="174" formatCode="0.0000000E+00"/>
  </numFmts>
  <fonts count="9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'P1.1'!$E$7:$E$16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'P1.1'!$C$7:$C$16</c:f>
              <c:numCache>
                <c:formatCode>0.0</c:formatCode>
                <c:ptCount val="10"/>
                <c:pt idx="0">
                  <c:v>12</c:v>
                </c:pt>
                <c:pt idx="1">
                  <c:v>22.5</c:v>
                </c:pt>
                <c:pt idx="2">
                  <c:v>34</c:v>
                </c:pt>
                <c:pt idx="3">
                  <c:v>44.7</c:v>
                </c:pt>
                <c:pt idx="4">
                  <c:v>56</c:v>
                </c:pt>
                <c:pt idx="5">
                  <c:v>66</c:v>
                </c:pt>
                <c:pt idx="6">
                  <c:v>77.099999999999994</c:v>
                </c:pt>
                <c:pt idx="7">
                  <c:v>88.1</c:v>
                </c:pt>
                <c:pt idx="8">
                  <c:v>100.1</c:v>
                </c:pt>
                <c:pt idx="9">
                  <c:v>111.1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A-4EB3-AA95-B8FFD33A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77712"/>
        <c:axId val="1988631632"/>
      </c:scatterChart>
      <c:valAx>
        <c:axId val="27557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1632"/>
        <c:crosses val="autoZero"/>
        <c:crossBetween val="midCat"/>
      </c:valAx>
      <c:valAx>
        <c:axId val="19886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7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6516964842133"/>
          <c:y val="4.9724840458721442E-2"/>
          <c:w val="0.82367435872942241"/>
          <c:h val="0.807301471705782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'P1.2'!$B$4:$B$21</c:f>
              <c:numCache>
                <c:formatCode>0.0</c:formatCode>
                <c:ptCount val="18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110000.00000000001</c:v>
                </c:pt>
                <c:pt idx="9">
                  <c:v>120000</c:v>
                </c:pt>
                <c:pt idx="10">
                  <c:v>130000</c:v>
                </c:pt>
                <c:pt idx="11">
                  <c:v>140000</c:v>
                </c:pt>
                <c:pt idx="12">
                  <c:v>150000</c:v>
                </c:pt>
                <c:pt idx="13">
                  <c:v>160000</c:v>
                </c:pt>
                <c:pt idx="14">
                  <c:v>170000</c:v>
                </c:pt>
                <c:pt idx="15">
                  <c:v>180000</c:v>
                </c:pt>
                <c:pt idx="16">
                  <c:v>190000</c:v>
                </c:pt>
                <c:pt idx="17">
                  <c:v>200000</c:v>
                </c:pt>
              </c:numCache>
            </c:numRef>
          </c:xVal>
          <c:yVal>
            <c:numRef>
              <c:f>'P1.2'!$C$4:$C$21</c:f>
              <c:numCache>
                <c:formatCode>General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21</c:v>
                </c:pt>
                <c:pt idx="8">
                  <c:v>22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39</c:v>
                </c:pt>
                <c:pt idx="16">
                  <c:v>42</c:v>
                </c:pt>
                <c:pt idx="17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7-4176-A5D8-48795EE2CEF0}"/>
            </c:ext>
          </c:extLst>
        </c:ser>
        <c:ser>
          <c:idx val="1"/>
          <c:order val="1"/>
          <c:tx>
            <c:v>aj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'P1.2'!$B$4:$B$21</c:f>
              <c:numCache>
                <c:formatCode>0.0</c:formatCode>
                <c:ptCount val="18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110000.00000000001</c:v>
                </c:pt>
                <c:pt idx="9">
                  <c:v>120000</c:v>
                </c:pt>
                <c:pt idx="10">
                  <c:v>130000</c:v>
                </c:pt>
                <c:pt idx="11">
                  <c:v>140000</c:v>
                </c:pt>
                <c:pt idx="12">
                  <c:v>150000</c:v>
                </c:pt>
                <c:pt idx="13">
                  <c:v>160000</c:v>
                </c:pt>
                <c:pt idx="14">
                  <c:v>170000</c:v>
                </c:pt>
                <c:pt idx="15">
                  <c:v>180000</c:v>
                </c:pt>
                <c:pt idx="16">
                  <c:v>190000</c:v>
                </c:pt>
                <c:pt idx="17">
                  <c:v>200000</c:v>
                </c:pt>
              </c:numCache>
            </c:numRef>
          </c:xVal>
          <c:yVal>
            <c:numRef>
              <c:f>'P1.2'!$D$4:$D$21</c:f>
              <c:numCache>
                <c:formatCode>0.00</c:formatCode>
                <c:ptCount val="18"/>
                <c:pt idx="0">
                  <c:v>4.7309941520467866</c:v>
                </c:pt>
                <c:pt idx="1">
                  <c:v>7.0436876504987982</c:v>
                </c:pt>
                <c:pt idx="2">
                  <c:v>9.3563811489508115</c:v>
                </c:pt>
                <c:pt idx="3">
                  <c:v>11.669074647402823</c:v>
                </c:pt>
                <c:pt idx="4">
                  <c:v>13.981768145854836</c:v>
                </c:pt>
                <c:pt idx="5">
                  <c:v>16.294461644306846</c:v>
                </c:pt>
                <c:pt idx="6">
                  <c:v>18.60715514275886</c:v>
                </c:pt>
                <c:pt idx="7">
                  <c:v>20.919848641210873</c:v>
                </c:pt>
                <c:pt idx="8">
                  <c:v>23.232542139662886</c:v>
                </c:pt>
                <c:pt idx="9">
                  <c:v>25.545235638114896</c:v>
                </c:pt>
                <c:pt idx="10">
                  <c:v>27.857929136566909</c:v>
                </c:pt>
                <c:pt idx="11">
                  <c:v>30.170622635018923</c:v>
                </c:pt>
                <c:pt idx="12">
                  <c:v>32.483316133470929</c:v>
                </c:pt>
                <c:pt idx="13">
                  <c:v>34.796009631922942</c:v>
                </c:pt>
                <c:pt idx="14">
                  <c:v>37.108703130374955</c:v>
                </c:pt>
                <c:pt idx="15">
                  <c:v>39.421396628826969</c:v>
                </c:pt>
                <c:pt idx="16">
                  <c:v>41.734090127278982</c:v>
                </c:pt>
                <c:pt idx="17">
                  <c:v>44.046783625730995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7-457E-8BB8-4A8CCF58B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27559055118113"/>
          <c:y val="0.1373155019339149"/>
          <c:w val="0.83527296587926514"/>
          <c:h val="0.729027695730726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'P1.2'!$E$4:$E$21</c:f>
              <c:numCache>
                <c:formatCode>0.00</c:formatCode>
                <c:ptCount val="18"/>
                <c:pt idx="0">
                  <c:v>0.26900584795321336</c:v>
                </c:pt>
                <c:pt idx="1">
                  <c:v>0.95631234950120181</c:v>
                </c:pt>
                <c:pt idx="2">
                  <c:v>0.64361885104918848</c:v>
                </c:pt>
                <c:pt idx="3">
                  <c:v>0.33092535259717692</c:v>
                </c:pt>
                <c:pt idx="4">
                  <c:v>1.8231854145163595E-2</c:v>
                </c:pt>
                <c:pt idx="5">
                  <c:v>-0.29446164430684618</c:v>
                </c:pt>
                <c:pt idx="6">
                  <c:v>-0.60715514275885951</c:v>
                </c:pt>
                <c:pt idx="7">
                  <c:v>8.0151358789127158E-2</c:v>
                </c:pt>
                <c:pt idx="8">
                  <c:v>-1.2325421396628862</c:v>
                </c:pt>
                <c:pt idx="9">
                  <c:v>-1.5452356381148959</c:v>
                </c:pt>
                <c:pt idx="10">
                  <c:v>-0.85792913656690928</c:v>
                </c:pt>
                <c:pt idx="11">
                  <c:v>-0.17062263501892261</c:v>
                </c:pt>
                <c:pt idx="12">
                  <c:v>0.51668386652907117</c:v>
                </c:pt>
                <c:pt idx="13">
                  <c:v>0.20399036807705784</c:v>
                </c:pt>
                <c:pt idx="14">
                  <c:v>0.89129686962504451</c:v>
                </c:pt>
                <c:pt idx="15">
                  <c:v>-0.42139662882696882</c:v>
                </c:pt>
                <c:pt idx="16">
                  <c:v>0.26590987272101785</c:v>
                </c:pt>
                <c:pt idx="17">
                  <c:v>0.95321637426900452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C-4304-9CAB-6BD0F943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- N</a:t>
                </a:r>
                <a:r>
                  <a:rPr lang="en-US" sz="1400" baseline="-25000"/>
                  <a:t>ajuste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38648293963254"/>
          <c:y val="4.9724840458721442E-2"/>
          <c:w val="0.84916207349081352"/>
          <c:h val="0.788225214729800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'P1.2'!$T$7:$T$24</c:f>
                <c:numCache>
                  <c:formatCode>General</c:formatCode>
                  <c:ptCount val="18"/>
                  <c:pt idx="0">
                    <c:v>0.2</c:v>
                  </c:pt>
                  <c:pt idx="1">
                    <c:v>0.125</c:v>
                  </c:pt>
                  <c:pt idx="2">
                    <c:v>0.1</c:v>
                  </c:pt>
                  <c:pt idx="3">
                    <c:v>8.3333333333333329E-2</c:v>
                  </c:pt>
                  <c:pt idx="4">
                    <c:v>7.1428571428571425E-2</c:v>
                  </c:pt>
                  <c:pt idx="5">
                    <c:v>6.25E-2</c:v>
                  </c:pt>
                  <c:pt idx="6">
                    <c:v>5.5555555555555552E-2</c:v>
                  </c:pt>
                  <c:pt idx="7">
                    <c:v>4.7619047619047616E-2</c:v>
                  </c:pt>
                  <c:pt idx="8">
                    <c:v>4.5454545454545456E-2</c:v>
                  </c:pt>
                  <c:pt idx="9">
                    <c:v>4.1666666666666664E-2</c:v>
                  </c:pt>
                  <c:pt idx="10">
                    <c:v>3.7037037037037035E-2</c:v>
                  </c:pt>
                  <c:pt idx="11">
                    <c:v>3.3333333333333333E-2</c:v>
                  </c:pt>
                  <c:pt idx="12">
                    <c:v>3.0303030303030304E-2</c:v>
                  </c:pt>
                  <c:pt idx="13">
                    <c:v>2.8571428571428571E-2</c:v>
                  </c:pt>
                  <c:pt idx="14">
                    <c:v>2.6315789473684209E-2</c:v>
                  </c:pt>
                  <c:pt idx="15">
                    <c:v>2.564102564102564E-2</c:v>
                  </c:pt>
                  <c:pt idx="16">
                    <c:v>2.3809523809523808E-2</c:v>
                  </c:pt>
                  <c:pt idx="17">
                    <c:v>2.2222222222222223E-2</c:v>
                  </c:pt>
                </c:numCache>
              </c:numRef>
            </c:plus>
            <c:minus>
              <c:numRef>
                <c:f>'P1.2'!$T$7:$T$24</c:f>
                <c:numCache>
                  <c:formatCode>General</c:formatCode>
                  <c:ptCount val="18"/>
                  <c:pt idx="0">
                    <c:v>0.2</c:v>
                  </c:pt>
                  <c:pt idx="1">
                    <c:v>0.125</c:v>
                  </c:pt>
                  <c:pt idx="2">
                    <c:v>0.1</c:v>
                  </c:pt>
                  <c:pt idx="3">
                    <c:v>8.3333333333333329E-2</c:v>
                  </c:pt>
                  <c:pt idx="4">
                    <c:v>7.1428571428571425E-2</c:v>
                  </c:pt>
                  <c:pt idx="5">
                    <c:v>6.25E-2</c:v>
                  </c:pt>
                  <c:pt idx="6">
                    <c:v>5.5555555555555552E-2</c:v>
                  </c:pt>
                  <c:pt idx="7">
                    <c:v>4.7619047619047616E-2</c:v>
                  </c:pt>
                  <c:pt idx="8">
                    <c:v>4.5454545454545456E-2</c:v>
                  </c:pt>
                  <c:pt idx="9">
                    <c:v>4.1666666666666664E-2</c:v>
                  </c:pt>
                  <c:pt idx="10">
                    <c:v>3.7037037037037035E-2</c:v>
                  </c:pt>
                  <c:pt idx="11">
                    <c:v>3.3333333333333333E-2</c:v>
                  </c:pt>
                  <c:pt idx="12">
                    <c:v>3.0303030303030304E-2</c:v>
                  </c:pt>
                  <c:pt idx="13">
                    <c:v>2.8571428571428571E-2</c:v>
                  </c:pt>
                  <c:pt idx="14">
                    <c:v>2.6315789473684209E-2</c:v>
                  </c:pt>
                  <c:pt idx="15">
                    <c:v>2.564102564102564E-2</c:v>
                  </c:pt>
                  <c:pt idx="16">
                    <c:v>2.3809523809523808E-2</c:v>
                  </c:pt>
                  <c:pt idx="17">
                    <c:v>2.2222222222222223E-2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'P1.2'!$R$7:$R$24</c:f>
              <c:numCache>
                <c:formatCode>0.0000</c:formatCode>
                <c:ptCount val="18"/>
                <c:pt idx="0">
                  <c:v>10.308952660644293</c:v>
                </c:pt>
                <c:pt idx="1">
                  <c:v>10.596634733096073</c:v>
                </c:pt>
                <c:pt idx="2">
                  <c:v>10.819778284410283</c:v>
                </c:pt>
                <c:pt idx="3">
                  <c:v>11.002099841204238</c:v>
                </c:pt>
                <c:pt idx="4">
                  <c:v>11.156250521031495</c:v>
                </c:pt>
                <c:pt idx="5">
                  <c:v>11.289781913656018</c:v>
                </c:pt>
                <c:pt idx="6">
                  <c:v>11.407564949312402</c:v>
                </c:pt>
                <c:pt idx="7">
                  <c:v>11.512925464970229</c:v>
                </c:pt>
                <c:pt idx="8">
                  <c:v>11.608235644774554</c:v>
                </c:pt>
                <c:pt idx="9">
                  <c:v>11.695247021764184</c:v>
                </c:pt>
                <c:pt idx="10">
                  <c:v>11.77528972943772</c:v>
                </c:pt>
                <c:pt idx="11">
                  <c:v>11.849397701591441</c:v>
                </c:pt>
                <c:pt idx="12">
                  <c:v>11.918390573078392</c:v>
                </c:pt>
                <c:pt idx="13">
                  <c:v>11.982929094215963</c:v>
                </c:pt>
                <c:pt idx="14">
                  <c:v>12.043553716032399</c:v>
                </c:pt>
                <c:pt idx="15">
                  <c:v>12.100712129872347</c:v>
                </c:pt>
                <c:pt idx="16">
                  <c:v>12.154779351142624</c:v>
                </c:pt>
                <c:pt idx="17">
                  <c:v>12.206072645530174</c:v>
                </c:pt>
              </c:numCache>
            </c:numRef>
          </c:xVal>
          <c:yVal>
            <c:numRef>
              <c:f>'P1.2'!$S$7:$S$24</c:f>
              <c:numCache>
                <c:formatCode>0.0</c:formatCode>
                <c:ptCount val="18"/>
                <c:pt idx="0">
                  <c:v>1.6094379124341003</c:v>
                </c:pt>
                <c:pt idx="1">
                  <c:v>2.0794415416798357</c:v>
                </c:pt>
                <c:pt idx="2">
                  <c:v>2.3025850929940459</c:v>
                </c:pt>
                <c:pt idx="3" formatCode="0.00">
                  <c:v>2.4849066497880004</c:v>
                </c:pt>
                <c:pt idx="4" formatCode="0.00">
                  <c:v>2.6390573296152584</c:v>
                </c:pt>
                <c:pt idx="5" formatCode="0.00">
                  <c:v>2.7725887222397811</c:v>
                </c:pt>
                <c:pt idx="6" formatCode="0.00">
                  <c:v>2.8903717578961645</c:v>
                </c:pt>
                <c:pt idx="7" formatCode="0.00">
                  <c:v>3.044522437723423</c:v>
                </c:pt>
                <c:pt idx="8" formatCode="0.00">
                  <c:v>3.0910424533583161</c:v>
                </c:pt>
                <c:pt idx="9" formatCode="0.00">
                  <c:v>3.1780538303479458</c:v>
                </c:pt>
                <c:pt idx="10" formatCode="0.00">
                  <c:v>3.2958368660043291</c:v>
                </c:pt>
                <c:pt idx="11" formatCode="0.00">
                  <c:v>3.4011973816621555</c:v>
                </c:pt>
                <c:pt idx="12" formatCode="0.00">
                  <c:v>3.4965075614664802</c:v>
                </c:pt>
                <c:pt idx="13" formatCode="0.00">
                  <c:v>3.5553480614894135</c:v>
                </c:pt>
                <c:pt idx="14" formatCode="0.00">
                  <c:v>3.6375861597263857</c:v>
                </c:pt>
                <c:pt idx="15" formatCode="0.00">
                  <c:v>3.6635616461296463</c:v>
                </c:pt>
                <c:pt idx="16" formatCode="0.00">
                  <c:v>3.7376696182833684</c:v>
                </c:pt>
                <c:pt idx="17" formatCode="0.00">
                  <c:v>3.8066624897703196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E-4463-99F7-959DF4B2D737}"/>
            </c:ext>
          </c:extLst>
        </c:ser>
        <c:ser>
          <c:idx val="2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34F-4F50-81C7-45D749D1AD4C}"/>
              </c:ext>
            </c:extLst>
          </c:dPt>
          <c:xVal>
            <c:numRef>
              <c:f>'P1.2'!$R$7:$R$24</c:f>
              <c:numCache>
                <c:formatCode>0.0000</c:formatCode>
                <c:ptCount val="18"/>
                <c:pt idx="0">
                  <c:v>10.308952660644293</c:v>
                </c:pt>
                <c:pt idx="1">
                  <c:v>10.596634733096073</c:v>
                </c:pt>
                <c:pt idx="2">
                  <c:v>10.819778284410283</c:v>
                </c:pt>
                <c:pt idx="3">
                  <c:v>11.002099841204238</c:v>
                </c:pt>
                <c:pt idx="4">
                  <c:v>11.156250521031495</c:v>
                </c:pt>
                <c:pt idx="5">
                  <c:v>11.289781913656018</c:v>
                </c:pt>
                <c:pt idx="6">
                  <c:v>11.407564949312402</c:v>
                </c:pt>
                <c:pt idx="7">
                  <c:v>11.512925464970229</c:v>
                </c:pt>
                <c:pt idx="8">
                  <c:v>11.608235644774554</c:v>
                </c:pt>
                <c:pt idx="9">
                  <c:v>11.695247021764184</c:v>
                </c:pt>
                <c:pt idx="10">
                  <c:v>11.77528972943772</c:v>
                </c:pt>
                <c:pt idx="11">
                  <c:v>11.849397701591441</c:v>
                </c:pt>
                <c:pt idx="12">
                  <c:v>11.918390573078392</c:v>
                </c:pt>
                <c:pt idx="13">
                  <c:v>11.982929094215963</c:v>
                </c:pt>
                <c:pt idx="14">
                  <c:v>12.043553716032399</c:v>
                </c:pt>
                <c:pt idx="15">
                  <c:v>12.100712129872347</c:v>
                </c:pt>
                <c:pt idx="16">
                  <c:v>12.154779351142624</c:v>
                </c:pt>
                <c:pt idx="17">
                  <c:v>12.206072645530174</c:v>
                </c:pt>
              </c:numCache>
            </c:numRef>
          </c:xVal>
          <c:yVal>
            <c:numRef>
              <c:f>'P1.2'!$U$7:$U$24</c:f>
              <c:numCache>
                <c:formatCode>0.00</c:formatCode>
                <c:ptCount val="18"/>
                <c:pt idx="0">
                  <c:v>1.7324498918893134</c:v>
                </c:pt>
                <c:pt idx="1">
                  <c:v>2.0432576631947477</c:v>
                </c:pt>
                <c:pt idx="2">
                  <c:v>2.2843389001104555</c:v>
                </c:pt>
                <c:pt idx="3">
                  <c:v>2.481316613198798</c:v>
                </c:pt>
                <c:pt idx="4">
                  <c:v>2.6478588966090992</c:v>
                </c:pt>
                <c:pt idx="5">
                  <c:v>2.7921243845042305</c:v>
                </c:pt>
                <c:pt idx="6">
                  <c:v>2.9193755632028449</c:v>
                </c:pt>
                <c:pt idx="7">
                  <c:v>3.0332056214199401</c:v>
                </c:pt>
                <c:pt idx="8">
                  <c:v>3.1361774344190554</c:v>
                </c:pt>
                <c:pt idx="9">
                  <c:v>3.2301833345082809</c:v>
                </c:pt>
                <c:pt idx="10">
                  <c:v>3.3166603797034906</c:v>
                </c:pt>
                <c:pt idx="11">
                  <c:v>3.3967256179185821</c:v>
                </c:pt>
                <c:pt idx="12">
                  <c:v>3.4712645714239869</c:v>
                </c:pt>
                <c:pt idx="13">
                  <c:v>3.5409911058137151</c:v>
                </c:pt>
                <c:pt idx="14">
                  <c:v>3.6064891169772686</c:v>
                </c:pt>
                <c:pt idx="15">
                  <c:v>3.6682422845123295</c:v>
                </c:pt>
                <c:pt idx="16">
                  <c:v>3.7266557699286267</c:v>
                </c:pt>
                <c:pt idx="17">
                  <c:v>3.7820723427294229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EE-4463-99F7-959DF4B2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log(p)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log(N)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At val="-22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755905511811"/>
          <c:y val="0.15100598069103502"/>
          <c:w val="0.81027296587926512"/>
          <c:h val="0.6789614319043452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'P1.2'!$T$7:$T$24</c:f>
                <c:numCache>
                  <c:formatCode>General</c:formatCode>
                  <c:ptCount val="18"/>
                  <c:pt idx="0">
                    <c:v>0.2</c:v>
                  </c:pt>
                  <c:pt idx="1">
                    <c:v>0.125</c:v>
                  </c:pt>
                  <c:pt idx="2">
                    <c:v>0.1</c:v>
                  </c:pt>
                  <c:pt idx="3">
                    <c:v>8.3333333333333329E-2</c:v>
                  </c:pt>
                  <c:pt idx="4">
                    <c:v>7.1428571428571425E-2</c:v>
                  </c:pt>
                  <c:pt idx="5">
                    <c:v>6.25E-2</c:v>
                  </c:pt>
                  <c:pt idx="6">
                    <c:v>5.5555555555555552E-2</c:v>
                  </c:pt>
                  <c:pt idx="7">
                    <c:v>4.7619047619047616E-2</c:v>
                  </c:pt>
                  <c:pt idx="8">
                    <c:v>4.5454545454545456E-2</c:v>
                  </c:pt>
                  <c:pt idx="9">
                    <c:v>4.1666666666666664E-2</c:v>
                  </c:pt>
                  <c:pt idx="10">
                    <c:v>3.7037037037037035E-2</c:v>
                  </c:pt>
                  <c:pt idx="11">
                    <c:v>3.3333333333333333E-2</c:v>
                  </c:pt>
                  <c:pt idx="12">
                    <c:v>3.0303030303030304E-2</c:v>
                  </c:pt>
                  <c:pt idx="13">
                    <c:v>2.8571428571428571E-2</c:v>
                  </c:pt>
                  <c:pt idx="14">
                    <c:v>2.6315789473684209E-2</c:v>
                  </c:pt>
                  <c:pt idx="15">
                    <c:v>2.564102564102564E-2</c:v>
                  </c:pt>
                  <c:pt idx="16">
                    <c:v>2.3809523809523808E-2</c:v>
                  </c:pt>
                  <c:pt idx="17">
                    <c:v>2.2222222222222223E-2</c:v>
                  </c:pt>
                </c:numCache>
              </c:numRef>
            </c:plus>
            <c:minus>
              <c:numRef>
                <c:f>'P1.2'!$T$7:$T$24</c:f>
                <c:numCache>
                  <c:formatCode>General</c:formatCode>
                  <c:ptCount val="18"/>
                  <c:pt idx="0">
                    <c:v>0.2</c:v>
                  </c:pt>
                  <c:pt idx="1">
                    <c:v>0.125</c:v>
                  </c:pt>
                  <c:pt idx="2">
                    <c:v>0.1</c:v>
                  </c:pt>
                  <c:pt idx="3">
                    <c:v>8.3333333333333329E-2</c:v>
                  </c:pt>
                  <c:pt idx="4">
                    <c:v>7.1428571428571425E-2</c:v>
                  </c:pt>
                  <c:pt idx="5">
                    <c:v>6.25E-2</c:v>
                  </c:pt>
                  <c:pt idx="6">
                    <c:v>5.5555555555555552E-2</c:v>
                  </c:pt>
                  <c:pt idx="7">
                    <c:v>4.7619047619047616E-2</c:v>
                  </c:pt>
                  <c:pt idx="8">
                    <c:v>4.5454545454545456E-2</c:v>
                  </c:pt>
                  <c:pt idx="9">
                    <c:v>4.1666666666666664E-2</c:v>
                  </c:pt>
                  <c:pt idx="10">
                    <c:v>3.7037037037037035E-2</c:v>
                  </c:pt>
                  <c:pt idx="11">
                    <c:v>3.3333333333333333E-2</c:v>
                  </c:pt>
                  <c:pt idx="12">
                    <c:v>3.0303030303030304E-2</c:v>
                  </c:pt>
                  <c:pt idx="13">
                    <c:v>2.8571428571428571E-2</c:v>
                  </c:pt>
                  <c:pt idx="14">
                    <c:v>2.6315789473684209E-2</c:v>
                  </c:pt>
                  <c:pt idx="15">
                    <c:v>2.564102564102564E-2</c:v>
                  </c:pt>
                  <c:pt idx="16">
                    <c:v>2.3809523809523808E-2</c:v>
                  </c:pt>
                  <c:pt idx="17">
                    <c:v>2.2222222222222223E-2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'P1.2'!$R$8:$R$24</c:f>
              <c:numCache>
                <c:formatCode>0.0000</c:formatCode>
                <c:ptCount val="17"/>
                <c:pt idx="0">
                  <c:v>10.596634733096073</c:v>
                </c:pt>
                <c:pt idx="1">
                  <c:v>10.819778284410283</c:v>
                </c:pt>
                <c:pt idx="2">
                  <c:v>11.002099841204238</c:v>
                </c:pt>
                <c:pt idx="3">
                  <c:v>11.156250521031495</c:v>
                </c:pt>
                <c:pt idx="4">
                  <c:v>11.289781913656018</c:v>
                </c:pt>
                <c:pt idx="5">
                  <c:v>11.407564949312402</c:v>
                </c:pt>
                <c:pt idx="6">
                  <c:v>11.512925464970229</c:v>
                </c:pt>
                <c:pt idx="7">
                  <c:v>11.608235644774554</c:v>
                </c:pt>
                <c:pt idx="8">
                  <c:v>11.695247021764184</c:v>
                </c:pt>
                <c:pt idx="9">
                  <c:v>11.77528972943772</c:v>
                </c:pt>
                <c:pt idx="10">
                  <c:v>11.849397701591441</c:v>
                </c:pt>
                <c:pt idx="11">
                  <c:v>11.918390573078392</c:v>
                </c:pt>
                <c:pt idx="12">
                  <c:v>11.982929094215963</c:v>
                </c:pt>
                <c:pt idx="13">
                  <c:v>12.043553716032399</c:v>
                </c:pt>
                <c:pt idx="14">
                  <c:v>12.100712129872347</c:v>
                </c:pt>
                <c:pt idx="15">
                  <c:v>12.154779351142624</c:v>
                </c:pt>
                <c:pt idx="16">
                  <c:v>12.206072645530174</c:v>
                </c:pt>
              </c:numCache>
            </c:numRef>
          </c:xVal>
          <c:yVal>
            <c:numRef>
              <c:f>'P1.2'!$V$8:$V$24</c:f>
              <c:numCache>
                <c:formatCode>0.000</c:formatCode>
                <c:ptCount val="17"/>
                <c:pt idx="0">
                  <c:v>3.6183878485088083E-2</c:v>
                </c:pt>
                <c:pt idx="1">
                  <c:v>1.8246192883590417E-2</c:v>
                </c:pt>
                <c:pt idx="2">
                  <c:v>3.5900365892023167E-3</c:v>
                </c:pt>
                <c:pt idx="3">
                  <c:v>-8.8015669938408259E-3</c:v>
                </c:pt>
                <c:pt idx="4">
                  <c:v>-1.953566226444936E-2</c:v>
                </c:pt>
                <c:pt idx="5">
                  <c:v>-2.9003805306680341E-2</c:v>
                </c:pt>
                <c:pt idx="6">
                  <c:v>1.1316816303482913E-2</c:v>
                </c:pt>
                <c:pt idx="7">
                  <c:v>-4.5134981060739321E-2</c:v>
                </c:pt>
                <c:pt idx="8">
                  <c:v>-5.2129504160335127E-2</c:v>
                </c:pt>
                <c:pt idx="9">
                  <c:v>-2.0823513699161467E-2</c:v>
                </c:pt>
                <c:pt idx="10">
                  <c:v>4.471763743573387E-3</c:v>
                </c:pt>
                <c:pt idx="11">
                  <c:v>2.5242990042493307E-2</c:v>
                </c:pt>
                <c:pt idx="12">
                  <c:v>1.4356955675698391E-2</c:v>
                </c:pt>
                <c:pt idx="13">
                  <c:v>3.1097042749117065E-2</c:v>
                </c:pt>
                <c:pt idx="14">
                  <c:v>-4.6806383826831777E-3</c:v>
                </c:pt>
                <c:pt idx="15">
                  <c:v>1.1013848354741729E-2</c:v>
                </c:pt>
                <c:pt idx="16">
                  <c:v>2.4590147040896682E-2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D-4C9C-A941-F874A12DF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log(p)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log(N)-log(N)</a:t>
                </a:r>
                <a:r>
                  <a:rPr lang="en-US" sz="1400" baseline="-25000"/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Δ</a:t>
            </a:r>
            <a:r>
              <a:rPr lang="pt-PT" sz="1400" b="0" i="0" u="none" strike="noStrike" baseline="0">
                <a:effectLst/>
              </a:rPr>
              <a:t>x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Δ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p)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367947239079192"/>
          <c:y val="0.13731554389034703"/>
          <c:w val="0.74485629921259844"/>
          <c:h val="0.729027695730726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'P1.2'!$N$28:$N$45</c:f>
              <c:numCache>
                <c:formatCode>0.0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21</c:v>
                </c:pt>
                <c:pt idx="8">
                  <c:v>22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39</c:v>
                </c:pt>
                <c:pt idx="16">
                  <c:v>42</c:v>
                </c:pt>
                <c:pt idx="17">
                  <c:v>45</c:v>
                </c:pt>
              </c:numCache>
            </c:numRef>
          </c:xVal>
          <c:yVal>
            <c:numRef>
              <c:f>'P1.2'!$O$28:$O$45</c:f>
              <c:numCache>
                <c:formatCode>0.00E+00</c:formatCode>
                <c:ptCount val="18"/>
                <c:pt idx="0">
                  <c:v>1.6433378947890323E-5</c:v>
                </c:pt>
                <c:pt idx="1">
                  <c:v>3.7238220238980609E-5</c:v>
                </c:pt>
                <c:pt idx="2">
                  <c:v>5.5668453567355837E-5</c:v>
                </c:pt>
                <c:pt idx="3">
                  <c:v>7.7746958203183097E-5</c:v>
                </c:pt>
                <c:pt idx="4">
                  <c:v>1.0347373414646239E-4</c:v>
                </c:pt>
                <c:pt idx="5">
                  <c:v>1.3284878139719372E-4</c:v>
                </c:pt>
                <c:pt idx="6">
                  <c:v>1.6587209995537705E-4</c:v>
                </c:pt>
                <c:pt idx="7">
                  <c:v>2.2224758649412466E-4</c:v>
                </c:pt>
                <c:pt idx="8">
                  <c:v>2.4286355099409986E-4</c:v>
                </c:pt>
                <c:pt idx="9">
                  <c:v>2.8683168347463933E-4</c:v>
                </c:pt>
                <c:pt idx="10">
                  <c:v>3.5962439089692107E-4</c:v>
                </c:pt>
                <c:pt idx="11">
                  <c:v>4.4062570876096983E-4</c:v>
                </c:pt>
                <c:pt idx="12">
                  <c:v>5.2983563706678581E-4</c:v>
                </c:pt>
                <c:pt idx="13">
                  <c:v>5.9386926173831138E-4</c:v>
                </c:pt>
                <c:pt idx="14">
                  <c:v>6.9676020744707226E-4</c:v>
                </c:pt>
                <c:pt idx="15">
                  <c:v>7.3288132500371871E-4</c:v>
                </c:pt>
                <c:pt idx="16">
                  <c:v>8.4671708463483568E-4</c:v>
                </c:pt>
                <c:pt idx="17">
                  <c:v>9.6876145470771989E-4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9-4AA5-9E44-58DF20F3B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Δ</a:t>
                </a:r>
                <a:r>
                  <a:rPr lang="pt-PT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p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Δ</a:t>
                </a:r>
                <a:r>
                  <a:rPr lang="pt-PT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x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Δ</a:t>
            </a:r>
            <a:r>
              <a:rPr lang="pt-PT" sz="1400" b="0" i="0" u="none" strike="noStrike" baseline="0">
                <a:effectLst/>
              </a:rPr>
              <a:t>x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Δ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p)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367947239079192"/>
          <c:y val="0.13731554389034703"/>
          <c:w val="0.74485629921259844"/>
          <c:h val="0.729027695730726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'P1.2'!$Y$28:$Y$45</c:f>
              <c:numCache>
                <c:formatCode>0.0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21</c:v>
                </c:pt>
                <c:pt idx="8">
                  <c:v>22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39</c:v>
                </c:pt>
                <c:pt idx="16">
                  <c:v>42</c:v>
                </c:pt>
                <c:pt idx="17">
                  <c:v>45</c:v>
                </c:pt>
              </c:numCache>
            </c:numRef>
          </c:xVal>
          <c:yVal>
            <c:numRef>
              <c:f>'P1.2'!$Z$28:$Z$45</c:f>
              <c:numCache>
                <c:formatCode>0.00E+00</c:formatCode>
                <c:ptCount val="18"/>
                <c:pt idx="0">
                  <c:v>1.4117507695535623E-5</c:v>
                </c:pt>
                <c:pt idx="1">
                  <c:v>3.489879410042021E-5</c:v>
                </c:pt>
                <c:pt idx="2">
                  <c:v>5.3631487493473807E-5</c:v>
                </c:pt>
                <c:pt idx="3">
                  <c:v>7.6188748905452663E-5</c:v>
                </c:pt>
                <c:pt idx="4">
                  <c:v>1.0251873422728876E-4</c:v>
                </c:pt>
                <c:pt idx="5">
                  <c:v>1.3257823404097619E-4</c:v>
                </c:pt>
                <c:pt idx="6">
                  <c:v>1.6633025895035789E-4</c:v>
                </c:pt>
                <c:pt idx="7">
                  <c:v>2.2381214885742139E-4</c:v>
                </c:pt>
                <c:pt idx="8">
                  <c:v>2.4478634806397015E-4</c:v>
                </c:pt>
                <c:pt idx="9">
                  <c:v>2.8943606918368126E-4</c:v>
                </c:pt>
                <c:pt idx="10">
                  <c:v>3.631212671155062E-4</c:v>
                </c:pt>
                <c:pt idx="11">
                  <c:v>4.4479722938042479E-4</c:v>
                </c:pt>
                <c:pt idx="12">
                  <c:v>5.3440143388518982E-4</c:v>
                </c:pt>
                <c:pt idx="13">
                  <c:v>5.9851421107431609E-4</c:v>
                </c:pt>
                <c:pt idx="14">
                  <c:v>7.0121007953550076E-4</c:v>
                </c:pt>
                <c:pt idx="15">
                  <c:v>7.3717535189846671E-4</c:v>
                </c:pt>
                <c:pt idx="16">
                  <c:v>8.5024770102516884E-4</c:v>
                </c:pt>
                <c:pt idx="17">
                  <c:v>9.710520176024691E-4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5-4093-8B63-FBC9B1FE0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Δ</a:t>
                </a:r>
                <a:r>
                  <a:rPr lang="pt-PT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p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Δ</a:t>
                </a:r>
                <a:r>
                  <a:rPr lang="pt-PT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x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/>
              <a:t>(m) -</a:t>
            </a:r>
            <a:r>
              <a:rPr lang="en-US" sz="1600" baseline="0"/>
              <a:t> Fenda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50474802499748"/>
          <c:y val="0.18495830154759849"/>
          <c:w val="0.80815811973437457"/>
          <c:h val="0.6494405051892645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8-494C-BC6D-910A2986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 </a:t>
                </a:r>
                <a:r>
                  <a:rPr lang="en-US" sz="1400" baseline="0"/>
                  <a:t>(m)</a:t>
                </a:r>
              </a:p>
            </c:rich>
          </c:tx>
          <c:layout>
            <c:manualLayout>
              <c:xMode val="edge"/>
              <c:yMode val="edge"/>
              <c:x val="1.7896757463646776E-2"/>
              <c:y val="0.376287524385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2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 baseline="0"/>
              <a:t>(m) - Fio de Cabelo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2270341207349"/>
          <c:y val="0.15523148148148147"/>
          <c:w val="0.85237729658792649"/>
          <c:h val="0.686026538349372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'P2.2'!$C$4:$C$11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</c:numCache>
            </c:numRef>
          </c:xVal>
          <c:yVal>
            <c:numRef>
              <c:f>'P2.2'!$B$4:$B$11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4.4999999999999998E-2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F-4677-8CC9-209CEA30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</a:t>
                </a:r>
                <a:r>
                  <a:rPr lang="en-US" sz="1400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5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Fenda VS Fio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Fenda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6-4B03-9205-415A7D9A7571}"/>
            </c:ext>
          </c:extLst>
        </c:ser>
        <c:ser>
          <c:idx val="1"/>
          <c:order val="1"/>
          <c:tx>
            <c:v>Fio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'P2.2'!$C$4:$C$11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</c:numCache>
            </c:numRef>
          </c:xVal>
          <c:yVal>
            <c:numRef>
              <c:f>'P2.2'!$B$4:$B$11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4.4999999999999998E-2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6-4B03-9205-415A7D9A7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/>
              <a:t>(m) - Fenda Dupla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9781277340336"/>
          <c:y val="0.1413425925925926"/>
          <c:w val="0.81350218722659662"/>
          <c:h val="0.7184339457567804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 FENDA MULTIPLA'!$C$4:$C$11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5</c:v>
                </c:pt>
                <c:pt idx="7">
                  <c:v>-5</c:v>
                </c:pt>
              </c:numCache>
            </c:numRef>
          </c:xVal>
          <c:yVal>
            <c:numRef>
              <c:f>'P2.1 FENDA MULTIPLA'!$B$4:$B$11</c:f>
              <c:numCache>
                <c:formatCode>0.00E+00</c:formatCode>
                <c:ptCount val="8"/>
                <c:pt idx="0">
                  <c:v>5.0000000000000001E-3</c:v>
                </c:pt>
                <c:pt idx="1">
                  <c:v>6.0000000000000001E-3</c:v>
                </c:pt>
                <c:pt idx="2">
                  <c:v>1.6E-2</c:v>
                </c:pt>
                <c:pt idx="3">
                  <c:v>1.55E-2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5.1499999999999997E-2</c:v>
                </c:pt>
                <c:pt idx="7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B-4B14-95F9-F538CD7FC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m (s.u.)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 </a:t>
                </a:r>
                <a:r>
                  <a:rPr lang="en-US" sz="1400" baseline="0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5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2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76201</xdr:colOff>
      <xdr:row>2</xdr:row>
      <xdr:rowOff>45721</xdr:rowOff>
    </xdr:from>
    <xdr:to>
      <xdr:col>17</xdr:col>
      <xdr:colOff>563881</xdr:colOff>
      <xdr:row>8</xdr:row>
      <xdr:rowOff>106751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AB6CF-153E-88F2-010E-DA5428C1F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1" y="411481"/>
          <a:ext cx="1706880" cy="1165930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17</xdr:row>
      <xdr:rowOff>57150</xdr:rowOff>
    </xdr:from>
    <xdr:to>
      <xdr:col>8</xdr:col>
      <xdr:colOff>213360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87A32-126D-F877-18B6-6465CDDFE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2</xdr:row>
      <xdr:rowOff>148590</xdr:rowOff>
    </xdr:from>
    <xdr:to>
      <xdr:col>13</xdr:col>
      <xdr:colOff>342900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A7063-CB48-9893-E02E-E2FEE8645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35</xdr:col>
      <xdr:colOff>60960</xdr:colOff>
      <xdr:row>4</xdr:row>
      <xdr:rowOff>38101</xdr:rowOff>
    </xdr:from>
    <xdr:to>
      <xdr:col>38</xdr:col>
      <xdr:colOff>472440</xdr:colOff>
      <xdr:row>9</xdr:row>
      <xdr:rowOff>148536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2C3F9-2126-84A8-037B-0444D82F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7560" y="769621"/>
          <a:ext cx="2240280" cy="1070555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24</xdr:row>
      <xdr:rowOff>64770</xdr:rowOff>
    </xdr:from>
    <xdr:to>
      <xdr:col>11</xdr:col>
      <xdr:colOff>495300</xdr:colOff>
      <xdr:row>39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EADEDE-7F2B-B58D-D15C-3A53A8338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441960</xdr:colOff>
      <xdr:row>2</xdr:row>
      <xdr:rowOff>148590</xdr:rowOff>
    </xdr:from>
    <xdr:to>
      <xdr:col>30</xdr:col>
      <xdr:colOff>137160</xdr:colOff>
      <xdr:row>17</xdr:row>
      <xdr:rowOff>148590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3DACDD-26DB-44D2-B7DE-F973F0D13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483704</xdr:colOff>
      <xdr:row>11</xdr:row>
      <xdr:rowOff>162836</xdr:rowOff>
    </xdr:from>
    <xdr:to>
      <xdr:col>37</xdr:col>
      <xdr:colOff>506564</xdr:colOff>
      <xdr:row>26</xdr:row>
      <xdr:rowOff>132356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099FCA-0594-4CB4-B124-C775D4619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251460</xdr:colOff>
      <xdr:row>30</xdr:row>
      <xdr:rowOff>114300</xdr:rowOff>
    </xdr:from>
    <xdr:to>
      <xdr:col>22</xdr:col>
      <xdr:colOff>342900</xdr:colOff>
      <xdr:row>45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AB3CCD-E21C-4CE8-96D9-E16C61744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15</xdr:col>
      <xdr:colOff>198120</xdr:colOff>
      <xdr:row>24</xdr:row>
      <xdr:rowOff>99060</xdr:rowOff>
    </xdr:from>
    <xdr:to>
      <xdr:col>18</xdr:col>
      <xdr:colOff>449797</xdr:colOff>
      <xdr:row>28</xdr:row>
      <xdr:rowOff>68641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E003E2-14BA-44FE-D457-197B55D76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70720" y="4564380"/>
          <a:ext cx="2507197" cy="701101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29</xdr:row>
      <xdr:rowOff>0</xdr:rowOff>
    </xdr:from>
    <xdr:to>
      <xdr:col>34</xdr:col>
      <xdr:colOff>236220</xdr:colOff>
      <xdr:row>44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9DDE86-A1C6-40C2-8EDB-A826F0DF7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27</xdr:col>
      <xdr:colOff>0</xdr:colOff>
      <xdr:row>24</xdr:row>
      <xdr:rowOff>0</xdr:rowOff>
    </xdr:from>
    <xdr:to>
      <xdr:col>30</xdr:col>
      <xdr:colOff>266882</xdr:colOff>
      <xdr:row>27</xdr:row>
      <xdr:rowOff>76254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8EC8B4-9304-6F47-87CF-DA3FACB89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14520" y="4465320"/>
          <a:ext cx="2095682" cy="6248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33130</xdr:colOff>
      <xdr:row>3</xdr:row>
      <xdr:rowOff>19879</xdr:rowOff>
    </xdr:from>
    <xdr:to>
      <xdr:col>8</xdr:col>
      <xdr:colOff>575699</xdr:colOff>
      <xdr:row>8</xdr:row>
      <xdr:rowOff>93828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5899FD-27F3-1734-AB30-A80B351E2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365" y="596349"/>
          <a:ext cx="2583404" cy="1001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172279</xdr:colOff>
      <xdr:row>2</xdr:row>
      <xdr:rowOff>172278</xdr:rowOff>
    </xdr:from>
    <xdr:to>
      <xdr:col>8</xdr:col>
      <xdr:colOff>458526</xdr:colOff>
      <xdr:row>8</xdr:row>
      <xdr:rowOff>72080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1E2F2-F2D1-5C43-F52D-AA3C862B9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879" y="543339"/>
          <a:ext cx="3413760" cy="1032863"/>
        </a:xfrm>
        <a:prstGeom prst="rect">
          <a:avLst/>
        </a:prstGeom>
      </xdr:spPr>
    </xdr:pic>
    <xdr:clientData/>
  </xdr:twoCellAnchor>
  <xdr:twoCellAnchor>
    <xdr:from>
      <xdr:col>3</xdr:col>
      <xdr:colOff>256761</xdr:colOff>
      <xdr:row>9</xdr:row>
      <xdr:rowOff>52181</xdr:rowOff>
    </xdr:from>
    <xdr:to>
      <xdr:col>10</xdr:col>
      <xdr:colOff>110987</xdr:colOff>
      <xdr:row>24</xdr:row>
      <xdr:rowOff>52181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DA8BC-14D2-5033-EE50-97D56AE9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3</xdr:row>
      <xdr:rowOff>0</xdr:rowOff>
    </xdr:from>
    <xdr:to>
      <xdr:col>18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649B2-E4D2-4A70-A446-13F0FF6D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12</xdr:row>
      <xdr:rowOff>19050</xdr:rowOff>
    </xdr:from>
    <xdr:to>
      <xdr:col>9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010AF-3560-45A7-8D2D-D88102486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548640</xdr:colOff>
      <xdr:row>12</xdr:row>
      <xdr:rowOff>15240</xdr:rowOff>
    </xdr:from>
    <xdr:to>
      <xdr:col>19</xdr:col>
      <xdr:colOff>243840</xdr:colOff>
      <xdr:row>27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E686EB-E67D-4470-B74B-4B38FEC96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320040</xdr:colOff>
      <xdr:row>6</xdr:row>
      <xdr:rowOff>158697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B08A6B-CA20-F7BF-287B-684764F3E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9707880" cy="890217"/>
        </a:xfrm>
        <a:prstGeom prst="rect">
          <a:avLst/>
        </a:prstGeom>
      </xdr:spPr>
    </xdr:pic>
    <xdr:clientData/>
  </xdr:twoCellAnchor>
  <xdr:twoCellAnchor editAs="oneCell">
    <xdr:from>
      <xdr:col>15</xdr:col>
      <xdr:colOff>238206</xdr:colOff>
      <xdr:row>2</xdr:row>
      <xdr:rowOff>417</xdr:rowOff>
    </xdr:from>
    <xdr:to>
      <xdr:col>22</xdr:col>
      <xdr:colOff>1986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4D8923-129D-30A6-2311-2B337FF90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7371" y="371478"/>
          <a:ext cx="4030980" cy="8941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3</xdr:row>
      <xdr:rowOff>0</xdr:rowOff>
    </xdr:from>
    <xdr:to>
      <xdr:col>18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7AC64-6A61-4689-85C0-2F350C46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2</xdr:col>
      <xdr:colOff>15240</xdr:colOff>
      <xdr:row>12</xdr:row>
      <xdr:rowOff>19050</xdr:rowOff>
    </xdr:from>
    <xdr:to>
      <xdr:col>9</xdr:col>
      <xdr:colOff>320040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BA4F86-543A-4832-85F5-80D0CD70D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ADF-2EFB-452A-A480-0B215EA5BBF1}">
  <dimension ref="A1:O16"/>
  <sheetViews>
    <sheetView workbookViewId="0">
      <selection activeCell="P15" sqref="P15"/>
    </sheetView>
  </sheetViews>
  <sheetFormatPr defaultRowHeight="14.4" x14ac:dyDescent="0.3"/>
  <cols>
    <col min="1" max="2" width="8.88671875" style="1" customWidth="1"/>
    <col min="3" max="5" width="8.88671875" style="1"/>
    <col min="6" max="6" width="12" style="1" bestFit="1" customWidth="1"/>
    <col min="7" max="7" width="9.44140625" style="1" bestFit="1" customWidth="1"/>
    <col min="8" max="12" width="8.88671875" style="1"/>
    <col min="13" max="13" width="14" style="1" customWidth="1"/>
    <col min="14" max="14" width="9.109375" style="1" bestFit="1" customWidth="1"/>
    <col min="15" max="16384" width="8.88671875" style="1"/>
  </cols>
  <sheetData>
    <row r="1" spans="1:1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3">
      <c r="B3" s="1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5" x14ac:dyDescent="0.3">
      <c r="A4" s="2" t="s">
        <v>51</v>
      </c>
      <c r="B4" s="13">
        <v>12</v>
      </c>
      <c r="C4" s="13">
        <v>10.5</v>
      </c>
      <c r="D4" s="13">
        <v>11.5</v>
      </c>
      <c r="E4" s="13">
        <v>10.7</v>
      </c>
      <c r="F4" s="13">
        <v>11.3</v>
      </c>
      <c r="G4" s="13">
        <v>10</v>
      </c>
      <c r="H4" s="13">
        <v>11.1</v>
      </c>
      <c r="I4" s="13">
        <v>11</v>
      </c>
      <c r="J4" s="13">
        <v>12</v>
      </c>
      <c r="K4" s="13">
        <v>11</v>
      </c>
      <c r="M4" s="2" t="s">
        <v>18</v>
      </c>
      <c r="N4" s="4">
        <v>4.9999999999999998E-7</v>
      </c>
    </row>
    <row r="5" spans="1:15" x14ac:dyDescent="0.3">
      <c r="A5" s="2" t="s">
        <v>52</v>
      </c>
      <c r="B5" s="4">
        <f>B4*10^-6</f>
        <v>1.2E-5</v>
      </c>
      <c r="C5" s="4">
        <f t="shared" ref="C5:K5" si="0">C4*10^-6</f>
        <v>1.0499999999999999E-5</v>
      </c>
      <c r="D5" s="4">
        <f t="shared" si="0"/>
        <v>1.15E-5</v>
      </c>
      <c r="E5" s="4">
        <f t="shared" si="0"/>
        <v>1.0699999999999999E-5</v>
      </c>
      <c r="F5" s="4">
        <f t="shared" si="0"/>
        <v>1.13E-5</v>
      </c>
      <c r="G5" s="4">
        <f t="shared" si="0"/>
        <v>9.9999999999999991E-6</v>
      </c>
      <c r="H5" s="4">
        <f t="shared" si="0"/>
        <v>1.1099999999999999E-5</v>
      </c>
      <c r="I5" s="4">
        <f t="shared" si="0"/>
        <v>1.1E-5</v>
      </c>
      <c r="J5" s="4">
        <f t="shared" si="0"/>
        <v>1.2E-5</v>
      </c>
      <c r="K5" s="4">
        <f t="shared" si="0"/>
        <v>1.1E-5</v>
      </c>
      <c r="M5" s="2" t="s">
        <v>19</v>
      </c>
      <c r="N5" s="16">
        <v>6.328E-7</v>
      </c>
    </row>
    <row r="6" spans="1:15" ht="15" x14ac:dyDescent="0.3">
      <c r="M6" s="5" t="s">
        <v>50</v>
      </c>
      <c r="N6" s="3">
        <v>1.0002899999999999</v>
      </c>
    </row>
    <row r="7" spans="1:15" x14ac:dyDescent="0.3">
      <c r="B7" s="13">
        <f>B4</f>
        <v>12</v>
      </c>
      <c r="C7" s="17">
        <f>B7</f>
        <v>12</v>
      </c>
      <c r="D7" s="1">
        <f>C7*10^-6</f>
        <v>1.2E-5</v>
      </c>
      <c r="E7" s="1">
        <v>30</v>
      </c>
    </row>
    <row r="8" spans="1:15" x14ac:dyDescent="0.3">
      <c r="B8" s="13">
        <f>C4</f>
        <v>10.5</v>
      </c>
      <c r="C8" s="17">
        <f>C7+B8</f>
        <v>22.5</v>
      </c>
      <c r="D8" s="1">
        <f t="shared" ref="D8:D16" si="1">C8*10^-6</f>
        <v>2.2499999999999998E-5</v>
      </c>
      <c r="E8" s="1">
        <v>60</v>
      </c>
      <c r="M8" s="2" t="s">
        <v>5</v>
      </c>
      <c r="N8" s="3">
        <v>30</v>
      </c>
    </row>
    <row r="9" spans="1:15" x14ac:dyDescent="0.3">
      <c r="B9" s="13">
        <v>11.5</v>
      </c>
      <c r="C9" s="17">
        <f>C8+B9</f>
        <v>34</v>
      </c>
      <c r="D9" s="1">
        <f t="shared" si="1"/>
        <v>3.4E-5</v>
      </c>
      <c r="E9" s="1">
        <v>90</v>
      </c>
      <c r="G9" s="1" cm="1">
        <f t="array" ref="G9:H13">LINEST(D7:D16,E7:E16,1,1)</f>
        <v>3.6622222222222229E-7</v>
      </c>
      <c r="H9" s="1">
        <v>7.3333333333331502E-7</v>
      </c>
      <c r="M9" s="2" t="s">
        <v>53</v>
      </c>
      <c r="N9" s="4">
        <f>AVERAGE(B5:K5)</f>
        <v>1.1109999999999999E-5</v>
      </c>
    </row>
    <row r="10" spans="1:15" x14ac:dyDescent="0.3">
      <c r="B10" s="13">
        <v>10.7</v>
      </c>
      <c r="C10" s="17">
        <f t="shared" ref="C10:C16" si="2">C9+B10</f>
        <v>44.7</v>
      </c>
      <c r="D10" s="1">
        <f t="shared" si="1"/>
        <v>4.4700000000000002E-5</v>
      </c>
      <c r="E10" s="1">
        <v>120</v>
      </c>
      <c r="G10" s="1">
        <v>1.7452838487427891E-9</v>
      </c>
      <c r="H10" s="1">
        <v>3.2487604473775323E-7</v>
      </c>
      <c r="M10" s="2" t="s">
        <v>54</v>
      </c>
      <c r="N10" s="15">
        <f>_xlfn.STDEV.P(B5:K5)/SQRT(10)</f>
        <v>1.8891797161731345E-7</v>
      </c>
      <c r="O10" s="30">
        <f>N10/N9</f>
        <v>1.7004317877345947E-2</v>
      </c>
    </row>
    <row r="11" spans="1:15" ht="15.6" x14ac:dyDescent="0.3">
      <c r="B11" s="13">
        <v>11.3</v>
      </c>
      <c r="C11" s="17">
        <f t="shared" si="2"/>
        <v>56</v>
      </c>
      <c r="D11" s="1">
        <f t="shared" si="1"/>
        <v>5.5999999999999999E-5</v>
      </c>
      <c r="E11" s="1">
        <v>150</v>
      </c>
      <c r="G11" s="1">
        <v>0.99981834228837585</v>
      </c>
      <c r="H11" s="1">
        <v>4.7556983363820639E-7</v>
      </c>
      <c r="M11" s="2" t="s">
        <v>21</v>
      </c>
      <c r="N11" s="7">
        <f>(N8*$N$5)/(2*N9)</f>
        <v>0.85436543654365449</v>
      </c>
    </row>
    <row r="12" spans="1:15" ht="15.6" x14ac:dyDescent="0.3">
      <c r="B12" s="13">
        <v>10</v>
      </c>
      <c r="C12" s="17">
        <f t="shared" si="2"/>
        <v>66</v>
      </c>
      <c r="D12" s="1">
        <f t="shared" si="1"/>
        <v>6.5999999999999992E-5</v>
      </c>
      <c r="E12" s="1">
        <v>180</v>
      </c>
      <c r="G12" s="1">
        <v>44030.868091377131</v>
      </c>
      <c r="H12" s="1">
        <v>8</v>
      </c>
      <c r="M12" s="2" t="s">
        <v>22</v>
      </c>
      <c r="N12" s="7">
        <f>ABS(N8*2/((2*N9)^2)*N5*N10)</f>
        <v>1.4527901466405738E-2</v>
      </c>
    </row>
    <row r="13" spans="1:15" x14ac:dyDescent="0.3">
      <c r="B13" s="13">
        <v>11.1</v>
      </c>
      <c r="C13" s="17">
        <f t="shared" si="2"/>
        <v>77.099999999999994</v>
      </c>
      <c r="D13" s="1">
        <f t="shared" si="1"/>
        <v>7.709999999999999E-5</v>
      </c>
      <c r="E13" s="1">
        <v>210</v>
      </c>
      <c r="G13" s="1">
        <v>9.9583146666666644E-9</v>
      </c>
      <c r="H13" s="1">
        <v>1.8093333333333703E-12</v>
      </c>
      <c r="M13" s="2" t="s">
        <v>33</v>
      </c>
      <c r="N13" s="6">
        <f>N12/N11</f>
        <v>1.7004317877345947E-2</v>
      </c>
    </row>
    <row r="14" spans="1:15" x14ac:dyDescent="0.3">
      <c r="B14" s="13">
        <v>11</v>
      </c>
      <c r="C14" s="17">
        <f t="shared" si="2"/>
        <v>88.1</v>
      </c>
      <c r="D14" s="1">
        <f t="shared" si="1"/>
        <v>8.8099999999999987E-5</v>
      </c>
      <c r="E14" s="1">
        <v>240</v>
      </c>
      <c r="M14" s="2" t="s">
        <v>49</v>
      </c>
      <c r="N14" s="6">
        <f>ABS(N11-N6)/N6</f>
        <v>0.14588225760164095</v>
      </c>
    </row>
    <row r="15" spans="1:15" x14ac:dyDescent="0.3">
      <c r="B15" s="13">
        <v>12</v>
      </c>
      <c r="C15" s="17">
        <f t="shared" si="2"/>
        <v>100.1</v>
      </c>
      <c r="D15" s="1">
        <f t="shared" si="1"/>
        <v>1.0009999999999999E-4</v>
      </c>
      <c r="E15" s="1">
        <v>270</v>
      </c>
    </row>
    <row r="16" spans="1:15" x14ac:dyDescent="0.3">
      <c r="B16" s="13">
        <v>11</v>
      </c>
      <c r="C16" s="17">
        <f t="shared" si="2"/>
        <v>111.1</v>
      </c>
      <c r="D16" s="1">
        <f t="shared" si="1"/>
        <v>1.1109999999999999E-4</v>
      </c>
      <c r="E16" s="1">
        <v>300</v>
      </c>
      <c r="G16" s="1" t="s">
        <v>76</v>
      </c>
      <c r="H16" s="18">
        <f>N5/(2*G9)</f>
        <v>0.86395631067961154</v>
      </c>
    </row>
  </sheetData>
  <mergeCells count="1">
    <mergeCell ref="A1:O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DA6F-08FA-487A-82B4-E9BF2212A846}">
  <dimension ref="A1:AR46"/>
  <sheetViews>
    <sheetView tabSelected="1" topLeftCell="U9" zoomScaleNormal="100" workbookViewId="0">
      <selection activeCell="AD23" sqref="AD23"/>
    </sheetView>
  </sheetViews>
  <sheetFormatPr defaultRowHeight="14.4" x14ac:dyDescent="0.3"/>
  <cols>
    <col min="1" max="12" width="8.88671875" style="1"/>
    <col min="13" max="13" width="12.21875" style="1" customWidth="1"/>
    <col min="14" max="15" width="8.88671875" style="1"/>
    <col min="16" max="17" width="12" style="1" bestFit="1" customWidth="1"/>
    <col min="18" max="32" width="8.88671875" style="1"/>
    <col min="33" max="33" width="13" style="1" customWidth="1"/>
    <col min="34" max="34" width="8.88671875" style="1" customWidth="1"/>
    <col min="35" max="16384" width="8.88671875" style="1"/>
  </cols>
  <sheetData>
    <row r="1" spans="1:44" ht="14.4" customHeight="1" x14ac:dyDescent="0.3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</row>
    <row r="2" spans="1:44" ht="14.4" customHeight="1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</row>
    <row r="3" spans="1:44" x14ac:dyDescent="0.3">
      <c r="A3" s="2" t="s">
        <v>48</v>
      </c>
      <c r="B3" s="2" t="s">
        <v>89</v>
      </c>
      <c r="C3" s="2" t="s">
        <v>87</v>
      </c>
      <c r="D3" s="2" t="s">
        <v>23</v>
      </c>
      <c r="E3" s="2" t="s">
        <v>24</v>
      </c>
      <c r="AG3" s="2" t="s">
        <v>5</v>
      </c>
      <c r="AH3" s="3">
        <v>19</v>
      </c>
      <c r="AI3" s="3">
        <v>23</v>
      </c>
      <c r="AJ3" s="3">
        <v>21</v>
      </c>
      <c r="AK3" s="3">
        <v>18</v>
      </c>
      <c r="AL3" s="3">
        <v>20</v>
      </c>
      <c r="AM3" s="3">
        <v>20</v>
      </c>
      <c r="AN3" s="3">
        <v>21</v>
      </c>
      <c r="AO3" s="3">
        <v>21</v>
      </c>
      <c r="AP3" s="3">
        <v>22</v>
      </c>
      <c r="AQ3" s="3">
        <v>21</v>
      </c>
    </row>
    <row r="4" spans="1:44" x14ac:dyDescent="0.3">
      <c r="A4" s="13">
        <v>0.3</v>
      </c>
      <c r="B4" s="13">
        <f>A4*100000</f>
        <v>30000</v>
      </c>
      <c r="C4" s="3">
        <v>5</v>
      </c>
      <c r="D4" s="8">
        <f>B4*I$21+J$21</f>
        <v>4.7309941520467866</v>
      </c>
      <c r="E4" s="8">
        <f>C4-D4</f>
        <v>0.26900584795321336</v>
      </c>
    </row>
    <row r="5" spans="1:44" x14ac:dyDescent="0.3">
      <c r="A5" s="13">
        <v>0.4</v>
      </c>
      <c r="B5" s="13">
        <f t="shared" ref="B5:B21" si="0">A5*100000</f>
        <v>40000</v>
      </c>
      <c r="C5" s="3">
        <v>8</v>
      </c>
      <c r="D5" s="8">
        <f>B5*I$21+J$21</f>
        <v>7.0436876504987982</v>
      </c>
      <c r="E5" s="8">
        <f>C5-D5</f>
        <v>0.95631234950120181</v>
      </c>
      <c r="AG5" s="2" t="s">
        <v>77</v>
      </c>
      <c r="AH5" s="3">
        <f>AVERAGE(AH3:AQ3)</f>
        <v>20.6</v>
      </c>
    </row>
    <row r="6" spans="1:44" x14ac:dyDescent="0.3">
      <c r="A6" s="13">
        <v>0.5</v>
      </c>
      <c r="B6" s="13">
        <f t="shared" si="0"/>
        <v>50000</v>
      </c>
      <c r="C6" s="3">
        <v>10</v>
      </c>
      <c r="D6" s="8">
        <f>B6*I$21+J$21</f>
        <v>9.3563811489508115</v>
      </c>
      <c r="E6" s="8">
        <f>C6-D6</f>
        <v>0.64361885104918848</v>
      </c>
      <c r="P6" s="2" t="s">
        <v>89</v>
      </c>
      <c r="Q6" s="2" t="s">
        <v>87</v>
      </c>
      <c r="R6" s="2" t="s">
        <v>85</v>
      </c>
      <c r="S6" s="2" t="s">
        <v>86</v>
      </c>
      <c r="T6" s="2" t="s">
        <v>88</v>
      </c>
      <c r="U6" s="2" t="s">
        <v>23</v>
      </c>
      <c r="V6" s="2" t="s">
        <v>24</v>
      </c>
      <c r="AG6" s="2" t="s">
        <v>78</v>
      </c>
      <c r="AH6" s="13">
        <f>_xlfn.STDEV.P(AH3:AQ3)/SQRT(COUNTA(AH3:AQ3))</f>
        <v>0.42895221179054438</v>
      </c>
    </row>
    <row r="7" spans="1:44" ht="15.6" x14ac:dyDescent="0.3">
      <c r="A7" s="13">
        <v>0.6</v>
      </c>
      <c r="B7" s="13">
        <f t="shared" si="0"/>
        <v>60000</v>
      </c>
      <c r="C7" s="3">
        <v>12</v>
      </c>
      <c r="D7" s="8">
        <f>B7*I$21+J$21</f>
        <v>11.669074647402823</v>
      </c>
      <c r="E7" s="8">
        <f>C7-D7</f>
        <v>0.33092535259717692</v>
      </c>
      <c r="P7" s="13">
        <f>B4</f>
        <v>30000</v>
      </c>
      <c r="Q7" s="3">
        <v>5</v>
      </c>
      <c r="R7" s="10">
        <f>LN(P7)</f>
        <v>10.308952660644293</v>
      </c>
      <c r="S7" s="13">
        <f>LN(Q7)</f>
        <v>1.6094379124341003</v>
      </c>
      <c r="T7" s="13">
        <f>ABS(1/Q7)</f>
        <v>0.2</v>
      </c>
      <c r="U7" s="49">
        <f>R7*Y$21+Z$21</f>
        <v>1.7324498918893134</v>
      </c>
      <c r="V7" s="50">
        <f>S7-U7</f>
        <v>-0.12301197945521314</v>
      </c>
      <c r="AG7" s="2" t="s">
        <v>21</v>
      </c>
      <c r="AH7" s="19">
        <f>1 + ($N$20*AH5)/(2*$N$22)</f>
        <v>1.0002172613333333</v>
      </c>
    </row>
    <row r="8" spans="1:44" ht="15.6" x14ac:dyDescent="0.3">
      <c r="A8" s="13">
        <v>0.7</v>
      </c>
      <c r="B8" s="13">
        <f t="shared" si="0"/>
        <v>70000</v>
      </c>
      <c r="C8" s="3">
        <v>14</v>
      </c>
      <c r="D8" s="8">
        <f>B8*I$21+J$21</f>
        <v>13.981768145854836</v>
      </c>
      <c r="E8" s="8">
        <f>C8-D8</f>
        <v>1.8231854145163595E-2</v>
      </c>
      <c r="P8" s="13">
        <f t="shared" ref="P8:P24" si="1">B5</f>
        <v>40000</v>
      </c>
      <c r="Q8" s="3">
        <v>8</v>
      </c>
      <c r="R8" s="10">
        <f t="shared" ref="R8:R24" si="2">LN(P8)</f>
        <v>10.596634733096073</v>
      </c>
      <c r="S8" s="13">
        <f t="shared" ref="S8:S24" si="3">LN(Q8)</f>
        <v>2.0794415416798357</v>
      </c>
      <c r="T8" s="13">
        <f t="shared" ref="T8:T24" si="4">ABS(1/Q8)</f>
        <v>0.125</v>
      </c>
      <c r="U8" s="8">
        <f>R8*Y$21+Z$21</f>
        <v>2.0432576631947477</v>
      </c>
      <c r="V8" s="9">
        <f>S8-U8</f>
        <v>3.6183878485088083E-2</v>
      </c>
      <c r="AG8" s="2" t="s">
        <v>22</v>
      </c>
      <c r="AH8" s="19">
        <f>SQRT((N20*2/((2*N22)^2)*N22*AH6)^2 + (N20*2/((2*N22)^2)*AH5*N23)^2)</f>
        <v>8.5389653030340718E-6</v>
      </c>
    </row>
    <row r="9" spans="1:44" ht="15.6" x14ac:dyDescent="0.3">
      <c r="A9" s="13">
        <v>0.8</v>
      </c>
      <c r="B9" s="13">
        <f t="shared" si="0"/>
        <v>80000</v>
      </c>
      <c r="C9" s="3">
        <v>16</v>
      </c>
      <c r="D9" s="8">
        <f>B9*I$21+J$21</f>
        <v>16.294461644306846</v>
      </c>
      <c r="E9" s="8">
        <f>C9-D9</f>
        <v>-0.29446164430684618</v>
      </c>
      <c r="P9" s="13">
        <f t="shared" si="1"/>
        <v>50000</v>
      </c>
      <c r="Q9" s="3">
        <v>10</v>
      </c>
      <c r="R9" s="10">
        <f t="shared" si="2"/>
        <v>10.819778284410283</v>
      </c>
      <c r="S9" s="13">
        <f t="shared" si="3"/>
        <v>2.3025850929940459</v>
      </c>
      <c r="T9" s="13">
        <f t="shared" si="4"/>
        <v>0.1</v>
      </c>
      <c r="U9" s="8">
        <f>R9*Y$21+Z$21</f>
        <v>2.2843389001104555</v>
      </c>
      <c r="V9" s="9">
        <f>S9-U9</f>
        <v>1.8246192883590417E-2</v>
      </c>
      <c r="AG9" s="2" t="s">
        <v>75</v>
      </c>
      <c r="AH9" s="20">
        <f>AH8/AH7</f>
        <v>8.5371105190198948E-6</v>
      </c>
    </row>
    <row r="10" spans="1:44" x14ac:dyDescent="0.3">
      <c r="A10" s="13">
        <v>0.9</v>
      </c>
      <c r="B10" s="13">
        <f t="shared" si="0"/>
        <v>90000</v>
      </c>
      <c r="C10" s="3">
        <v>18</v>
      </c>
      <c r="D10" s="8">
        <f>B10*I$21+J$21</f>
        <v>18.60715514275886</v>
      </c>
      <c r="E10" s="8">
        <f>C10-D10</f>
        <v>-0.60715514275885951</v>
      </c>
      <c r="P10" s="13">
        <f t="shared" si="1"/>
        <v>60000</v>
      </c>
      <c r="Q10" s="3">
        <v>12</v>
      </c>
      <c r="R10" s="10">
        <f t="shared" si="2"/>
        <v>11.002099841204238</v>
      </c>
      <c r="S10" s="8">
        <f t="shared" si="3"/>
        <v>2.4849066497880004</v>
      </c>
      <c r="T10" s="8">
        <f t="shared" si="4"/>
        <v>8.3333333333333329E-2</v>
      </c>
      <c r="U10" s="8">
        <f>R10*Y$21+Z$21</f>
        <v>2.481316613198798</v>
      </c>
      <c r="V10" s="9">
        <f>S10-U10</f>
        <v>3.5900365892023167E-3</v>
      </c>
      <c r="AG10" s="2" t="s">
        <v>49</v>
      </c>
      <c r="AH10" s="11">
        <f>ABS(AH7-N21)/N21</f>
        <v>7.2717578568786971E-5</v>
      </c>
    </row>
    <row r="11" spans="1:44" x14ac:dyDescent="0.3">
      <c r="A11" s="13">
        <v>1</v>
      </c>
      <c r="B11" s="13">
        <f t="shared" si="0"/>
        <v>100000</v>
      </c>
      <c r="C11" s="3">
        <v>21</v>
      </c>
      <c r="D11" s="8">
        <f>B11*I$21+J$21</f>
        <v>20.919848641210873</v>
      </c>
      <c r="E11" s="8">
        <f>C11-D11</f>
        <v>8.0151358789127158E-2</v>
      </c>
      <c r="P11" s="13">
        <f t="shared" si="1"/>
        <v>70000</v>
      </c>
      <c r="Q11" s="3">
        <v>14</v>
      </c>
      <c r="R11" s="10">
        <f t="shared" si="2"/>
        <v>11.156250521031495</v>
      </c>
      <c r="S11" s="8">
        <f t="shared" si="3"/>
        <v>2.6390573296152584</v>
      </c>
      <c r="T11" s="8">
        <f t="shared" si="4"/>
        <v>7.1428571428571425E-2</v>
      </c>
      <c r="U11" s="8">
        <f>R11*Y$21+Z$21</f>
        <v>2.6478588966090992</v>
      </c>
      <c r="V11" s="9">
        <f>S11-U11</f>
        <v>-8.8015669938408259E-3</v>
      </c>
    </row>
    <row r="12" spans="1:44" x14ac:dyDescent="0.3">
      <c r="A12" s="13">
        <v>1.1000000000000001</v>
      </c>
      <c r="B12" s="13">
        <f t="shared" si="0"/>
        <v>110000.00000000001</v>
      </c>
      <c r="C12" s="3">
        <v>22</v>
      </c>
      <c r="D12" s="8">
        <f>B12*I$21+J$21</f>
        <v>23.232542139662886</v>
      </c>
      <c r="E12" s="8">
        <f>C12-D12</f>
        <v>-1.2325421396628862</v>
      </c>
      <c r="P12" s="13">
        <f t="shared" si="1"/>
        <v>80000</v>
      </c>
      <c r="Q12" s="3">
        <v>16</v>
      </c>
      <c r="R12" s="10">
        <f t="shared" si="2"/>
        <v>11.289781913656018</v>
      </c>
      <c r="S12" s="8">
        <f t="shared" si="3"/>
        <v>2.7725887222397811</v>
      </c>
      <c r="T12" s="8">
        <f t="shared" si="4"/>
        <v>6.25E-2</v>
      </c>
      <c r="U12" s="8">
        <f>R12*Y$21+Z$21</f>
        <v>2.7921243845042305</v>
      </c>
      <c r="V12" s="9">
        <f>S12-U12</f>
        <v>-1.953566226444936E-2</v>
      </c>
    </row>
    <row r="13" spans="1:44" x14ac:dyDescent="0.3">
      <c r="A13" s="13">
        <v>1.2</v>
      </c>
      <c r="B13" s="13">
        <f t="shared" si="0"/>
        <v>120000</v>
      </c>
      <c r="C13" s="3">
        <v>24</v>
      </c>
      <c r="D13" s="8">
        <f>B13*I$21+J$21</f>
        <v>25.545235638114896</v>
      </c>
      <c r="E13" s="8">
        <f>C13-D13</f>
        <v>-1.5452356381148959</v>
      </c>
      <c r="P13" s="13">
        <f t="shared" si="1"/>
        <v>90000</v>
      </c>
      <c r="Q13" s="3">
        <v>18</v>
      </c>
      <c r="R13" s="10">
        <f t="shared" si="2"/>
        <v>11.407564949312402</v>
      </c>
      <c r="S13" s="8">
        <f t="shared" si="3"/>
        <v>2.8903717578961645</v>
      </c>
      <c r="T13" s="8">
        <f t="shared" si="4"/>
        <v>5.5555555555555552E-2</v>
      </c>
      <c r="U13" s="8">
        <f>R13*Y$21+Z$21</f>
        <v>2.9193755632028449</v>
      </c>
      <c r="V13" s="9">
        <f>S13-U13</f>
        <v>-2.9003805306680341E-2</v>
      </c>
    </row>
    <row r="14" spans="1:44" x14ac:dyDescent="0.3">
      <c r="A14" s="13">
        <v>1.3</v>
      </c>
      <c r="B14" s="13">
        <f t="shared" si="0"/>
        <v>130000</v>
      </c>
      <c r="C14" s="3">
        <v>27</v>
      </c>
      <c r="D14" s="8">
        <f>B14*I$21+J$21</f>
        <v>27.857929136566909</v>
      </c>
      <c r="E14" s="8">
        <f>C14-D14</f>
        <v>-0.85792913656690928</v>
      </c>
      <c r="P14" s="13">
        <f t="shared" si="1"/>
        <v>100000</v>
      </c>
      <c r="Q14" s="3">
        <v>21</v>
      </c>
      <c r="R14" s="10">
        <f t="shared" si="2"/>
        <v>11.512925464970229</v>
      </c>
      <c r="S14" s="8">
        <f t="shared" si="3"/>
        <v>3.044522437723423</v>
      </c>
      <c r="T14" s="8">
        <f t="shared" si="4"/>
        <v>4.7619047619047616E-2</v>
      </c>
      <c r="U14" s="8">
        <f>R14*Y$21+Z$21</f>
        <v>3.0332056214199401</v>
      </c>
      <c r="V14" s="9">
        <f>S14-U14</f>
        <v>1.1316816303482913E-2</v>
      </c>
    </row>
    <row r="15" spans="1:44" x14ac:dyDescent="0.3">
      <c r="A15" s="13">
        <v>1.4</v>
      </c>
      <c r="B15" s="13">
        <f t="shared" si="0"/>
        <v>140000</v>
      </c>
      <c r="C15" s="3">
        <v>30</v>
      </c>
      <c r="D15" s="8">
        <f>B15*I$21+J$21</f>
        <v>30.170622635018923</v>
      </c>
      <c r="E15" s="8">
        <f>C15-D15</f>
        <v>-0.17062263501892261</v>
      </c>
      <c r="P15" s="13">
        <f t="shared" si="1"/>
        <v>110000.00000000001</v>
      </c>
      <c r="Q15" s="3">
        <v>22</v>
      </c>
      <c r="R15" s="10">
        <f t="shared" si="2"/>
        <v>11.608235644774554</v>
      </c>
      <c r="S15" s="8">
        <f t="shared" si="3"/>
        <v>3.0910424533583161</v>
      </c>
      <c r="T15" s="8">
        <f t="shared" si="4"/>
        <v>4.5454545454545456E-2</v>
      </c>
      <c r="U15" s="8">
        <f>R15*Y$21+Z$21</f>
        <v>3.1361774344190554</v>
      </c>
      <c r="V15" s="9">
        <f>S15-U15</f>
        <v>-4.5134981060739321E-2</v>
      </c>
    </row>
    <row r="16" spans="1:44" x14ac:dyDescent="0.3">
      <c r="A16" s="13">
        <v>1.5</v>
      </c>
      <c r="B16" s="13">
        <f t="shared" si="0"/>
        <v>150000</v>
      </c>
      <c r="C16" s="3">
        <v>33</v>
      </c>
      <c r="D16" s="8">
        <f>B16*I$21+J$21</f>
        <v>32.483316133470929</v>
      </c>
      <c r="E16" s="8">
        <f>C16-D16</f>
        <v>0.51668386652907117</v>
      </c>
      <c r="P16" s="13">
        <f t="shared" si="1"/>
        <v>120000</v>
      </c>
      <c r="Q16" s="3">
        <v>24</v>
      </c>
      <c r="R16" s="10">
        <f t="shared" si="2"/>
        <v>11.695247021764184</v>
      </c>
      <c r="S16" s="8">
        <f t="shared" si="3"/>
        <v>3.1780538303479458</v>
      </c>
      <c r="T16" s="8">
        <f t="shared" si="4"/>
        <v>4.1666666666666664E-2</v>
      </c>
      <c r="U16" s="8">
        <f>R16*Y$21+Z$21</f>
        <v>3.2301833345082809</v>
      </c>
      <c r="V16" s="9">
        <f>S16-U16</f>
        <v>-5.2129504160335127E-2</v>
      </c>
    </row>
    <row r="17" spans="1:30" x14ac:dyDescent="0.3">
      <c r="A17" s="13">
        <v>1.6</v>
      </c>
      <c r="B17" s="13">
        <f t="shared" si="0"/>
        <v>160000</v>
      </c>
      <c r="C17" s="3">
        <v>35</v>
      </c>
      <c r="D17" s="8">
        <f>B17*I$21+J$21</f>
        <v>34.796009631922942</v>
      </c>
      <c r="E17" s="8">
        <f>C17-D17</f>
        <v>0.20399036807705784</v>
      </c>
      <c r="P17" s="13">
        <f t="shared" si="1"/>
        <v>130000</v>
      </c>
      <c r="Q17" s="3">
        <v>27</v>
      </c>
      <c r="R17" s="10">
        <f t="shared" si="2"/>
        <v>11.77528972943772</v>
      </c>
      <c r="S17" s="8">
        <f t="shared" si="3"/>
        <v>3.2958368660043291</v>
      </c>
      <c r="T17" s="8">
        <f t="shared" si="4"/>
        <v>3.7037037037037035E-2</v>
      </c>
      <c r="U17" s="8">
        <f>R17*Y$21+Z$21</f>
        <v>3.3166603797034906</v>
      </c>
      <c r="V17" s="9">
        <f>S17-U17</f>
        <v>-2.0823513699161467E-2</v>
      </c>
    </row>
    <row r="18" spans="1:30" x14ac:dyDescent="0.3">
      <c r="A18" s="13">
        <v>1.7</v>
      </c>
      <c r="B18" s="13">
        <f t="shared" si="0"/>
        <v>170000</v>
      </c>
      <c r="C18" s="3">
        <v>38</v>
      </c>
      <c r="D18" s="8">
        <f>B18*I$21+J$21</f>
        <v>37.108703130374955</v>
      </c>
      <c r="E18" s="8">
        <f>C18-D18</f>
        <v>0.89129686962504451</v>
      </c>
      <c r="P18" s="13">
        <f t="shared" si="1"/>
        <v>140000</v>
      </c>
      <c r="Q18" s="3">
        <v>30</v>
      </c>
      <c r="R18" s="10">
        <f t="shared" si="2"/>
        <v>11.849397701591441</v>
      </c>
      <c r="S18" s="8">
        <f t="shared" si="3"/>
        <v>3.4011973816621555</v>
      </c>
      <c r="T18" s="8">
        <f t="shared" si="4"/>
        <v>3.3333333333333333E-2</v>
      </c>
      <c r="U18" s="8">
        <f>R18*Y$21+Z$21</f>
        <v>3.3967256179185821</v>
      </c>
      <c r="V18" s="9">
        <f>S18-U18</f>
        <v>4.471763743573387E-3</v>
      </c>
    </row>
    <row r="19" spans="1:30" x14ac:dyDescent="0.3">
      <c r="A19" s="13">
        <v>1.8</v>
      </c>
      <c r="B19" s="13">
        <f t="shared" si="0"/>
        <v>180000</v>
      </c>
      <c r="C19" s="3">
        <v>39</v>
      </c>
      <c r="D19" s="8">
        <f>B19*I$21+J$21</f>
        <v>39.421396628826969</v>
      </c>
      <c r="E19" s="8">
        <f>C19-D19</f>
        <v>-0.42139662882696882</v>
      </c>
      <c r="P19" s="13">
        <f t="shared" si="1"/>
        <v>150000</v>
      </c>
      <c r="Q19" s="3">
        <v>33</v>
      </c>
      <c r="R19" s="10">
        <f t="shared" si="2"/>
        <v>11.918390573078392</v>
      </c>
      <c r="S19" s="8">
        <f t="shared" si="3"/>
        <v>3.4965075614664802</v>
      </c>
      <c r="T19" s="8">
        <f t="shared" si="4"/>
        <v>3.0303030303030304E-2</v>
      </c>
      <c r="U19" s="8">
        <f>R19*Y$21+Z$21</f>
        <v>3.4712645714239869</v>
      </c>
      <c r="V19" s="9">
        <f>S19-U19</f>
        <v>2.5242990042493307E-2</v>
      </c>
    </row>
    <row r="20" spans="1:30" x14ac:dyDescent="0.3">
      <c r="A20" s="13">
        <v>1.9</v>
      </c>
      <c r="B20" s="13">
        <f t="shared" si="0"/>
        <v>190000</v>
      </c>
      <c r="C20" s="3">
        <v>42</v>
      </c>
      <c r="D20" s="8">
        <f>B20*I$21+J$21</f>
        <v>41.734090127278982</v>
      </c>
      <c r="E20" s="8">
        <f t="shared" ref="E20:E21" si="5">C20-D20</f>
        <v>0.26590987272101785</v>
      </c>
      <c r="H20" s="33" t="s">
        <v>25</v>
      </c>
      <c r="I20" s="33"/>
      <c r="J20" s="33"/>
      <c r="K20" s="33"/>
      <c r="M20" s="2" t="s">
        <v>19</v>
      </c>
      <c r="N20" s="4">
        <v>6.328E-7</v>
      </c>
      <c r="P20" s="13">
        <f t="shared" si="1"/>
        <v>160000</v>
      </c>
      <c r="Q20" s="3">
        <v>35</v>
      </c>
      <c r="R20" s="10">
        <f t="shared" si="2"/>
        <v>11.982929094215963</v>
      </c>
      <c r="S20" s="8">
        <f t="shared" si="3"/>
        <v>3.5553480614894135</v>
      </c>
      <c r="T20" s="8">
        <f t="shared" si="4"/>
        <v>2.8571428571428571E-2</v>
      </c>
      <c r="U20" s="8">
        <f>R20*Y$21+Z$21</f>
        <v>3.5409911058137151</v>
      </c>
      <c r="V20" s="9">
        <f>S20-U20</f>
        <v>1.4356955675698391E-2</v>
      </c>
      <c r="X20" s="33" t="s">
        <v>25</v>
      </c>
      <c r="Y20" s="33"/>
      <c r="Z20" s="33"/>
      <c r="AA20" s="33"/>
    </row>
    <row r="21" spans="1:30" ht="15" x14ac:dyDescent="0.3">
      <c r="A21" s="13">
        <v>2</v>
      </c>
      <c r="B21" s="13">
        <f t="shared" si="0"/>
        <v>200000</v>
      </c>
      <c r="C21" s="3">
        <v>45</v>
      </c>
      <c r="D21" s="8">
        <f>B21*I$21+J$21</f>
        <v>44.046783625730995</v>
      </c>
      <c r="E21" s="8">
        <f t="shared" si="5"/>
        <v>0.95321637426900452</v>
      </c>
      <c r="H21" s="2" t="s">
        <v>26</v>
      </c>
      <c r="I21" s="19">
        <f t="array" ref="I21:J23">LINEST(C4:C21,B4:B21,1,1)</f>
        <v>2.3126934984520121E-4</v>
      </c>
      <c r="J21" s="13">
        <v>-2.2070863433092498</v>
      </c>
      <c r="K21" s="2" t="s">
        <v>28</v>
      </c>
      <c r="M21" s="5" t="s">
        <v>50</v>
      </c>
      <c r="N21" s="3">
        <v>1.0002899999999999</v>
      </c>
      <c r="P21" s="13">
        <f t="shared" si="1"/>
        <v>170000</v>
      </c>
      <c r="Q21" s="3">
        <v>38</v>
      </c>
      <c r="R21" s="10">
        <f t="shared" si="2"/>
        <v>12.043553716032399</v>
      </c>
      <c r="S21" s="8">
        <f t="shared" si="3"/>
        <v>3.6375861597263857</v>
      </c>
      <c r="T21" s="8">
        <f t="shared" si="4"/>
        <v>2.6315789473684209E-2</v>
      </c>
      <c r="U21" s="8">
        <f>R21*Y$21+Z$21</f>
        <v>3.6064891169772686</v>
      </c>
      <c r="V21" s="9">
        <f>S21-U21</f>
        <v>3.1097042749117065E-2</v>
      </c>
      <c r="X21" s="2" t="s">
        <v>26</v>
      </c>
      <c r="Y21" s="8">
        <f t="array" ref="Y21:Z23">LINEST(S8:S24,R8:R24,1,1)</f>
        <v>1.0803863051199691</v>
      </c>
      <c r="Z21" s="9">
        <v>-9.4052013828008487</v>
      </c>
      <c r="AA21" s="2" t="s">
        <v>28</v>
      </c>
      <c r="AB21" s="30">
        <f>Y22/Y21</f>
        <v>1.2798906707572159E-2</v>
      </c>
      <c r="AD21" s="30"/>
    </row>
    <row r="22" spans="1:30" x14ac:dyDescent="0.3">
      <c r="H22" s="2" t="s">
        <v>27</v>
      </c>
      <c r="I22" s="19">
        <v>3.3892458700223797E-6</v>
      </c>
      <c r="J22" s="13">
        <v>0.42759157161415712</v>
      </c>
      <c r="K22" s="2" t="s">
        <v>29</v>
      </c>
      <c r="M22" s="2" t="s">
        <v>31</v>
      </c>
      <c r="N22" s="3">
        <v>0.03</v>
      </c>
      <c r="P22" s="13">
        <f t="shared" si="1"/>
        <v>180000</v>
      </c>
      <c r="Q22" s="3">
        <v>39</v>
      </c>
      <c r="R22" s="10">
        <f t="shared" si="2"/>
        <v>12.100712129872347</v>
      </c>
      <c r="S22" s="8">
        <f t="shared" si="3"/>
        <v>3.6635616461296463</v>
      </c>
      <c r="T22" s="8">
        <f t="shared" si="4"/>
        <v>2.564102564102564E-2</v>
      </c>
      <c r="U22" s="8">
        <f>R22*Y$21+Z$21</f>
        <v>3.6682422845123295</v>
      </c>
      <c r="V22" s="9">
        <f>S22-U22</f>
        <v>-4.6806383826831777E-3</v>
      </c>
      <c r="X22" s="2" t="s">
        <v>27</v>
      </c>
      <c r="Y22" s="8">
        <v>1.3827763527369075E-2</v>
      </c>
      <c r="Z22" s="9">
        <v>0.160469326551652</v>
      </c>
      <c r="AA22" s="2" t="s">
        <v>29</v>
      </c>
      <c r="AB22" s="30">
        <f>(1-Y21)/1</f>
        <v>-8.0386305119969137E-2</v>
      </c>
      <c r="AD22" s="30"/>
    </row>
    <row r="23" spans="1:30" ht="16.2" x14ac:dyDescent="0.3">
      <c r="H23" s="2" t="s">
        <v>84</v>
      </c>
      <c r="I23" s="9">
        <v>0.99657547634395116</v>
      </c>
      <c r="J23" s="13">
        <v>0.74601913356402538</v>
      </c>
      <c r="K23" s="2" t="s">
        <v>30</v>
      </c>
      <c r="M23" s="2" t="s">
        <v>32</v>
      </c>
      <c r="N23" s="3">
        <v>1E-3</v>
      </c>
      <c r="P23" s="13">
        <f t="shared" si="1"/>
        <v>190000</v>
      </c>
      <c r="Q23" s="3">
        <v>42</v>
      </c>
      <c r="R23" s="10">
        <f t="shared" si="2"/>
        <v>12.154779351142624</v>
      </c>
      <c r="S23" s="8">
        <f t="shared" si="3"/>
        <v>3.7376696182833684</v>
      </c>
      <c r="T23" s="8">
        <f t="shared" si="4"/>
        <v>2.3809523809523808E-2</v>
      </c>
      <c r="U23" s="8">
        <f>R23*Y$21+Z$21</f>
        <v>3.7266557699286267</v>
      </c>
      <c r="V23" s="9">
        <f>S23-U23</f>
        <v>1.1013848354741729E-2</v>
      </c>
      <c r="X23" s="2" t="s">
        <v>84</v>
      </c>
      <c r="Y23" s="9">
        <v>0.9975488427414303</v>
      </c>
      <c r="Z23" s="8">
        <v>2.6894854750812464E-2</v>
      </c>
      <c r="AA23" s="2" t="s">
        <v>30</v>
      </c>
    </row>
    <row r="24" spans="1:30" x14ac:dyDescent="0.3">
      <c r="P24" s="13">
        <f t="shared" si="1"/>
        <v>200000</v>
      </c>
      <c r="Q24" s="3">
        <v>45</v>
      </c>
      <c r="R24" s="10">
        <f t="shared" si="2"/>
        <v>12.206072645530174</v>
      </c>
      <c r="S24" s="8">
        <f t="shared" si="3"/>
        <v>3.8066624897703196</v>
      </c>
      <c r="T24" s="8">
        <f t="shared" si="4"/>
        <v>2.2222222222222223E-2</v>
      </c>
      <c r="U24" s="8">
        <f>R24*Y$21+Z$21</f>
        <v>3.7820723427294229</v>
      </c>
      <c r="V24" s="9">
        <f>S24-U24</f>
        <v>2.4590147040896682E-2</v>
      </c>
    </row>
    <row r="27" spans="1:30" x14ac:dyDescent="0.3">
      <c r="N27" s="1" t="s">
        <v>5</v>
      </c>
      <c r="O27" s="1" t="s">
        <v>90</v>
      </c>
      <c r="Y27" s="1" t="s">
        <v>5</v>
      </c>
      <c r="Z27" s="1" t="s">
        <v>90</v>
      </c>
    </row>
    <row r="28" spans="1:30" x14ac:dyDescent="0.3">
      <c r="N28" s="17">
        <f>C4</f>
        <v>5</v>
      </c>
      <c r="O28" s="51">
        <f>$N$20/(2*$N$22*100000*$I$21) * (N28^2 - $J$21*N28)</f>
        <v>1.6433378947890323E-5</v>
      </c>
      <c r="Y28" s="17">
        <f>Q7</f>
        <v>5</v>
      </c>
      <c r="Z28" s="51">
        <f>($N$20)/(2*$N$22*100000)*Y28^(($Y$21+1)/$Y$21)*EXP(-$Z$21/$Y$21)</f>
        <v>1.4117507695535623E-5</v>
      </c>
    </row>
    <row r="29" spans="1:30" x14ac:dyDescent="0.3">
      <c r="N29" s="17">
        <f t="shared" ref="N29:N45" si="6">C5</f>
        <v>8</v>
      </c>
      <c r="O29" s="51">
        <f t="shared" ref="O29:O45" si="7">$N$20/(2*$N$22*100000*$I$21) * (N29^2 - $J$21*N29)</f>
        <v>3.7238220238980609E-5</v>
      </c>
      <c r="Y29" s="17">
        <f t="shared" ref="Y29:Y45" si="8">Q8</f>
        <v>8</v>
      </c>
      <c r="Z29" s="51">
        <f t="shared" ref="Z29:Z45" si="9">($N$20)/(2*$N$22*100000)*Y29^(($Y$21+1)/$Y$21)*EXP(-$Z$21/$Y$21)</f>
        <v>3.489879410042021E-5</v>
      </c>
    </row>
    <row r="30" spans="1:30" x14ac:dyDescent="0.3">
      <c r="N30" s="17">
        <f t="shared" si="6"/>
        <v>10</v>
      </c>
      <c r="O30" s="51">
        <f t="shared" si="7"/>
        <v>5.5668453567355837E-5</v>
      </c>
      <c r="Y30" s="17">
        <f t="shared" si="8"/>
        <v>10</v>
      </c>
      <c r="Z30" s="51">
        <f t="shared" si="9"/>
        <v>5.3631487493473807E-5</v>
      </c>
    </row>
    <row r="31" spans="1:30" x14ac:dyDescent="0.3">
      <c r="N31" s="17">
        <f t="shared" si="6"/>
        <v>12</v>
      </c>
      <c r="O31" s="51">
        <f t="shared" si="7"/>
        <v>7.7746958203183097E-5</v>
      </c>
      <c r="Y31" s="17">
        <f t="shared" si="8"/>
        <v>12</v>
      </c>
      <c r="Z31" s="51">
        <f t="shared" si="9"/>
        <v>7.6188748905452663E-5</v>
      </c>
    </row>
    <row r="32" spans="1:30" x14ac:dyDescent="0.3">
      <c r="N32" s="17">
        <f t="shared" si="6"/>
        <v>14</v>
      </c>
      <c r="O32" s="51">
        <f t="shared" si="7"/>
        <v>1.0347373414646239E-4</v>
      </c>
      <c r="Y32" s="17">
        <f t="shared" si="8"/>
        <v>14</v>
      </c>
      <c r="Z32" s="51">
        <f t="shared" si="9"/>
        <v>1.0251873422728876E-4</v>
      </c>
    </row>
    <row r="33" spans="14:26" x14ac:dyDescent="0.3">
      <c r="N33" s="17">
        <f t="shared" si="6"/>
        <v>16</v>
      </c>
      <c r="O33" s="51">
        <f t="shared" si="7"/>
        <v>1.3284878139719372E-4</v>
      </c>
      <c r="Y33" s="17">
        <f t="shared" si="8"/>
        <v>16</v>
      </c>
      <c r="Z33" s="51">
        <f t="shared" si="9"/>
        <v>1.3257823404097619E-4</v>
      </c>
    </row>
    <row r="34" spans="14:26" x14ac:dyDescent="0.3">
      <c r="N34" s="17">
        <f t="shared" si="6"/>
        <v>18</v>
      </c>
      <c r="O34" s="51">
        <f t="shared" si="7"/>
        <v>1.6587209995537705E-4</v>
      </c>
      <c r="Y34" s="17">
        <f t="shared" si="8"/>
        <v>18</v>
      </c>
      <c r="Z34" s="51">
        <f t="shared" si="9"/>
        <v>1.6633025895035789E-4</v>
      </c>
    </row>
    <row r="35" spans="14:26" x14ac:dyDescent="0.3">
      <c r="N35" s="17">
        <f t="shared" si="6"/>
        <v>21</v>
      </c>
      <c r="O35" s="51">
        <f t="shared" si="7"/>
        <v>2.2224758649412466E-4</v>
      </c>
      <c r="Y35" s="17">
        <f t="shared" si="8"/>
        <v>21</v>
      </c>
      <c r="Z35" s="51">
        <f t="shared" si="9"/>
        <v>2.2381214885742139E-4</v>
      </c>
    </row>
    <row r="36" spans="14:26" x14ac:dyDescent="0.3">
      <c r="N36" s="17">
        <f t="shared" si="6"/>
        <v>22</v>
      </c>
      <c r="O36" s="51">
        <f t="shared" si="7"/>
        <v>2.4286355099409986E-4</v>
      </c>
      <c r="Y36" s="17">
        <f t="shared" si="8"/>
        <v>22</v>
      </c>
      <c r="Z36" s="51">
        <f t="shared" si="9"/>
        <v>2.4478634806397015E-4</v>
      </c>
    </row>
    <row r="37" spans="14:26" x14ac:dyDescent="0.3">
      <c r="N37" s="17">
        <f t="shared" si="6"/>
        <v>24</v>
      </c>
      <c r="O37" s="51">
        <f t="shared" si="7"/>
        <v>2.8683168347463933E-4</v>
      </c>
      <c r="Y37" s="17">
        <f t="shared" si="8"/>
        <v>24</v>
      </c>
      <c r="Z37" s="51">
        <f t="shared" si="9"/>
        <v>2.8943606918368126E-4</v>
      </c>
    </row>
    <row r="38" spans="14:26" x14ac:dyDescent="0.3">
      <c r="N38" s="17">
        <f t="shared" si="6"/>
        <v>27</v>
      </c>
      <c r="O38" s="51">
        <f t="shared" si="7"/>
        <v>3.5962439089692107E-4</v>
      </c>
      <c r="Y38" s="17">
        <f t="shared" si="8"/>
        <v>27</v>
      </c>
      <c r="Z38" s="51">
        <f t="shared" si="9"/>
        <v>3.631212671155062E-4</v>
      </c>
    </row>
    <row r="39" spans="14:26" x14ac:dyDescent="0.3">
      <c r="N39" s="17">
        <f t="shared" si="6"/>
        <v>30</v>
      </c>
      <c r="O39" s="51">
        <f t="shared" si="7"/>
        <v>4.4062570876096983E-4</v>
      </c>
      <c r="Y39" s="17">
        <f t="shared" si="8"/>
        <v>30</v>
      </c>
      <c r="Z39" s="51">
        <f t="shared" si="9"/>
        <v>4.4479722938042479E-4</v>
      </c>
    </row>
    <row r="40" spans="14:26" x14ac:dyDescent="0.3">
      <c r="N40" s="17">
        <f t="shared" si="6"/>
        <v>33</v>
      </c>
      <c r="O40" s="51">
        <f t="shared" si="7"/>
        <v>5.2983563706678581E-4</v>
      </c>
      <c r="Y40" s="17">
        <f t="shared" si="8"/>
        <v>33</v>
      </c>
      <c r="Z40" s="51">
        <f t="shared" si="9"/>
        <v>5.3440143388518982E-4</v>
      </c>
    </row>
    <row r="41" spans="14:26" x14ac:dyDescent="0.3">
      <c r="N41" s="17">
        <f t="shared" si="6"/>
        <v>35</v>
      </c>
      <c r="O41" s="51">
        <f t="shared" si="7"/>
        <v>5.9386926173831138E-4</v>
      </c>
      <c r="Y41" s="17">
        <f t="shared" si="8"/>
        <v>35</v>
      </c>
      <c r="Z41" s="51">
        <f t="shared" si="9"/>
        <v>5.9851421107431609E-4</v>
      </c>
    </row>
    <row r="42" spans="14:26" x14ac:dyDescent="0.3">
      <c r="N42" s="17">
        <f t="shared" si="6"/>
        <v>38</v>
      </c>
      <c r="O42" s="51">
        <f t="shared" si="7"/>
        <v>6.9676020744707226E-4</v>
      </c>
      <c r="Y42" s="17">
        <f t="shared" si="8"/>
        <v>38</v>
      </c>
      <c r="Z42" s="51">
        <f t="shared" si="9"/>
        <v>7.0121007953550076E-4</v>
      </c>
    </row>
    <row r="43" spans="14:26" x14ac:dyDescent="0.3">
      <c r="N43" s="17">
        <f t="shared" si="6"/>
        <v>39</v>
      </c>
      <c r="O43" s="51">
        <f t="shared" si="7"/>
        <v>7.3288132500371871E-4</v>
      </c>
      <c r="Y43" s="17">
        <f t="shared" si="8"/>
        <v>39</v>
      </c>
      <c r="Z43" s="51">
        <f t="shared" si="9"/>
        <v>7.3717535189846671E-4</v>
      </c>
    </row>
    <row r="44" spans="14:26" x14ac:dyDescent="0.3">
      <c r="N44" s="17">
        <f t="shared" si="6"/>
        <v>42</v>
      </c>
      <c r="O44" s="51">
        <f t="shared" si="7"/>
        <v>8.4671708463483568E-4</v>
      </c>
      <c r="Y44" s="17">
        <f t="shared" si="8"/>
        <v>42</v>
      </c>
      <c r="Z44" s="51">
        <f t="shared" si="9"/>
        <v>8.5024770102516884E-4</v>
      </c>
    </row>
    <row r="45" spans="14:26" x14ac:dyDescent="0.3">
      <c r="N45" s="17">
        <f t="shared" si="6"/>
        <v>45</v>
      </c>
      <c r="O45" s="51">
        <f t="shared" si="7"/>
        <v>9.6876145470771989E-4</v>
      </c>
      <c r="Y45" s="17">
        <f t="shared" si="8"/>
        <v>45</v>
      </c>
      <c r="Z45" s="51">
        <f t="shared" si="9"/>
        <v>9.710520176024691E-4</v>
      </c>
    </row>
    <row r="46" spans="14:26" x14ac:dyDescent="0.3">
      <c r="N46" s="51"/>
    </row>
  </sheetData>
  <mergeCells count="3">
    <mergeCell ref="H20:K20"/>
    <mergeCell ref="X20:AA20"/>
    <mergeCell ref="A1:A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57-8633-457D-8C9C-8EEA04E525B4}">
  <dimension ref="A1:P25"/>
  <sheetViews>
    <sheetView zoomScaleNormal="100" workbookViewId="0">
      <selection activeCell="J15" sqref="J15"/>
    </sheetView>
  </sheetViews>
  <sheetFormatPr defaultRowHeight="14.4" x14ac:dyDescent="0.3"/>
  <cols>
    <col min="1" max="2" width="8.88671875" style="1"/>
    <col min="3" max="3" width="8.77734375" style="1" customWidth="1"/>
    <col min="4" max="4" width="9.44140625" style="1" bestFit="1" customWidth="1"/>
    <col min="5" max="5" width="11.21875" style="1" customWidth="1"/>
    <col min="6" max="6" width="12" style="1" customWidth="1"/>
    <col min="7" max="11" width="8.88671875" style="1"/>
    <col min="12" max="12" width="11.77734375" style="1" customWidth="1"/>
    <col min="13" max="16384" width="8.88671875" style="1"/>
  </cols>
  <sheetData>
    <row r="1" spans="1:16" ht="14.4" customHeight="1" x14ac:dyDescent="0.3">
      <c r="A1" s="32" t="s">
        <v>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5" customHeight="1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ht="15.6" x14ac:dyDescent="0.3">
      <c r="B3" s="2" t="s">
        <v>57</v>
      </c>
      <c r="C3" s="2" t="s">
        <v>5</v>
      </c>
      <c r="D3" s="2" t="s">
        <v>56</v>
      </c>
    </row>
    <row r="4" spans="1:16" x14ac:dyDescent="0.3">
      <c r="B4" s="3">
        <v>5</v>
      </c>
      <c r="C4" s="3">
        <v>20</v>
      </c>
      <c r="D4" s="19">
        <f t="shared" ref="D4:D9" si="0">(G$13*G$12*G$12*(SIN(RADIANS(B4))^2))/(G$13*G$12*(SIN(RADIANS(B4))^2)-C4*G$11)</f>
        <v>1.4348106556451403</v>
      </c>
    </row>
    <row r="5" spans="1:16" x14ac:dyDescent="0.3">
      <c r="B5" s="3">
        <v>6</v>
      </c>
      <c r="C5" s="3">
        <v>30</v>
      </c>
      <c r="D5" s="3">
        <f t="shared" si="0"/>
        <v>1.4620125382545501</v>
      </c>
    </row>
    <row r="6" spans="1:16" x14ac:dyDescent="0.3">
      <c r="B6" s="3">
        <v>7</v>
      </c>
      <c r="C6" s="3">
        <v>37</v>
      </c>
      <c r="D6" s="3">
        <f t="shared" si="0"/>
        <v>1.4020337168286705</v>
      </c>
    </row>
    <row r="7" spans="1:16" x14ac:dyDescent="0.3">
      <c r="B7" s="3">
        <v>8</v>
      </c>
      <c r="C7" s="3">
        <v>47</v>
      </c>
      <c r="D7" s="3">
        <f t="shared" si="0"/>
        <v>1.3875637355899335</v>
      </c>
    </row>
    <row r="8" spans="1:16" x14ac:dyDescent="0.3">
      <c r="B8" s="3">
        <v>9</v>
      </c>
      <c r="C8" s="3">
        <v>58</v>
      </c>
      <c r="D8" s="3">
        <f t="shared" si="0"/>
        <v>1.375176031889934</v>
      </c>
    </row>
    <row r="9" spans="1:16" x14ac:dyDescent="0.3">
      <c r="B9" s="3">
        <v>10</v>
      </c>
      <c r="C9" s="3">
        <v>65</v>
      </c>
      <c r="D9" s="3">
        <f t="shared" si="0"/>
        <v>1.3300709438340121</v>
      </c>
    </row>
    <row r="10" spans="1:16" ht="15.6" x14ac:dyDescent="0.3">
      <c r="B10" s="34" t="s">
        <v>55</v>
      </c>
      <c r="C10" s="34"/>
      <c r="D10" s="9">
        <f>AVERAGE(D4:D9)</f>
        <v>1.3986112703403737</v>
      </c>
    </row>
    <row r="11" spans="1:16" ht="15.6" x14ac:dyDescent="0.3">
      <c r="B11" s="34" t="s">
        <v>59</v>
      </c>
      <c r="C11" s="34"/>
      <c r="D11" s="9">
        <f>_xlfn.STDEV.P(D4:D9)/SQRT(6)</f>
        <v>1.7248884176812387E-2</v>
      </c>
      <c r="F11" s="2" t="s">
        <v>19</v>
      </c>
      <c r="G11" s="4">
        <v>6.328E-7</v>
      </c>
    </row>
    <row r="12" spans="1:16" ht="15.6" x14ac:dyDescent="0.3">
      <c r="B12" s="34" t="s">
        <v>60</v>
      </c>
      <c r="C12" s="34"/>
      <c r="D12" s="6">
        <f>D11/D10</f>
        <v>1.2332865137440658E-2</v>
      </c>
      <c r="F12" s="5" t="s">
        <v>50</v>
      </c>
      <c r="G12" s="3">
        <v>1.0002899999999999</v>
      </c>
    </row>
    <row r="13" spans="1:16" x14ac:dyDescent="0.3">
      <c r="B13" s="34" t="s">
        <v>49</v>
      </c>
      <c r="C13" s="34"/>
      <c r="D13" s="6">
        <f>ABS(D10-G15)/G15</f>
        <v>7.8041351126978395E-2</v>
      </c>
      <c r="F13" s="2" t="s">
        <v>34</v>
      </c>
      <c r="G13" s="4">
        <v>5.4999999999999997E-3</v>
      </c>
    </row>
    <row r="14" spans="1:16" x14ac:dyDescent="0.3">
      <c r="F14" s="2" t="s">
        <v>35</v>
      </c>
      <c r="G14" s="4">
        <v>5.0000000000000001E-4</v>
      </c>
    </row>
    <row r="15" spans="1:16" ht="15.6" x14ac:dyDescent="0.3">
      <c r="B15" s="21" t="s">
        <v>57</v>
      </c>
      <c r="C15" s="21" t="s">
        <v>5</v>
      </c>
      <c r="D15" s="21" t="s">
        <v>79</v>
      </c>
      <c r="F15" s="2" t="s">
        <v>58</v>
      </c>
      <c r="G15" s="9">
        <v>1.5169999999999999</v>
      </c>
    </row>
    <row r="16" spans="1:16" x14ac:dyDescent="0.3">
      <c r="B16" s="22">
        <v>5</v>
      </c>
      <c r="C16" s="22">
        <v>19</v>
      </c>
      <c r="D16" s="22">
        <f t="shared" ref="D16:D21" si="1">(G$13*G$12*G$12*(SIN(RADIANS(B16))^2))/(G$13*G$12*(SIN(RADIANS(B16))^2)-C16*G$11)</f>
        <v>1.404309428324845</v>
      </c>
    </row>
    <row r="17" spans="2:4" x14ac:dyDescent="0.3">
      <c r="B17" s="22">
        <v>6</v>
      </c>
      <c r="C17" s="22">
        <v>28</v>
      </c>
      <c r="D17" s="22">
        <f t="shared" si="1"/>
        <v>1.4183657663638081</v>
      </c>
    </row>
    <row r="18" spans="2:4" x14ac:dyDescent="0.3">
      <c r="B18" s="22">
        <v>7</v>
      </c>
      <c r="C18" s="22">
        <v>37</v>
      </c>
      <c r="D18" s="22">
        <f t="shared" si="1"/>
        <v>1.4020337168286705</v>
      </c>
    </row>
    <row r="19" spans="2:4" x14ac:dyDescent="0.3">
      <c r="B19" s="22">
        <v>8</v>
      </c>
      <c r="C19" s="22">
        <v>45</v>
      </c>
      <c r="D19" s="22">
        <f t="shared" si="1"/>
        <v>1.3650741986505885</v>
      </c>
    </row>
    <row r="20" spans="2:4" x14ac:dyDescent="0.3">
      <c r="B20" s="22">
        <v>9</v>
      </c>
      <c r="C20" s="22">
        <v>58</v>
      </c>
      <c r="D20" s="23">
        <f t="shared" si="1"/>
        <v>1.375176031889934</v>
      </c>
    </row>
    <row r="21" spans="2:4" x14ac:dyDescent="0.3">
      <c r="B21" s="22">
        <v>10</v>
      </c>
      <c r="C21" s="22">
        <v>68</v>
      </c>
      <c r="D21" s="22">
        <f t="shared" si="1"/>
        <v>1.3506223460212641</v>
      </c>
    </row>
    <row r="22" spans="2:4" ht="15.6" x14ac:dyDescent="0.3">
      <c r="B22" s="35" t="s">
        <v>80</v>
      </c>
      <c r="C22" s="35"/>
      <c r="D22" s="24">
        <f>AVERAGE(D16:D21)</f>
        <v>1.385930248013185</v>
      </c>
    </row>
    <row r="23" spans="2:4" ht="15.6" x14ac:dyDescent="0.3">
      <c r="B23" s="35" t="s">
        <v>81</v>
      </c>
      <c r="C23" s="35"/>
      <c r="D23" s="24">
        <f>_xlfn.STDEV.P(D16:D21)/SQRT(6)</f>
        <v>9.7844189204701823E-3</v>
      </c>
    </row>
    <row r="24" spans="2:4" ht="15.6" x14ac:dyDescent="0.3">
      <c r="B24" s="35" t="s">
        <v>82</v>
      </c>
      <c r="C24" s="35"/>
      <c r="D24" s="25">
        <f>D23/D22</f>
        <v>7.0598206038844594E-3</v>
      </c>
    </row>
    <row r="25" spans="2:4" x14ac:dyDescent="0.3">
      <c r="B25" s="35" t="s">
        <v>49</v>
      </c>
      <c r="C25" s="35"/>
      <c r="D25" s="25">
        <f>ABS(D22-G15)/G15</f>
        <v>8.640062754569211E-2</v>
      </c>
    </row>
  </sheetData>
  <mergeCells count="9">
    <mergeCell ref="B12:C12"/>
    <mergeCell ref="B11:C11"/>
    <mergeCell ref="B10:C10"/>
    <mergeCell ref="A1:P2"/>
    <mergeCell ref="B25:C25"/>
    <mergeCell ref="B24:C24"/>
    <mergeCell ref="B23:C23"/>
    <mergeCell ref="B22:C22"/>
    <mergeCell ref="B13:C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85EA-2383-490B-AEDD-2F2B95FB59CC}">
  <dimension ref="A1:O29"/>
  <sheetViews>
    <sheetView zoomScale="115" zoomScaleNormal="115" workbookViewId="0">
      <selection activeCell="M9" sqref="M9"/>
    </sheetView>
  </sheetViews>
  <sheetFormatPr defaultRowHeight="14.4" x14ac:dyDescent="0.3"/>
  <cols>
    <col min="1" max="1" width="8.88671875" style="1"/>
    <col min="2" max="2" width="8.88671875" style="1" customWidth="1"/>
    <col min="3" max="3" width="13.5546875" style="1" bestFit="1" customWidth="1"/>
    <col min="4" max="4" width="8.88671875" style="1"/>
    <col min="5" max="5" width="10" style="1" customWidth="1"/>
    <col min="6" max="9" width="8.88671875" style="1"/>
    <col min="10" max="10" width="15.44140625" style="1" customWidth="1"/>
    <col min="11" max="16384" width="8.88671875" style="1"/>
  </cols>
  <sheetData>
    <row r="1" spans="1:15" x14ac:dyDescent="0.3">
      <c r="A1" s="32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6" x14ac:dyDescent="0.3">
      <c r="A3" s="2" t="s">
        <v>66</v>
      </c>
      <c r="B3" s="2" t="s">
        <v>26</v>
      </c>
      <c r="C3" s="2" t="s">
        <v>67</v>
      </c>
    </row>
    <row r="4" spans="1:15" x14ac:dyDescent="0.3">
      <c r="A4" s="10">
        <v>9.4999999999999998E-3</v>
      </c>
      <c r="B4" s="3">
        <v>1</v>
      </c>
      <c r="C4" s="31">
        <f>ABS(B4)*K$6*K$4/(K$5*A4)</f>
        <v>1.5582344278054102E-4</v>
      </c>
      <c r="J4" s="2" t="s">
        <v>19</v>
      </c>
      <c r="K4" s="4">
        <v>6.328E-7</v>
      </c>
    </row>
    <row r="5" spans="1:15" ht="15" x14ac:dyDescent="0.3">
      <c r="A5" s="10">
        <v>8.9999999999999993E-3</v>
      </c>
      <c r="B5" s="3">
        <v>-1</v>
      </c>
      <c r="C5" s="31">
        <f>ABS(B5)*K$6*K$4/(K$5*A5)</f>
        <v>1.6448030071279331E-4</v>
      </c>
      <c r="J5" s="5" t="s">
        <v>50</v>
      </c>
      <c r="K5" s="3">
        <v>1.0002899999999999</v>
      </c>
    </row>
    <row r="6" spans="1:15" x14ac:dyDescent="0.3">
      <c r="A6" s="10">
        <v>1.7000000000000001E-2</v>
      </c>
      <c r="B6" s="3">
        <v>2</v>
      </c>
      <c r="C6" s="31">
        <f t="shared" ref="C6:C11" si="0">ABS(B6)*K$6*K$4/(K$5*A6)</f>
        <v>1.7415561251942819E-4</v>
      </c>
      <c r="J6" s="2" t="s">
        <v>61</v>
      </c>
      <c r="K6" s="10">
        <v>2.34</v>
      </c>
    </row>
    <row r="7" spans="1:15" x14ac:dyDescent="0.3">
      <c r="A7" s="10">
        <v>1.7999999999999999E-2</v>
      </c>
      <c r="B7" s="3">
        <v>-2</v>
      </c>
      <c r="C7" s="31">
        <f>ABS(B7)*K$6*K$4/(K$5*A7)</f>
        <v>1.6448030071279331E-4</v>
      </c>
      <c r="J7" s="2" t="s">
        <v>62</v>
      </c>
      <c r="K7" s="10">
        <v>5.0000000000000001E-4</v>
      </c>
    </row>
    <row r="8" spans="1:15" x14ac:dyDescent="0.3">
      <c r="A8" s="10">
        <v>2.5499999999999998E-2</v>
      </c>
      <c r="B8" s="3">
        <v>3</v>
      </c>
      <c r="C8" s="31">
        <f t="shared" si="0"/>
        <v>1.7415561251942819E-4</v>
      </c>
      <c r="J8" s="2" t="s">
        <v>63</v>
      </c>
      <c r="K8" s="4">
        <v>1.6000000000000001E-4</v>
      </c>
    </row>
    <row r="9" spans="1:15" x14ac:dyDescent="0.3">
      <c r="A9" s="10">
        <v>2.7E-2</v>
      </c>
      <c r="B9" s="3">
        <v>-3</v>
      </c>
      <c r="C9" s="31">
        <f t="shared" si="0"/>
        <v>1.6448030071279329E-4</v>
      </c>
    </row>
    <row r="10" spans="1:15" x14ac:dyDescent="0.3">
      <c r="A10" s="10">
        <v>3.5000000000000003E-2</v>
      </c>
      <c r="B10" s="3">
        <v>4</v>
      </c>
      <c r="C10" s="31">
        <f t="shared" si="0"/>
        <v>1.6917973787601595E-4</v>
      </c>
    </row>
    <row r="11" spans="1:15" x14ac:dyDescent="0.3">
      <c r="A11" s="10">
        <v>3.5999999999999997E-2</v>
      </c>
      <c r="B11" s="3">
        <v>-4</v>
      </c>
      <c r="C11" s="31">
        <f t="shared" si="0"/>
        <v>1.6448030071279331E-4</v>
      </c>
    </row>
    <row r="12" spans="1:15" x14ac:dyDescent="0.3">
      <c r="A12" s="34" t="s">
        <v>64</v>
      </c>
      <c r="B12" s="34"/>
      <c r="C12" s="4">
        <f>AVERAGE(C4:C11)</f>
        <v>1.6640445106832331E-4</v>
      </c>
    </row>
    <row r="13" spans="1:15" x14ac:dyDescent="0.3">
      <c r="A13" s="34" t="s">
        <v>65</v>
      </c>
      <c r="B13" s="34"/>
      <c r="C13" s="15">
        <f>_xlfn.STDEV.P(C4:C11)/SQRT(COUNTA(C4:C11))</f>
        <v>1.9946427440772595E-6</v>
      </c>
    </row>
    <row r="14" spans="1:15" x14ac:dyDescent="0.3">
      <c r="A14" s="34" t="s">
        <v>68</v>
      </c>
      <c r="B14" s="34"/>
      <c r="C14" s="6">
        <f>C13/C12</f>
        <v>1.1986715086474985E-2</v>
      </c>
    </row>
    <row r="15" spans="1:15" x14ac:dyDescent="0.3">
      <c r="A15" s="34" t="s">
        <v>49</v>
      </c>
      <c r="B15" s="34"/>
      <c r="C15" s="6">
        <f>ABS(C12-K8)/K8</f>
        <v>4.0027819177020571E-2</v>
      </c>
    </row>
    <row r="16" spans="1:15" x14ac:dyDescent="0.3">
      <c r="O16" s="1" t="s">
        <v>83</v>
      </c>
    </row>
    <row r="29" spans="7:7" x14ac:dyDescent="0.3">
      <c r="G29" s="1" t="s">
        <v>83</v>
      </c>
    </row>
  </sheetData>
  <mergeCells count="5">
    <mergeCell ref="A1:O2"/>
    <mergeCell ref="A15:B15"/>
    <mergeCell ref="A14:B14"/>
    <mergeCell ref="A13:B13"/>
    <mergeCell ref="A12:B1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1A4E-52A8-4341-9391-645898D5A5C1}">
  <dimension ref="B1:P9"/>
  <sheetViews>
    <sheetView zoomScaleNormal="100" workbookViewId="0">
      <selection activeCell="G9" sqref="G9"/>
    </sheetView>
  </sheetViews>
  <sheetFormatPr defaultRowHeight="14.4" x14ac:dyDescent="0.3"/>
  <cols>
    <col min="1" max="10" width="8.88671875" style="1"/>
    <col min="11" max="11" width="11.88671875" style="1" customWidth="1"/>
    <col min="12" max="16384" width="8.88671875" style="1"/>
  </cols>
  <sheetData>
    <row r="1" spans="2:16" x14ac:dyDescent="0.3">
      <c r="B1" s="32" t="s">
        <v>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2:16" x14ac:dyDescent="0.3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6" x14ac:dyDescent="0.3">
      <c r="B3" s="26" t="s">
        <v>39</v>
      </c>
      <c r="C3" s="26" t="s">
        <v>26</v>
      </c>
      <c r="D3" s="26" t="s">
        <v>28</v>
      </c>
      <c r="E3" s="26" t="s">
        <v>40</v>
      </c>
      <c r="F3" s="26" t="s">
        <v>36</v>
      </c>
    </row>
    <row r="4" spans="2:16" x14ac:dyDescent="0.3">
      <c r="B4" s="27">
        <v>2.5000000000000001E-2</v>
      </c>
      <c r="C4" s="27">
        <v>1</v>
      </c>
      <c r="D4" s="28">
        <f>ABS(C4)*L$6*L$4/(L$5*B4)</f>
        <v>5.9491259534734934E-5</v>
      </c>
      <c r="E4" s="36">
        <f>AVERAGE(D4:D11)</f>
        <v>6.3111098077853726E-5</v>
      </c>
      <c r="F4" s="36">
        <f>_xlfn.STDEV.P(D4:D11)/SQRT(COUNTA(D4:D11))</f>
        <v>1.1165783691493025E-6</v>
      </c>
      <c r="G4" s="30">
        <f>F4/E4</f>
        <v>1.7692266545131154E-2</v>
      </c>
      <c r="K4" s="26" t="s">
        <v>19</v>
      </c>
      <c r="L4" s="28">
        <v>6.328E-7</v>
      </c>
    </row>
    <row r="5" spans="2:16" ht="15" x14ac:dyDescent="0.3">
      <c r="B5" s="27">
        <v>2.5000000000000001E-2</v>
      </c>
      <c r="C5" s="27">
        <v>-1</v>
      </c>
      <c r="D5" s="27">
        <f t="shared" ref="D5:D9" si="0">ABS(C5)*L$6*L$4/(L$5*B5)</f>
        <v>5.9491259534734934E-5</v>
      </c>
      <c r="E5" s="37"/>
      <c r="F5" s="37"/>
      <c r="K5" s="29" t="s">
        <v>50</v>
      </c>
      <c r="L5" s="27">
        <v>1.0002899999999999</v>
      </c>
    </row>
    <row r="6" spans="2:16" x14ac:dyDescent="0.3">
      <c r="B6" s="27">
        <v>4.4999999999999998E-2</v>
      </c>
      <c r="C6" s="27">
        <v>2</v>
      </c>
      <c r="D6" s="27">
        <f t="shared" si="0"/>
        <v>6.6101399483038822E-5</v>
      </c>
      <c r="E6" s="37"/>
      <c r="F6" s="37"/>
      <c r="K6" s="26" t="s">
        <v>37</v>
      </c>
      <c r="L6" s="28">
        <v>2.351</v>
      </c>
    </row>
    <row r="7" spans="2:16" x14ac:dyDescent="0.3">
      <c r="B7" s="27">
        <v>4.4999999999999998E-2</v>
      </c>
      <c r="C7" s="27">
        <v>-2</v>
      </c>
      <c r="D7" s="27">
        <f t="shared" si="0"/>
        <v>6.6101399483038822E-5</v>
      </c>
      <c r="E7" s="37"/>
      <c r="F7" s="37"/>
      <c r="K7" s="26" t="s">
        <v>38</v>
      </c>
      <c r="L7" s="28">
        <v>5.0000000000000001E-4</v>
      </c>
    </row>
    <row r="8" spans="2:16" x14ac:dyDescent="0.3">
      <c r="B8" s="27">
        <v>7.0000000000000007E-2</v>
      </c>
      <c r="C8" s="27">
        <v>3</v>
      </c>
      <c r="D8" s="27">
        <f t="shared" si="0"/>
        <v>6.3740635215787423E-5</v>
      </c>
      <c r="E8" s="37"/>
      <c r="F8" s="37"/>
    </row>
    <row r="9" spans="2:16" x14ac:dyDescent="0.3">
      <c r="B9" s="27">
        <v>7.0000000000000007E-2</v>
      </c>
      <c r="C9" s="27">
        <v>-3</v>
      </c>
      <c r="D9" s="27">
        <f t="shared" si="0"/>
        <v>6.3740635215787423E-5</v>
      </c>
      <c r="E9" s="38"/>
      <c r="F9" s="38"/>
      <c r="H9" s="1" t="s">
        <v>83</v>
      </c>
    </row>
  </sheetData>
  <mergeCells count="3">
    <mergeCell ref="B1:P2"/>
    <mergeCell ref="F4:F9"/>
    <mergeCell ref="E4:E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081-7852-47E0-A7A6-CA8790E2233F}">
  <dimension ref="B1:X19"/>
  <sheetViews>
    <sheetView topLeftCell="A2" zoomScale="115" zoomScaleNormal="115" workbookViewId="0">
      <selection activeCell="Q12" sqref="Q12"/>
    </sheetView>
  </sheetViews>
  <sheetFormatPr defaultRowHeight="14.4" x14ac:dyDescent="0.3"/>
  <cols>
    <col min="1" max="1" width="8.88671875" style="1"/>
    <col min="2" max="2" width="13.77734375" style="1" customWidth="1"/>
    <col min="3" max="12" width="8.88671875" style="1"/>
    <col min="13" max="13" width="16.44140625" style="1" customWidth="1"/>
    <col min="14" max="16384" width="8.88671875" style="1"/>
  </cols>
  <sheetData>
    <row r="1" spans="2:24" ht="14.4" customHeight="1" x14ac:dyDescent="0.3">
      <c r="B1" s="32" t="s">
        <v>41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2:24" ht="14.4" customHeight="1" x14ac:dyDescent="0.3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9" spans="2:24" x14ac:dyDescent="0.3"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M9" s="2" t="s">
        <v>19</v>
      </c>
      <c r="N9" s="4">
        <v>6.328E-7</v>
      </c>
    </row>
    <row r="10" spans="2:24" ht="15" x14ac:dyDescent="0.3">
      <c r="B10" s="2" t="s">
        <v>6</v>
      </c>
      <c r="C10" s="4">
        <v>4.4999999999999997E-3</v>
      </c>
      <c r="D10" s="4">
        <v>7.0000000000000001E-3</v>
      </c>
      <c r="E10" s="4">
        <v>1.2500000000000001E-2</v>
      </c>
      <c r="F10" s="44">
        <v>1.8499999999999999E-2</v>
      </c>
      <c r="M10" s="5" t="s">
        <v>50</v>
      </c>
      <c r="N10" s="3">
        <v>1.0002899999999999</v>
      </c>
    </row>
    <row r="11" spans="2:24" x14ac:dyDescent="0.3">
      <c r="B11" s="2" t="s">
        <v>7</v>
      </c>
      <c r="C11" s="4">
        <v>4.0000000000000001E-3</v>
      </c>
      <c r="D11" s="4">
        <v>8.0000000000000002E-3</v>
      </c>
      <c r="E11" s="4">
        <v>1.2E-2</v>
      </c>
      <c r="F11" s="45"/>
      <c r="M11" s="2" t="s">
        <v>61</v>
      </c>
      <c r="N11" s="10">
        <v>2.36</v>
      </c>
    </row>
    <row r="12" spans="2:24" x14ac:dyDescent="0.3">
      <c r="B12" s="2" t="s">
        <v>8</v>
      </c>
      <c r="C12" s="4">
        <v>4.4999999999999997E-3</v>
      </c>
      <c r="D12" s="4">
        <v>8.0000000000000002E-3</v>
      </c>
      <c r="E12" s="4">
        <v>1.35E-2</v>
      </c>
      <c r="F12" s="46"/>
      <c r="M12" s="2" t="s">
        <v>62</v>
      </c>
      <c r="N12" s="10">
        <v>5.0000000000000001E-4</v>
      </c>
    </row>
    <row r="13" spans="2:24" x14ac:dyDescent="0.3">
      <c r="B13" s="2" t="s">
        <v>16</v>
      </c>
      <c r="C13" s="14">
        <f>AVERAGE(C10:C12)</f>
        <v>4.333333333333334E-3</v>
      </c>
      <c r="D13" s="14">
        <f>AVERAGE(D10:D12)</f>
        <v>7.6666666666666662E-3</v>
      </c>
      <c r="E13" s="4">
        <f t="shared" ref="E13" si="0">AVERAGE(E10:E12)</f>
        <v>1.2666666666666666E-2</v>
      </c>
      <c r="F13" s="4">
        <f>AVERAGE(F10)</f>
        <v>1.8499999999999999E-2</v>
      </c>
      <c r="M13" s="2" t="s">
        <v>70</v>
      </c>
      <c r="N13" s="4">
        <v>4.0000000000000002E-4</v>
      </c>
    </row>
    <row r="14" spans="2:24" x14ac:dyDescent="0.3">
      <c r="B14" s="2" t="s">
        <v>17</v>
      </c>
      <c r="C14" s="15">
        <f>_xlfn.STDEV.P(C10:C12)/SQRT(3)</f>
        <v>1.3608276348795424E-4</v>
      </c>
      <c r="D14" s="15">
        <f>_xlfn.STDEV.P(D10:D12)/SQRT(3)</f>
        <v>2.721655269759087E-4</v>
      </c>
      <c r="E14" s="15">
        <f t="shared" ref="E14" si="1">_xlfn.STDEV.P(E10:E12)/SQRT(3)</f>
        <v>3.6004114991154771E-4</v>
      </c>
      <c r="F14" s="15">
        <f>N14</f>
        <v>5.0000000000000001E-4</v>
      </c>
      <c r="M14" s="2" t="s">
        <v>71</v>
      </c>
      <c r="N14" s="3">
        <f>0.5*10^-3</f>
        <v>5.0000000000000001E-4</v>
      </c>
    </row>
    <row r="15" spans="2:24" x14ac:dyDescent="0.3">
      <c r="B15" s="2" t="s">
        <v>74</v>
      </c>
      <c r="C15" s="4">
        <f>1.22*N$9*N$11/(N$10*C13)</f>
        <v>4.2032989509965184E-4</v>
      </c>
      <c r="D15" s="4">
        <f>2.23*N$9*N$11/(N$10*D13)</f>
        <v>4.3426099996218495E-4</v>
      </c>
      <c r="E15" s="4">
        <f>3.24*N$9*N$11/(N$10*E13)</f>
        <v>3.8188729899907981E-4</v>
      </c>
      <c r="F15" s="4">
        <f>4.24*N$9*N$11/(N$10*F13)</f>
        <v>3.4217373826455201E-4</v>
      </c>
    </row>
    <row r="16" spans="2:24" x14ac:dyDescent="0.3">
      <c r="B16" s="2" t="s">
        <v>72</v>
      </c>
      <c r="C16" s="40">
        <f>AVERAGE(C15:F15)</f>
        <v>3.9466298308136718E-4</v>
      </c>
      <c r="D16" s="41"/>
      <c r="E16" s="41"/>
      <c r="F16" s="42"/>
    </row>
    <row r="17" spans="2:6" x14ac:dyDescent="0.3">
      <c r="B17" s="2" t="s">
        <v>73</v>
      </c>
      <c r="C17" s="43">
        <f>_xlfn.STDEV.P(C15:F15)/SQRT(COUNTA(C15:F15))</f>
        <v>1.7932394288441141E-5</v>
      </c>
      <c r="D17" s="43"/>
      <c r="E17" s="43"/>
      <c r="F17" s="43"/>
    </row>
    <row r="18" spans="2:6" x14ac:dyDescent="0.3">
      <c r="B18" s="2" t="s">
        <v>69</v>
      </c>
      <c r="C18" s="39">
        <f>C17/C16</f>
        <v>4.5437233936743544E-2</v>
      </c>
      <c r="D18" s="39"/>
      <c r="E18" s="39"/>
      <c r="F18" s="39"/>
    </row>
    <row r="19" spans="2:6" x14ac:dyDescent="0.3">
      <c r="B19" s="2" t="s">
        <v>20</v>
      </c>
      <c r="C19" s="39">
        <f>ABS(C16-N13)/N13</f>
        <v>1.3342542296582105E-2</v>
      </c>
      <c r="D19" s="39"/>
      <c r="E19" s="39"/>
      <c r="F19" s="39"/>
    </row>
  </sheetData>
  <mergeCells count="6">
    <mergeCell ref="C19:F19"/>
    <mergeCell ref="C16:F16"/>
    <mergeCell ref="C17:F17"/>
    <mergeCell ref="B1:X2"/>
    <mergeCell ref="C18:F18"/>
    <mergeCell ref="F10:F1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3CB5-D16A-4426-8E5D-ED09DF9E09D0}">
  <dimension ref="B1:P22"/>
  <sheetViews>
    <sheetView workbookViewId="0">
      <selection activeCell="J10" sqref="J10"/>
    </sheetView>
  </sheetViews>
  <sheetFormatPr defaultRowHeight="14.4" x14ac:dyDescent="0.3"/>
  <cols>
    <col min="1" max="10" width="8.88671875" style="1"/>
    <col min="11" max="11" width="12.44140625" style="1" customWidth="1"/>
    <col min="12" max="16384" width="8.88671875" style="1"/>
  </cols>
  <sheetData>
    <row r="1" spans="2:16" x14ac:dyDescent="0.3">
      <c r="B1" s="32" t="s">
        <v>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2:16" x14ac:dyDescent="0.3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6" x14ac:dyDescent="0.3">
      <c r="B3" s="2" t="s">
        <v>39</v>
      </c>
      <c r="C3" s="2" t="s">
        <v>26</v>
      </c>
      <c r="D3" s="2" t="s">
        <v>28</v>
      </c>
      <c r="E3" s="2" t="s">
        <v>40</v>
      </c>
      <c r="F3" s="2" t="s">
        <v>36</v>
      </c>
    </row>
    <row r="4" spans="2:16" x14ac:dyDescent="0.3">
      <c r="B4" s="4">
        <v>5.0000000000000001E-3</v>
      </c>
      <c r="C4" s="3">
        <v>1</v>
      </c>
      <c r="D4" s="3">
        <f>ABS(C4)*L$6*L$4/(L$5*B4)</f>
        <v>2.9606454128302791E-4</v>
      </c>
      <c r="E4" s="47">
        <f>AVERAGE(D4:D11)</f>
        <v>1.8957961512035837E-4</v>
      </c>
      <c r="F4" s="47">
        <f>_xlfn.STDEV.P(D4:D11)/SQRT(COUNTA(D4:D11))</f>
        <v>1.8221275132366407E-5</v>
      </c>
      <c r="H4" s="48" t="s">
        <v>47</v>
      </c>
      <c r="I4" s="48"/>
      <c r="K4" s="2" t="s">
        <v>19</v>
      </c>
      <c r="L4" s="4">
        <v>6.328E-7</v>
      </c>
    </row>
    <row r="5" spans="2:16" ht="15" x14ac:dyDescent="0.3">
      <c r="B5" s="4">
        <v>6.0000000000000001E-3</v>
      </c>
      <c r="C5" s="3">
        <v>-1</v>
      </c>
      <c r="D5" s="3">
        <f t="shared" ref="D5:D11" si="0">ABS(C5)*L$6*L$4/(L$5*B5)</f>
        <v>2.4672045106918994E-4</v>
      </c>
      <c r="E5" s="47"/>
      <c r="F5" s="47"/>
      <c r="H5" s="48"/>
      <c r="I5" s="48"/>
      <c r="K5" s="5" t="s">
        <v>50</v>
      </c>
      <c r="L5" s="3">
        <v>1.0002899999999999</v>
      </c>
    </row>
    <row r="6" spans="2:16" x14ac:dyDescent="0.3">
      <c r="B6" s="4">
        <v>1.6E-2</v>
      </c>
      <c r="C6" s="3">
        <v>2</v>
      </c>
      <c r="D6" s="3">
        <f t="shared" si="0"/>
        <v>1.8504033830189247E-4</v>
      </c>
      <c r="E6" s="47"/>
      <c r="F6" s="47"/>
      <c r="H6" s="48"/>
      <c r="I6" s="48"/>
      <c r="K6" s="2" t="s">
        <v>37</v>
      </c>
      <c r="L6" s="10">
        <v>2.34</v>
      </c>
    </row>
    <row r="7" spans="2:16" x14ac:dyDescent="0.3">
      <c r="B7" s="4">
        <v>1.55E-2</v>
      </c>
      <c r="C7" s="3">
        <v>-2</v>
      </c>
      <c r="D7" s="3">
        <f t="shared" si="0"/>
        <v>1.9100938147292124E-4</v>
      </c>
      <c r="E7" s="47"/>
      <c r="F7" s="47"/>
      <c r="H7" s="48"/>
      <c r="I7" s="48"/>
      <c r="K7" s="2" t="s">
        <v>38</v>
      </c>
      <c r="L7" s="10">
        <v>5.0000000000000001E-4</v>
      </c>
    </row>
    <row r="8" spans="2:16" x14ac:dyDescent="0.3">
      <c r="B8" s="4">
        <v>2.9000000000000001E-2</v>
      </c>
      <c r="C8" s="3">
        <v>3</v>
      </c>
      <c r="D8" s="3">
        <f t="shared" si="0"/>
        <v>1.5313683169811788E-4</v>
      </c>
      <c r="E8" s="47"/>
      <c r="F8" s="47"/>
    </row>
    <row r="9" spans="2:16" x14ac:dyDescent="0.3">
      <c r="B9" s="4">
        <v>2.8000000000000001E-2</v>
      </c>
      <c r="C9" s="3">
        <v>-3</v>
      </c>
      <c r="D9" s="3">
        <f t="shared" si="0"/>
        <v>1.5860600425876496E-4</v>
      </c>
      <c r="E9" s="47"/>
      <c r="F9" s="47"/>
      <c r="K9" s="1">
        <v>5</v>
      </c>
    </row>
    <row r="10" spans="2:16" x14ac:dyDescent="0.3">
      <c r="B10" s="4">
        <v>5.1499999999999997E-2</v>
      </c>
      <c r="C10" s="3">
        <v>5</v>
      </c>
      <c r="D10" s="3">
        <f t="shared" si="0"/>
        <v>1.43720651108266E-4</v>
      </c>
      <c r="E10" s="47"/>
      <c r="F10" s="47"/>
    </row>
    <row r="11" spans="2:16" x14ac:dyDescent="0.3">
      <c r="B11" s="4">
        <v>5.1999999999999998E-2</v>
      </c>
      <c r="C11" s="3">
        <v>-5</v>
      </c>
      <c r="D11" s="3">
        <f t="shared" si="0"/>
        <v>1.4233872177068653E-4</v>
      </c>
      <c r="E11" s="47"/>
      <c r="F11" s="47"/>
    </row>
    <row r="22" spans="13:13" x14ac:dyDescent="0.3">
      <c r="M22" s="1" t="s">
        <v>83</v>
      </c>
    </row>
  </sheetData>
  <mergeCells count="4">
    <mergeCell ref="B1:P2"/>
    <mergeCell ref="E4:E11"/>
    <mergeCell ref="F4:F11"/>
    <mergeCell ref="H4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P1.1</vt:lpstr>
      <vt:lpstr>P1.2</vt:lpstr>
      <vt:lpstr>P1.3</vt:lpstr>
      <vt:lpstr>P2.1</vt:lpstr>
      <vt:lpstr>P2.2</vt:lpstr>
      <vt:lpstr>P2.3</vt:lpstr>
      <vt:lpstr>P2.1 FENDA MULTIPLA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2023-12-11T01:52:01Z</dcterms:modified>
</cp:coreProperties>
</file>