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3\"/>
    </mc:Choice>
  </mc:AlternateContent>
  <xr:revisionPtr revIDLastSave="0" documentId="13_ncr:1_{F3F7C4E2-461C-4E75-9A0B-062E565DECDF}" xr6:coauthVersionLast="47" xr6:coauthVersionMax="47" xr10:uidLastSave="{00000000-0000-0000-0000-000000000000}"/>
  <bookViews>
    <workbookView xWindow="-108" yWindow="-108" windowWidth="23256" windowHeight="12456" xr2:uid="{CAF38A1F-BD9D-416B-BE17-8DE3D13292B8}"/>
  </bookViews>
  <sheets>
    <sheet name="P1.1" sheetId="1" r:id="rId1"/>
    <sheet name="P1.2" sheetId="2" r:id="rId2"/>
    <sheet name="P1.3" sheetId="3" r:id="rId3"/>
    <sheet name="P2.1" sheetId="4" r:id="rId4"/>
    <sheet name="P2.2" sheetId="5" r:id="rId5"/>
    <sheet name="P2.3" sheetId="7" r:id="rId6"/>
    <sheet name="P2.1 FENDA MULTIPL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5" l="1"/>
  <c r="T21" i="2" a="1"/>
  <c r="T21" i="2" s="1"/>
  <c r="B8" i="1"/>
  <c r="B7" i="1"/>
  <c r="C7" i="1" s="1"/>
  <c r="D7" i="1" s="1"/>
  <c r="F13" i="7"/>
  <c r="F15" i="7" s="1"/>
  <c r="N14" i="7"/>
  <c r="F14" i="7" s="1"/>
  <c r="C5" i="1"/>
  <c r="D5" i="1"/>
  <c r="E5" i="1"/>
  <c r="F5" i="1"/>
  <c r="G5" i="1"/>
  <c r="H5" i="1"/>
  <c r="I5" i="1"/>
  <c r="J5" i="1"/>
  <c r="K5" i="1"/>
  <c r="B5" i="1"/>
  <c r="C4" i="4"/>
  <c r="D11" i="8"/>
  <c r="D10" i="8"/>
  <c r="D9" i="8"/>
  <c r="D8" i="8"/>
  <c r="D7" i="8"/>
  <c r="D6" i="8"/>
  <c r="D5" i="8"/>
  <c r="D4" i="8"/>
  <c r="AC5" i="2"/>
  <c r="AC7" i="2" s="1"/>
  <c r="D4" i="3"/>
  <c r="D13" i="7"/>
  <c r="E13" i="7"/>
  <c r="E15" i="7" s="1"/>
  <c r="D14" i="7"/>
  <c r="E14" i="7"/>
  <c r="C14" i="7"/>
  <c r="C13" i="7"/>
  <c r="C15" i="7" s="1"/>
  <c r="D9" i="5"/>
  <c r="D8" i="5"/>
  <c r="D7" i="5"/>
  <c r="D6" i="5"/>
  <c r="D5" i="5"/>
  <c r="C5" i="4"/>
  <c r="C6" i="4"/>
  <c r="C7" i="4"/>
  <c r="C8" i="4"/>
  <c r="C9" i="4"/>
  <c r="C10" i="4"/>
  <c r="C11" i="4"/>
  <c r="D20" i="3"/>
  <c r="D5" i="3"/>
  <c r="D6" i="3"/>
  <c r="D7" i="3"/>
  <c r="D8" i="3"/>
  <c r="D9" i="3"/>
  <c r="D16" i="3"/>
  <c r="D22" i="3" s="1"/>
  <c r="D25" i="3" s="1"/>
  <c r="D17" i="3"/>
  <c r="D18" i="3"/>
  <c r="D19" i="3"/>
  <c r="D21" i="3"/>
  <c r="AC6" i="2"/>
  <c r="G21" i="2" a="1"/>
  <c r="G21" i="2" s="1"/>
  <c r="F4" i="8" l="1"/>
  <c r="E4" i="5"/>
  <c r="U23" i="2"/>
  <c r="U21" i="2"/>
  <c r="T23" i="2"/>
  <c r="U22" i="2"/>
  <c r="T22" i="2"/>
  <c r="N9" i="1"/>
  <c r="N10" i="1"/>
  <c r="C8" i="1"/>
  <c r="C9" i="1" s="1"/>
  <c r="D9" i="1" s="1"/>
  <c r="AC8" i="2"/>
  <c r="AC9" i="2" s="1"/>
  <c r="D23" i="3"/>
  <c r="D24" i="3" s="1"/>
  <c r="D11" i="3"/>
  <c r="D10" i="3"/>
  <c r="D13" i="3" s="1"/>
  <c r="AC10" i="2"/>
  <c r="P21" i="2"/>
  <c r="Q21" i="2" s="1"/>
  <c r="D15" i="7"/>
  <c r="C16" i="7"/>
  <c r="C19" i="7" s="1"/>
  <c r="C17" i="7"/>
  <c r="C18" i="7" s="1"/>
  <c r="E4" i="8"/>
  <c r="F4" i="5"/>
  <c r="C13" i="4"/>
  <c r="C12" i="4"/>
  <c r="C15" i="4" s="1"/>
  <c r="H21" i="2"/>
  <c r="C9" i="2" s="1"/>
  <c r="D9" i="2" s="1"/>
  <c r="H23" i="2"/>
  <c r="G23" i="2"/>
  <c r="H22" i="2"/>
  <c r="G22" i="2"/>
  <c r="C14" i="4" l="1"/>
  <c r="D8" i="1"/>
  <c r="C10" i="1"/>
  <c r="C11" i="1"/>
  <c r="D10" i="1"/>
  <c r="C7" i="2"/>
  <c r="D7" i="2" s="1"/>
  <c r="C4" i="2"/>
  <c r="D4" i="2" s="1"/>
  <c r="C18" i="2"/>
  <c r="D18" i="2" s="1"/>
  <c r="C13" i="2"/>
  <c r="D13" i="2" s="1"/>
  <c r="C14" i="2"/>
  <c r="D14" i="2" s="1"/>
  <c r="C16" i="2"/>
  <c r="D16" i="2" s="1"/>
  <c r="D12" i="3"/>
  <c r="C15" i="2"/>
  <c r="D15" i="2" s="1"/>
  <c r="C5" i="2"/>
  <c r="D5" i="2" s="1"/>
  <c r="C19" i="2"/>
  <c r="D19" i="2" s="1"/>
  <c r="C11" i="2"/>
  <c r="D11" i="2" s="1"/>
  <c r="C8" i="2"/>
  <c r="D8" i="2" s="1"/>
  <c r="C12" i="2"/>
  <c r="D12" i="2" s="1"/>
  <c r="C10" i="2"/>
  <c r="D10" i="2" s="1"/>
  <c r="C17" i="2"/>
  <c r="D17" i="2" s="1"/>
  <c r="C6" i="2"/>
  <c r="D6" i="2" s="1"/>
  <c r="P20" i="2"/>
  <c r="Q20" i="2" s="1"/>
  <c r="P17" i="2"/>
  <c r="Q17" i="2" s="1"/>
  <c r="P11" i="2"/>
  <c r="Q11" i="2" s="1"/>
  <c r="P5" i="2"/>
  <c r="Q5" i="2" s="1"/>
  <c r="P9" i="2"/>
  <c r="Q9" i="2" s="1"/>
  <c r="P14" i="2"/>
  <c r="Q14" i="2" s="1"/>
  <c r="P19" i="2"/>
  <c r="Q19" i="2" s="1"/>
  <c r="P16" i="2"/>
  <c r="Q16" i="2" s="1"/>
  <c r="P10" i="2"/>
  <c r="Q10" i="2" s="1"/>
  <c r="P4" i="2"/>
  <c r="Q4" i="2" s="1"/>
  <c r="P15" i="2"/>
  <c r="Q15" i="2" s="1"/>
  <c r="P8" i="2"/>
  <c r="Q8" i="2" s="1"/>
  <c r="P18" i="2"/>
  <c r="Q18" i="2" s="1"/>
  <c r="P7" i="2"/>
  <c r="Q7" i="2" s="1"/>
  <c r="P12" i="2"/>
  <c r="Q12" i="2" s="1"/>
  <c r="P13" i="2"/>
  <c r="Q13" i="2" s="1"/>
  <c r="P6" i="2"/>
  <c r="Q6" i="2" s="1"/>
  <c r="N12" i="1"/>
  <c r="N11" i="1"/>
  <c r="C12" i="1" l="1"/>
  <c r="D11" i="1"/>
  <c r="N14" i="1"/>
  <c r="C13" i="1" l="1"/>
  <c r="D12" i="1"/>
  <c r="N13" i="1"/>
  <c r="C14" i="1" l="1"/>
  <c r="D13" i="1"/>
  <c r="C15" i="1" l="1"/>
  <c r="D14" i="1"/>
  <c r="C16" i="1" l="1"/>
  <c r="D16" i="1" s="1"/>
  <c r="D15" i="1"/>
  <c r="G9" i="1" l="1" a="1"/>
  <c r="G9" i="1" s="1"/>
  <c r="H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<sst xmlns="http://schemas.openxmlformats.org/spreadsheetml/2006/main" count="139" uniqueCount="86">
  <si>
    <t>Determinação do n do ar - Método 1</t>
  </si>
  <si>
    <t>Determinação do n do ar - Método 2</t>
  </si>
  <si>
    <t>Determinação do n do vidro</t>
  </si>
  <si>
    <t>Determinação da largura de fenda</t>
  </si>
  <si>
    <t>Determinação de diâmetro de fio</t>
  </si>
  <si>
    <t>N</t>
  </si>
  <si>
    <t>Ensaio 1</t>
  </si>
  <si>
    <t>Ensaio 2</t>
  </si>
  <si>
    <t>Ensaio 3</t>
  </si>
  <si>
    <t>Ensaio 4</t>
  </si>
  <si>
    <t>Ensaio 5</t>
  </si>
  <si>
    <t>Ensaio 6</t>
  </si>
  <si>
    <t>Ensaio 7</t>
  </si>
  <si>
    <t>Ensaio 8</t>
  </si>
  <si>
    <t>Ensaio 9</t>
  </si>
  <si>
    <t>Ensaio 10</t>
  </si>
  <si>
    <t>Média</t>
  </si>
  <si>
    <t>u(Média)</t>
  </si>
  <si>
    <t>u(microm)</t>
  </si>
  <si>
    <t>λ0 (m)</t>
  </si>
  <si>
    <t>erro %</t>
  </si>
  <si>
    <r>
      <t>n</t>
    </r>
    <r>
      <rPr>
        <vertAlign val="subscript"/>
        <sz val="11"/>
        <color theme="1"/>
        <rFont val="Calibri"/>
        <family val="2"/>
        <scheme val="minor"/>
      </rPr>
      <t>a</t>
    </r>
  </si>
  <si>
    <r>
      <t>u(n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</si>
  <si>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t>ajuste</t>
  </si>
  <si>
    <t>resíduos</t>
  </si>
  <si>
    <t>Regressão Linear</t>
  </si>
  <si>
    <t>m</t>
  </si>
  <si>
    <t>u(m)</t>
  </si>
  <si>
    <t>b</t>
  </si>
  <si>
    <t>u(b)</t>
  </si>
  <si>
    <t>sy</t>
  </si>
  <si>
    <t>dc</t>
  </si>
  <si>
    <t>u(dc)</t>
  </si>
  <si>
    <t>u(%)</t>
  </si>
  <si>
    <t>h</t>
  </si>
  <si>
    <t>u(h)</t>
  </si>
  <si>
    <t>u(medio)</t>
  </si>
  <si>
    <t>d</t>
  </si>
  <si>
    <t>u(d)</t>
  </si>
  <si>
    <t>Ymin|m</t>
  </si>
  <si>
    <t>b medio</t>
  </si>
  <si>
    <t>Determinação de diâmetro de orifício circular</t>
  </si>
  <si>
    <t>Zeros</t>
  </si>
  <si>
    <t>1º</t>
  </si>
  <si>
    <t xml:space="preserve">2º </t>
  </si>
  <si>
    <t>3º</t>
  </si>
  <si>
    <t>4º</t>
  </si>
  <si>
    <t>2 fendas, largura ,04mm, distanciamento ,125mm</t>
  </si>
  <si>
    <t>p (bar)</t>
  </si>
  <si>
    <t>erro (%)</t>
  </si>
  <si>
    <r>
      <t>n</t>
    </r>
    <r>
      <rPr>
        <vertAlign val="subscript"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(referência)</t>
    </r>
  </si>
  <si>
    <t>Δd (μm)</t>
  </si>
  <si>
    <t>Δd (m)</t>
  </si>
  <si>
    <t>Média de Δd (m)</t>
  </si>
  <si>
    <t>u(Média Δd) (m)</t>
  </si>
  <si>
    <r>
      <t>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</t>
    </r>
  </si>
  <si>
    <r>
      <t>n</t>
    </r>
    <r>
      <rPr>
        <vertAlign val="subscript"/>
        <sz val="11"/>
        <color theme="1"/>
        <rFont val="Calibri"/>
        <family val="2"/>
        <scheme val="minor"/>
      </rPr>
      <t>v</t>
    </r>
  </si>
  <si>
    <t>i (°)</t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</si>
  <si>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v-normal </t>
    </r>
    <r>
      <rPr>
        <sz val="11"/>
        <color theme="1"/>
        <rFont val="Calibri"/>
        <family val="2"/>
        <scheme val="minor"/>
      </rPr>
      <t>(ref)</t>
    </r>
  </si>
  <si>
    <r>
      <t>u(n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médio)</t>
    </r>
  </si>
  <si>
    <r>
      <t>u(n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médio) (%)</t>
    </r>
  </si>
  <si>
    <t>d (m)</t>
  </si>
  <si>
    <t>u(d) (m)</t>
  </si>
  <si>
    <t>b (referência) (m)</t>
  </si>
  <si>
    <t>b médio</t>
  </si>
  <si>
    <t>u(b médio)</t>
  </si>
  <si>
    <r>
      <t>Y</t>
    </r>
    <r>
      <rPr>
        <vertAlign val="subscript"/>
        <sz val="11"/>
        <color theme="1"/>
        <rFont val="Calibri"/>
        <family val="2"/>
        <scheme val="minor"/>
      </rPr>
      <t>min|m</t>
    </r>
    <r>
      <rPr>
        <sz val="11"/>
        <color theme="1"/>
        <rFont val="Calibri"/>
        <family val="2"/>
        <scheme val="minor"/>
      </rPr>
      <t xml:space="preserve"> (m)</t>
    </r>
  </si>
  <si>
    <t>b (m)</t>
  </si>
  <si>
    <t>u(b médio) (%)</t>
  </si>
  <si>
    <t>u(D médio) (%)</t>
  </si>
  <si>
    <t>D (referência) (m)</t>
  </si>
  <si>
    <t>u(D) (m)</t>
  </si>
  <si>
    <t>D médio (m)</t>
  </si>
  <si>
    <t>u(D médio) (m)</t>
  </si>
  <si>
    <t>D (m)</t>
  </si>
  <si>
    <r>
      <t>u(n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(%)</t>
    </r>
  </si>
  <si>
    <t>n</t>
  </si>
  <si>
    <t>Média de N</t>
  </si>
  <si>
    <t>u(Média de N)</t>
  </si>
  <si>
    <r>
      <t>n</t>
    </r>
    <r>
      <rPr>
        <vertAlign val="subscript"/>
        <sz val="11"/>
        <color rgb="FFFF0000"/>
        <rFont val="Calibri"/>
        <family val="2"/>
        <scheme val="minor"/>
      </rPr>
      <t>v</t>
    </r>
  </si>
  <si>
    <r>
      <t>n</t>
    </r>
    <r>
      <rPr>
        <vertAlign val="subscript"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 xml:space="preserve"> médio</t>
    </r>
  </si>
  <si>
    <r>
      <t>u(n</t>
    </r>
    <r>
      <rPr>
        <vertAlign val="subscript"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 xml:space="preserve"> médio)</t>
    </r>
  </si>
  <si>
    <r>
      <t>u(n</t>
    </r>
    <r>
      <rPr>
        <vertAlign val="subscript"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 xml:space="preserve"> médio) (%)</t>
    </r>
  </si>
  <si>
    <t xml:space="preserve"> </t>
  </si>
  <si>
    <t>\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</si>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</sst>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"/>
    <numFmt numFmtId="165" formatCode="0.0000"/>
    <numFmt numFmtId="166" formatCode="0.00000"/>
    <numFmt numFmtId="167" formatCode="0.0000%"/>
    <numFmt numFmtId="168" formatCode="0.0"/>
    <numFmt numFmtId="169" formatCode="0.0E+00"/>
    <numFmt numFmtId="170" formatCode="0E+00"/>
    <numFmt numFmtId="171" formatCode="0.000E+00"/>
    <numFmt numFmtId="172" formatCode="0.000000"/>
    <numFmt numFmtId="173" formatCode="0.00000%"/>
  </numFmts>
  <fonts count="9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2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'P1.1'!$E$7:$E$16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'P1.1'!$C$7:$C$16</c:f>
              <c:numCache>
                <c:formatCode>0.0</c:formatCode>
                <c:ptCount val="10"/>
                <c:pt idx="0">
                  <c:v>12</c:v>
                </c:pt>
                <c:pt idx="1">
                  <c:v>22.5</c:v>
                </c:pt>
                <c:pt idx="2">
                  <c:v>34</c:v>
                </c:pt>
                <c:pt idx="3">
                  <c:v>44.7</c:v>
                </c:pt>
                <c:pt idx="4">
                  <c:v>56</c:v>
                </c:pt>
                <c:pt idx="5">
                  <c:v>66</c:v>
                </c:pt>
                <c:pt idx="6">
                  <c:v>77.099999999999994</c:v>
                </c:pt>
                <c:pt idx="7">
                  <c:v>88.1</c:v>
                </c:pt>
                <c:pt idx="8">
                  <c:v>100.1</c:v>
                </c:pt>
                <c:pt idx="9">
                  <c:v>111.1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EA-4EB3-AA95-B8FFD33A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77712"/>
        <c:axId val="1988631632"/>
      </c:scatterChart>
      <c:valAx>
        <c:axId val="27557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31632"/>
        <c:crosses val="autoZero"/>
        <c:crossBetween val="midCat"/>
      </c:valAx>
      <c:valAx>
        <c:axId val="19886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57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83252860817815"/>
          <c:y val="4.9724840458721442E-2"/>
          <c:w val="0.85544787755965668"/>
          <c:h val="0.8073014717057827"/>
        </c:manualLayout>
      </c:layout>
      <c:scatterChart>
        <c:scatterStyle val="lineMarker"/>
        <c:varyColors val="0"/>
        <c:ser>
          <c:idx val="0"/>
          <c:order val="0"/>
          <c:tx>
            <c:v>N(p)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'P1.2'!$A$4:$A$19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1.3</c:v>
                </c:pt>
                <c:pt idx="10">
                  <c:v>1.5</c:v>
                </c:pt>
                <c:pt idx="11">
                  <c:v>1.7</c:v>
                </c:pt>
                <c:pt idx="12">
                  <c:v>1.8</c:v>
                </c:pt>
                <c:pt idx="13">
                  <c:v>1.85</c:v>
                </c:pt>
                <c:pt idx="14">
                  <c:v>1.92</c:v>
                </c:pt>
                <c:pt idx="15">
                  <c:v>1.98</c:v>
                </c:pt>
              </c:numCache>
            </c:numRef>
          </c:xVal>
          <c:yVal>
            <c:numRef>
              <c:f>'P1.2'!$B$4:$B$19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28</c:v>
                </c:pt>
                <c:pt idx="9">
                  <c:v>32</c:v>
                </c:pt>
                <c:pt idx="10">
                  <c:v>37</c:v>
                </c:pt>
                <c:pt idx="11">
                  <c:v>43</c:v>
                </c:pt>
                <c:pt idx="12">
                  <c:v>46</c:v>
                </c:pt>
                <c:pt idx="13">
                  <c:v>49</c:v>
                </c:pt>
                <c:pt idx="14">
                  <c:v>54</c:v>
                </c:pt>
                <c:pt idx="15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7-4176-A5D8-48795EE2CEF0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'P1.2'!$A$4:$A$19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1.3</c:v>
                </c:pt>
                <c:pt idx="10">
                  <c:v>1.5</c:v>
                </c:pt>
                <c:pt idx="11">
                  <c:v>1.7</c:v>
                </c:pt>
                <c:pt idx="12">
                  <c:v>1.8</c:v>
                </c:pt>
                <c:pt idx="13">
                  <c:v>1.85</c:v>
                </c:pt>
                <c:pt idx="14">
                  <c:v>1.92</c:v>
                </c:pt>
                <c:pt idx="15">
                  <c:v>1.98</c:v>
                </c:pt>
              </c:numCache>
            </c:numRef>
          </c:xVal>
          <c:yVal>
            <c:numRef>
              <c:f>'P1.2'!$C$4:$C$19</c:f>
              <c:numCache>
                <c:formatCode>0.00</c:formatCode>
                <c:ptCount val="16"/>
                <c:pt idx="0">
                  <c:v>1.8435076018527372</c:v>
                </c:pt>
                <c:pt idx="1">
                  <c:v>4.9247170363203114</c:v>
                </c:pt>
                <c:pt idx="2">
                  <c:v>8.0059264707878839</c:v>
                </c:pt>
                <c:pt idx="3">
                  <c:v>11.087135905255455</c:v>
                </c:pt>
                <c:pt idx="4">
                  <c:v>14.168345339723029</c:v>
                </c:pt>
                <c:pt idx="5">
                  <c:v>17.249554774190603</c:v>
                </c:pt>
                <c:pt idx="6">
                  <c:v>20.330764208658177</c:v>
                </c:pt>
                <c:pt idx="7">
                  <c:v>23.411973643125748</c:v>
                </c:pt>
                <c:pt idx="8">
                  <c:v>26.493183077593322</c:v>
                </c:pt>
                <c:pt idx="9">
                  <c:v>32.655601946528471</c:v>
                </c:pt>
                <c:pt idx="10">
                  <c:v>38.818020815463612</c:v>
                </c:pt>
                <c:pt idx="11">
                  <c:v>44.980439684398753</c:v>
                </c:pt>
                <c:pt idx="12">
                  <c:v>48.061649118866335</c:v>
                </c:pt>
                <c:pt idx="13">
                  <c:v>49.602253836100118</c:v>
                </c:pt>
                <c:pt idx="14">
                  <c:v>51.759100440227414</c:v>
                </c:pt>
                <c:pt idx="15">
                  <c:v>53.607826100907964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D-472B-A743-E9FC38C43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304288"/>
        <c:axId val="1002524704"/>
      </c:scatterChart>
      <c:valAx>
        <c:axId val="101030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4704"/>
        <c:crosses val="autoZero"/>
        <c:crossBetween val="midCat"/>
      </c:valAx>
      <c:valAx>
        <c:axId val="10025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</a:t>
                </a:r>
                <a:r>
                  <a:rPr lang="en-US" sz="1400" baseline="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27559055118113"/>
          <c:y val="0.1373155019339149"/>
          <c:w val="0.83527296587926514"/>
          <c:h val="0.7290276957307265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'P1.2'!$A$4:$A$19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1.3</c:v>
                </c:pt>
                <c:pt idx="10">
                  <c:v>1.5</c:v>
                </c:pt>
                <c:pt idx="11">
                  <c:v>1.7</c:v>
                </c:pt>
                <c:pt idx="12">
                  <c:v>1.8</c:v>
                </c:pt>
                <c:pt idx="13">
                  <c:v>1.85</c:v>
                </c:pt>
                <c:pt idx="14">
                  <c:v>1.92</c:v>
                </c:pt>
                <c:pt idx="15">
                  <c:v>1.98</c:v>
                </c:pt>
              </c:numCache>
            </c:numRef>
          </c:xVal>
          <c:yVal>
            <c:numRef>
              <c:f>'P1.2'!$D$4:$D$19</c:f>
              <c:numCache>
                <c:formatCode>0.00</c:formatCode>
                <c:ptCount val="16"/>
                <c:pt idx="0">
                  <c:v>1.1564923981472628</c:v>
                </c:pt>
                <c:pt idx="1">
                  <c:v>7.5282963679688564E-2</c:v>
                </c:pt>
                <c:pt idx="2">
                  <c:v>-5.9264707878838863E-3</c:v>
                </c:pt>
                <c:pt idx="3">
                  <c:v>-8.713590525545456E-2</c:v>
                </c:pt>
                <c:pt idx="4">
                  <c:v>-0.16834533972302879</c:v>
                </c:pt>
                <c:pt idx="5">
                  <c:v>0.75044522580939699</c:v>
                </c:pt>
                <c:pt idx="6">
                  <c:v>-0.33076420865817724</c:v>
                </c:pt>
                <c:pt idx="7">
                  <c:v>-1.4119736431257479</c:v>
                </c:pt>
                <c:pt idx="8">
                  <c:v>1.5068169224066779</c:v>
                </c:pt>
                <c:pt idx="9">
                  <c:v>-0.65560194652847059</c:v>
                </c:pt>
                <c:pt idx="10">
                  <c:v>-1.8180208154636119</c:v>
                </c:pt>
                <c:pt idx="11">
                  <c:v>-1.9804396843987533</c:v>
                </c:pt>
                <c:pt idx="12">
                  <c:v>-2.0616491188663346</c:v>
                </c:pt>
                <c:pt idx="13">
                  <c:v>-0.60225383610011818</c:v>
                </c:pt>
                <c:pt idx="14">
                  <c:v>2.2408995597725863</c:v>
                </c:pt>
                <c:pt idx="15">
                  <c:v>3.392173899092036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C-4304-9CAB-6BD0F9430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33424"/>
        <c:axId val="657846512"/>
      </c:scatterChart>
      <c:valAx>
        <c:axId val="7295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46512"/>
        <c:crossesAt val="-20"/>
        <c:crossBetween val="midCat"/>
      </c:valAx>
      <c:valAx>
        <c:axId val="6578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- N</a:t>
                </a:r>
                <a:r>
                  <a:rPr lang="en-US" sz="1400" baseline="-25000"/>
                  <a:t>ajuste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3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05314960629921"/>
          <c:y val="4.9724840458721442E-2"/>
          <c:w val="0.85749540682414693"/>
          <c:h val="0.788225214729800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'P1.2'!$N$4:$N$21</c:f>
              <c:numCache>
                <c:formatCode>0.0</c:formatCode>
                <c:ptCount val="1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</c:numCache>
            </c:numRef>
          </c:xVal>
          <c:yVal>
            <c:numRef>
              <c:f>'P1.2'!$O$4:$O$21</c:f>
              <c:numCache>
                <c:formatCode>General</c:formatCode>
                <c:ptCount val="18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21</c:v>
                </c:pt>
                <c:pt idx="8">
                  <c:v>22</c:v>
                </c:pt>
                <c:pt idx="9">
                  <c:v>24</c:v>
                </c:pt>
                <c:pt idx="10">
                  <c:v>27</c:v>
                </c:pt>
                <c:pt idx="11">
                  <c:v>30</c:v>
                </c:pt>
                <c:pt idx="12">
                  <c:v>33</c:v>
                </c:pt>
                <c:pt idx="13">
                  <c:v>35</c:v>
                </c:pt>
                <c:pt idx="14">
                  <c:v>38</c:v>
                </c:pt>
                <c:pt idx="15">
                  <c:v>39</c:v>
                </c:pt>
                <c:pt idx="16">
                  <c:v>42</c:v>
                </c:pt>
                <c:pt idx="17">
                  <c:v>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N(p)</c:v>
                </c15:tx>
              </c15:filteredSeriesTitle>
            </c:ext>
            <c:ext xmlns:c16="http://schemas.microsoft.com/office/drawing/2014/chart" uri="{C3380CC4-5D6E-409C-BE32-E72D297353CC}">
              <c16:uniqueId val="{00000000-49EE-4463-99F7-959DF4B2D737}"/>
            </c:ext>
          </c:extLst>
        </c:ser>
        <c:ser>
          <c:idx val="2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34F-4F50-81C7-45D749D1AD4C}"/>
              </c:ext>
            </c:extLst>
          </c:dPt>
          <c:xVal>
            <c:numRef>
              <c:f>'P1.2'!$N$4:$N$21</c:f>
              <c:numCache>
                <c:formatCode>0.0</c:formatCode>
                <c:ptCount val="1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</c:numCache>
            </c:numRef>
          </c:xVal>
          <c:yVal>
            <c:numRef>
              <c:f>'P1.2'!$P$4:$P$21</c:f>
              <c:numCache>
                <c:formatCode>0.00</c:formatCode>
                <c:ptCount val="18"/>
                <c:pt idx="0">
                  <c:v>4.730994152046792</c:v>
                </c:pt>
                <c:pt idx="1">
                  <c:v>7.0436876504988035</c:v>
                </c:pt>
                <c:pt idx="2">
                  <c:v>9.3563811489508151</c:v>
                </c:pt>
                <c:pt idx="3">
                  <c:v>11.669074647402827</c:v>
                </c:pt>
                <c:pt idx="4">
                  <c:v>13.981768145854836</c:v>
                </c:pt>
                <c:pt idx="5">
                  <c:v>16.29446164430685</c:v>
                </c:pt>
                <c:pt idx="6">
                  <c:v>18.607155142758863</c:v>
                </c:pt>
                <c:pt idx="7">
                  <c:v>20.919848641210873</c:v>
                </c:pt>
                <c:pt idx="8">
                  <c:v>23.232542139662886</c:v>
                </c:pt>
                <c:pt idx="9">
                  <c:v>25.545235638114896</c:v>
                </c:pt>
                <c:pt idx="10">
                  <c:v>27.857929136566909</c:v>
                </c:pt>
                <c:pt idx="11">
                  <c:v>30.170622635018916</c:v>
                </c:pt>
                <c:pt idx="12">
                  <c:v>32.483316133470929</c:v>
                </c:pt>
                <c:pt idx="13">
                  <c:v>34.796009631922942</c:v>
                </c:pt>
                <c:pt idx="14">
                  <c:v>37.108703130374955</c:v>
                </c:pt>
                <c:pt idx="15">
                  <c:v>39.421396628826969</c:v>
                </c:pt>
                <c:pt idx="16">
                  <c:v>41.734090127278975</c:v>
                </c:pt>
                <c:pt idx="17">
                  <c:v>44.046783625730988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ajuste</c:v>
                </c15:tx>
              </c15:filteredSeriesTitle>
            </c:ext>
            <c:ext xmlns:c16="http://schemas.microsoft.com/office/drawing/2014/chart" uri="{C3380CC4-5D6E-409C-BE32-E72D297353CC}">
              <c16:uniqueId val="{00000002-49EE-4463-99F7-959DF4B2D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304288"/>
        <c:axId val="1002524704"/>
      </c:scatterChart>
      <c:valAx>
        <c:axId val="101030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4704"/>
        <c:crosses val="autoZero"/>
        <c:crossBetween val="midCat"/>
      </c:valAx>
      <c:valAx>
        <c:axId val="10025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38670166229223"/>
          <c:y val="0.15100598069103502"/>
          <c:w val="0.82416185476815396"/>
          <c:h val="0.66970228778320595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'P1.2'!$N$4:$N$21</c:f>
              <c:numCache>
                <c:formatCode>0.0</c:formatCode>
                <c:ptCount val="1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</c:numCache>
            </c:numRef>
          </c:xVal>
          <c:yVal>
            <c:numRef>
              <c:f>'P1.2'!$Q$4:$Q$21</c:f>
              <c:numCache>
                <c:formatCode>0.00</c:formatCode>
                <c:ptCount val="18"/>
                <c:pt idx="0">
                  <c:v>0.26900584795320803</c:v>
                </c:pt>
                <c:pt idx="1">
                  <c:v>0.95631234950119648</c:v>
                </c:pt>
                <c:pt idx="2">
                  <c:v>0.64361885104918493</c:v>
                </c:pt>
                <c:pt idx="3">
                  <c:v>0.33092535259717337</c:v>
                </c:pt>
                <c:pt idx="4">
                  <c:v>1.8231854145163595E-2</c:v>
                </c:pt>
                <c:pt idx="5">
                  <c:v>-0.29446164430684973</c:v>
                </c:pt>
                <c:pt idx="6">
                  <c:v>-0.60715514275886306</c:v>
                </c:pt>
                <c:pt idx="7">
                  <c:v>8.0151358789127158E-2</c:v>
                </c:pt>
                <c:pt idx="8">
                  <c:v>-1.2325421396628862</c:v>
                </c:pt>
                <c:pt idx="9">
                  <c:v>-1.5452356381148959</c:v>
                </c:pt>
                <c:pt idx="10">
                  <c:v>-0.85792913656690928</c:v>
                </c:pt>
                <c:pt idx="11">
                  <c:v>-0.1706226350189155</c:v>
                </c:pt>
                <c:pt idx="12">
                  <c:v>0.51668386652907117</c:v>
                </c:pt>
                <c:pt idx="13">
                  <c:v>0.20399036807705784</c:v>
                </c:pt>
                <c:pt idx="14">
                  <c:v>0.89129686962504451</c:v>
                </c:pt>
                <c:pt idx="15">
                  <c:v>-0.42139662882696882</c:v>
                </c:pt>
                <c:pt idx="16">
                  <c:v>0.26590987272102495</c:v>
                </c:pt>
                <c:pt idx="17">
                  <c:v>0.95321637426901162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5D-4C9C-A941-F874A12DF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33424"/>
        <c:axId val="657846512"/>
      </c:scatterChart>
      <c:valAx>
        <c:axId val="7295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46512"/>
        <c:crossesAt val="-20"/>
        <c:crossBetween val="midCat"/>
      </c:valAx>
      <c:valAx>
        <c:axId val="6578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N-N</a:t>
                </a:r>
                <a:r>
                  <a:rPr lang="en-US" sz="1400" baseline="-25000"/>
                  <a:t>ajuste</a:t>
                </a:r>
                <a:r>
                  <a:rPr lang="en-US" sz="140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3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Y</a:t>
            </a:r>
            <a:r>
              <a:rPr lang="en-US" sz="1600" baseline="-25000"/>
              <a:t>min</a:t>
            </a:r>
            <a:r>
              <a:rPr lang="en-US" sz="1600"/>
              <a:t>(m) -</a:t>
            </a:r>
            <a:r>
              <a:rPr lang="en-US" sz="1600" baseline="0"/>
              <a:t> Fenda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50474802499748"/>
          <c:y val="0.18495830154759849"/>
          <c:w val="0.80815811973437457"/>
          <c:h val="0.6494405051892645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'P2.1'!$A$4:$A$11</c:f>
              <c:numCache>
                <c:formatCode>0.0000</c:formatCode>
                <c:ptCount val="8"/>
                <c:pt idx="0">
                  <c:v>9.4999999999999998E-3</c:v>
                </c:pt>
                <c:pt idx="1">
                  <c:v>8.9999999999999993E-3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2.5499999999999998E-2</c:v>
                </c:pt>
                <c:pt idx="5">
                  <c:v>2.7E-2</c:v>
                </c:pt>
                <c:pt idx="6">
                  <c:v>3.5000000000000003E-2</c:v>
                </c:pt>
                <c:pt idx="7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8-494C-BC6D-910A2986F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</a:t>
                </a:r>
                <a:r>
                  <a:rPr lang="en-US" sz="1400" baseline="-25000"/>
                  <a:t>min </a:t>
                </a:r>
                <a:r>
                  <a:rPr lang="en-US" sz="1400" baseline="0"/>
                  <a:t>(m)</a:t>
                </a:r>
              </a:p>
            </c:rich>
          </c:tx>
          <c:layout>
            <c:manualLayout>
              <c:xMode val="edge"/>
              <c:yMode val="edge"/>
              <c:x val="1.7896757463646776E-2"/>
              <c:y val="0.3762875243850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At val="-22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Y</a:t>
            </a:r>
            <a:r>
              <a:rPr lang="en-US" sz="1600" baseline="-25000"/>
              <a:t>min</a:t>
            </a:r>
            <a:r>
              <a:rPr lang="en-US" sz="1600" baseline="0"/>
              <a:t>(m) - Fio de Cabelo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62270341207349"/>
          <c:y val="0.15523148148148147"/>
          <c:w val="0.85237729658792649"/>
          <c:h val="0.6860265383493729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'P2.2'!$C$4:$C$11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</c:numCache>
            </c:numRef>
          </c:xVal>
          <c:yVal>
            <c:numRef>
              <c:f>'P2.2'!$B$4:$B$11</c:f>
              <c:numCache>
                <c:formatCode>General</c:formatCode>
                <c:ptCount val="8"/>
                <c:pt idx="0">
                  <c:v>2.5000000000000001E-2</c:v>
                </c:pt>
                <c:pt idx="1">
                  <c:v>2.5000000000000001E-2</c:v>
                </c:pt>
                <c:pt idx="2">
                  <c:v>4.4999999999999998E-2</c:v>
                </c:pt>
                <c:pt idx="3">
                  <c:v>4.4999999999999998E-2</c:v>
                </c:pt>
                <c:pt idx="4">
                  <c:v>7.0000000000000007E-2</c:v>
                </c:pt>
                <c:pt idx="5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DF-4677-8CC9-209CEA30E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</a:t>
                </a:r>
                <a:r>
                  <a:rPr lang="en-US" sz="1400" baseline="-25000"/>
                  <a:t>min</a:t>
                </a:r>
                <a:r>
                  <a:rPr lang="en-US" sz="1400"/>
                  <a:t>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At val="-50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Fenda VS Fio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Fenda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'P2.1'!$A$4:$A$11</c:f>
              <c:numCache>
                <c:formatCode>0.0000</c:formatCode>
                <c:ptCount val="8"/>
                <c:pt idx="0">
                  <c:v>9.4999999999999998E-3</c:v>
                </c:pt>
                <c:pt idx="1">
                  <c:v>8.9999999999999993E-3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2.5499999999999998E-2</c:v>
                </c:pt>
                <c:pt idx="5">
                  <c:v>2.7E-2</c:v>
                </c:pt>
                <c:pt idx="6">
                  <c:v>3.5000000000000003E-2</c:v>
                </c:pt>
                <c:pt idx="7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C6-4B03-9205-415A7D9A7571}"/>
            </c:ext>
          </c:extLst>
        </c:ser>
        <c:ser>
          <c:idx val="1"/>
          <c:order val="1"/>
          <c:tx>
            <c:v>Fio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'P2.2'!$C$4:$C$11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</c:numCache>
            </c:numRef>
          </c:xVal>
          <c:yVal>
            <c:numRef>
              <c:f>'P2.2'!$B$4:$B$11</c:f>
              <c:numCache>
                <c:formatCode>General</c:formatCode>
                <c:ptCount val="8"/>
                <c:pt idx="0">
                  <c:v>2.5000000000000001E-2</c:v>
                </c:pt>
                <c:pt idx="1">
                  <c:v>2.5000000000000001E-2</c:v>
                </c:pt>
                <c:pt idx="2">
                  <c:v>4.4999999999999998E-2</c:v>
                </c:pt>
                <c:pt idx="3">
                  <c:v>4.4999999999999998E-2</c:v>
                </c:pt>
                <c:pt idx="4">
                  <c:v>7.0000000000000007E-2</c:v>
                </c:pt>
                <c:pt idx="5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C6-4B03-9205-415A7D9A7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Y</a:t>
            </a:r>
            <a:r>
              <a:rPr lang="en-US" sz="1600" baseline="-25000"/>
              <a:t>min</a:t>
            </a:r>
            <a:r>
              <a:rPr lang="en-US" sz="1600"/>
              <a:t>(m) - Fenda Dupla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9781277340336"/>
          <c:y val="0.1413425925925926"/>
          <c:w val="0.81350218722659662"/>
          <c:h val="0.7184339457567804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 FENDA MULTIPLA'!$C$4:$C$11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5</c:v>
                </c:pt>
                <c:pt idx="7">
                  <c:v>-5</c:v>
                </c:pt>
              </c:numCache>
            </c:numRef>
          </c:xVal>
          <c:yVal>
            <c:numRef>
              <c:f>'P2.1 FENDA MULTIPLA'!$B$4:$B$11</c:f>
              <c:numCache>
                <c:formatCode>0.00E+00</c:formatCode>
                <c:ptCount val="8"/>
                <c:pt idx="0">
                  <c:v>5.0000000000000001E-3</c:v>
                </c:pt>
                <c:pt idx="1">
                  <c:v>6.0000000000000001E-3</c:v>
                </c:pt>
                <c:pt idx="2">
                  <c:v>1.6E-2</c:v>
                </c:pt>
                <c:pt idx="3">
                  <c:v>1.55E-2</c:v>
                </c:pt>
                <c:pt idx="4">
                  <c:v>2.9000000000000001E-2</c:v>
                </c:pt>
                <c:pt idx="5">
                  <c:v>2.8000000000000001E-2</c:v>
                </c:pt>
                <c:pt idx="6">
                  <c:v>5.1499999999999997E-2</c:v>
                </c:pt>
                <c:pt idx="7">
                  <c:v>5.1999999999999998E-2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EB-4B14-95F9-F538CD7FC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m (s.u.)</a:t>
                </a:r>
                <a:endParaRPr lang="en-US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</a:t>
                </a:r>
                <a:r>
                  <a:rPr lang="en-US" sz="1400" baseline="-25000"/>
                  <a:t>min </a:t>
                </a:r>
                <a:r>
                  <a:rPr lang="en-US" sz="1400" baseline="0"/>
                  <a:t>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At val="-5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chart" Target="../charts/chart2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76201</xdr:colOff>
      <xdr:row>2</xdr:row>
      <xdr:rowOff>45721</xdr:rowOff>
    </xdr:from>
    <xdr:to>
      <xdr:col>17</xdr:col>
      <xdr:colOff>563881</xdr:colOff>
      <xdr:row>8</xdr:row>
      <xdr:rowOff>106751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AB6CF-153E-88F2-010E-DA5428C1F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201" y="411481"/>
          <a:ext cx="1706880" cy="1165930"/>
        </a:xfrm>
        <a:prstGeom prst="rect">
          <a:avLst/>
        </a:prstGeom>
      </xdr:spPr>
    </xdr:pic>
    <xdr:clientData/>
  </xdr:twoCellAnchor>
  <xdr:twoCellAnchor>
    <xdr:from>
      <xdr:col>1</xdr:col>
      <xdr:colOff>160020</xdr:colOff>
      <xdr:row>17</xdr:row>
      <xdr:rowOff>57150</xdr:rowOff>
    </xdr:from>
    <xdr:to>
      <xdr:col>8</xdr:col>
      <xdr:colOff>213360</xdr:colOff>
      <xdr:row>32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387A32-126D-F877-18B6-6465CDDFE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441960</xdr:colOff>
      <xdr:row>2</xdr:row>
      <xdr:rowOff>148590</xdr:rowOff>
    </xdr:from>
    <xdr:to>
      <xdr:col>11</xdr:col>
      <xdr:colOff>342900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1A7063-CB48-9893-E02E-E2FEE8645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60960</xdr:colOff>
      <xdr:row>4</xdr:row>
      <xdr:rowOff>38101</xdr:rowOff>
    </xdr:from>
    <xdr:to>
      <xdr:col>33</xdr:col>
      <xdr:colOff>472440</xdr:colOff>
      <xdr:row>9</xdr:row>
      <xdr:rowOff>148536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22C3F9-2126-84A8-037B-0444D82FB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7560" y="769621"/>
          <a:ext cx="2240280" cy="1070555"/>
        </a:xfrm>
        <a:prstGeom prst="rect">
          <a:avLst/>
        </a:prstGeom>
      </xdr:spPr>
    </xdr:pic>
    <xdr:clientData/>
  </xdr:twoCellAnchor>
  <xdr:twoCellAnchor>
    <xdr:from>
      <xdr:col>2</xdr:col>
      <xdr:colOff>243840</xdr:colOff>
      <xdr:row>24</xdr:row>
      <xdr:rowOff>102870</xdr:rowOff>
    </xdr:from>
    <xdr:to>
      <xdr:col>9</xdr:col>
      <xdr:colOff>548640</xdr:colOff>
      <xdr:row>39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EADEDE-7F2B-B58D-D15C-3A53A8338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441960</xdr:colOff>
      <xdr:row>2</xdr:row>
      <xdr:rowOff>148590</xdr:rowOff>
    </xdr:from>
    <xdr:to>
      <xdr:col>25</xdr:col>
      <xdr:colOff>137160</xdr:colOff>
      <xdr:row>17</xdr:row>
      <xdr:rowOff>148590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3DACDD-26DB-44D2-B7DE-F973F0D13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270344</xdr:colOff>
      <xdr:row>24</xdr:row>
      <xdr:rowOff>109496</xdr:rowOff>
    </xdr:from>
    <xdr:to>
      <xdr:col>22</xdr:col>
      <xdr:colOff>575144</xdr:colOff>
      <xdr:row>39</xdr:row>
      <xdr:rowOff>109496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099FCA-0594-4CB4-B124-C775D4619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33130</xdr:colOff>
      <xdr:row>3</xdr:row>
      <xdr:rowOff>19879</xdr:rowOff>
    </xdr:from>
    <xdr:to>
      <xdr:col>8</xdr:col>
      <xdr:colOff>575699</xdr:colOff>
      <xdr:row>8</xdr:row>
      <xdr:rowOff>93828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5899FD-27F3-1734-AB30-A80B351E2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8365" y="596349"/>
          <a:ext cx="2583404" cy="10016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172279</xdr:colOff>
      <xdr:row>2</xdr:row>
      <xdr:rowOff>172278</xdr:rowOff>
    </xdr:from>
    <xdr:to>
      <xdr:col>8</xdr:col>
      <xdr:colOff>458526</xdr:colOff>
      <xdr:row>8</xdr:row>
      <xdr:rowOff>72080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61E2F2-F2D1-5C43-F52D-AA3C862B9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879" y="543339"/>
          <a:ext cx="3413760" cy="1032863"/>
        </a:xfrm>
        <a:prstGeom prst="rect">
          <a:avLst/>
        </a:prstGeom>
      </xdr:spPr>
    </xdr:pic>
    <xdr:clientData/>
  </xdr:twoCellAnchor>
  <xdr:twoCellAnchor>
    <xdr:from>
      <xdr:col>3</xdr:col>
      <xdr:colOff>256761</xdr:colOff>
      <xdr:row>9</xdr:row>
      <xdr:rowOff>52181</xdr:rowOff>
    </xdr:from>
    <xdr:to>
      <xdr:col>10</xdr:col>
      <xdr:colOff>110987</xdr:colOff>
      <xdr:row>24</xdr:row>
      <xdr:rowOff>52181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8DA8BC-14D2-5033-EE50-97D56AE98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</xdr:colOff>
      <xdr:row>3</xdr:row>
      <xdr:rowOff>0</xdr:rowOff>
    </xdr:from>
    <xdr:to>
      <xdr:col>18</xdr:col>
      <xdr:colOff>365761</xdr:colOff>
      <xdr:row>8</xdr:row>
      <xdr:rowOff>97591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B649B2-E4D2-4A70-A446-13F0FF6D1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548640"/>
          <a:ext cx="3413760" cy="1019611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12</xdr:row>
      <xdr:rowOff>19050</xdr:rowOff>
    </xdr:from>
    <xdr:to>
      <xdr:col>9</xdr:col>
      <xdr:colOff>342900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6010AF-3560-45A7-8D2D-D88102486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548640</xdr:colOff>
      <xdr:row>12</xdr:row>
      <xdr:rowOff>15240</xdr:rowOff>
    </xdr:from>
    <xdr:to>
      <xdr:col>19</xdr:col>
      <xdr:colOff>243840</xdr:colOff>
      <xdr:row>27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E686EB-E67D-4470-B74B-4B38FEC96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320040</xdr:colOff>
      <xdr:row>6</xdr:row>
      <xdr:rowOff>158697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B08A6B-CA20-F7BF-287B-684764F3E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9707880" cy="890217"/>
        </a:xfrm>
        <a:prstGeom prst="rect">
          <a:avLst/>
        </a:prstGeom>
      </xdr:spPr>
    </xdr:pic>
    <xdr:clientData/>
  </xdr:twoCellAnchor>
  <xdr:twoCellAnchor editAs="oneCell">
    <xdr:from>
      <xdr:col>15</xdr:col>
      <xdr:colOff>238206</xdr:colOff>
      <xdr:row>2</xdr:row>
      <xdr:rowOff>417</xdr:rowOff>
    </xdr:from>
    <xdr:to>
      <xdr:col>22</xdr:col>
      <xdr:colOff>1986</xdr:colOff>
      <xdr:row>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4D8923-129D-30A6-2311-2B337FF90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7371" y="371478"/>
          <a:ext cx="4030980" cy="89410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</xdr:colOff>
      <xdr:row>3</xdr:row>
      <xdr:rowOff>0</xdr:rowOff>
    </xdr:from>
    <xdr:to>
      <xdr:col>18</xdr:col>
      <xdr:colOff>365761</xdr:colOff>
      <xdr:row>8</xdr:row>
      <xdr:rowOff>97591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B7AC64-6A61-4689-85C0-2F350C460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548640"/>
          <a:ext cx="3413760" cy="1019611"/>
        </a:xfrm>
        <a:prstGeom prst="rect">
          <a:avLst/>
        </a:prstGeom>
      </xdr:spPr>
    </xdr:pic>
    <xdr:clientData/>
  </xdr:twoCellAnchor>
  <xdr:twoCellAnchor>
    <xdr:from>
      <xdr:col>2</xdr:col>
      <xdr:colOff>15240</xdr:colOff>
      <xdr:row>12</xdr:row>
      <xdr:rowOff>19050</xdr:rowOff>
    </xdr:from>
    <xdr:to>
      <xdr:col>9</xdr:col>
      <xdr:colOff>320040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BA4F86-543A-4832-85F5-80D0CD70D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8ADF-2EFB-452A-A480-0B215EA5BBF1}">
  <dimension ref="A1:O16"/>
  <sheetViews>
    <sheetView tabSelected="1" workbookViewId="0">
      <selection activeCell="K20" sqref="K20"/>
    </sheetView>
  </sheetViews>
  <sheetFormatPr defaultRowHeight="14.4" x14ac:dyDescent="0.3"/>
  <cols>
    <col min="1" max="2" width="8.88671875" style="1" customWidth="1"/>
    <col min="3" max="5" width="8.88671875" style="1"/>
    <col min="6" max="6" width="12" style="1" bestFit="1" customWidth="1"/>
    <col min="7" max="7" width="9.44140625" style="1" bestFit="1" customWidth="1"/>
    <col min="8" max="12" width="8.88671875" style="1"/>
    <col min="13" max="13" width="14" style="1" customWidth="1"/>
    <col min="14" max="14" width="9.109375" style="1" bestFit="1" customWidth="1"/>
    <col min="15" max="16384" width="8.88671875" style="1"/>
  </cols>
  <sheetData>
    <row r="1" spans="1:15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x14ac:dyDescent="0.3">
      <c r="B3" s="1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1:15" x14ac:dyDescent="0.3">
      <c r="A4" s="2" t="s">
        <v>51</v>
      </c>
      <c r="B4" s="13">
        <v>12</v>
      </c>
      <c r="C4" s="13">
        <v>10.5</v>
      </c>
      <c r="D4" s="13">
        <v>11.5</v>
      </c>
      <c r="E4" s="13">
        <v>10.7</v>
      </c>
      <c r="F4" s="13">
        <v>11.3</v>
      </c>
      <c r="G4" s="13">
        <v>10</v>
      </c>
      <c r="H4" s="13">
        <v>11.1</v>
      </c>
      <c r="I4" s="13">
        <v>11</v>
      </c>
      <c r="J4" s="13">
        <v>12</v>
      </c>
      <c r="K4" s="13">
        <v>11</v>
      </c>
      <c r="M4" s="2" t="s">
        <v>18</v>
      </c>
      <c r="N4" s="4">
        <v>4.9999999999999998E-7</v>
      </c>
    </row>
    <row r="5" spans="1:15" x14ac:dyDescent="0.3">
      <c r="A5" s="2" t="s">
        <v>52</v>
      </c>
      <c r="B5" s="4">
        <f>B4*10^-6</f>
        <v>1.2E-5</v>
      </c>
      <c r="C5" s="4">
        <f t="shared" ref="C5:K5" si="0">C4*10^-6</f>
        <v>1.0499999999999999E-5</v>
      </c>
      <c r="D5" s="4">
        <f t="shared" si="0"/>
        <v>1.15E-5</v>
      </c>
      <c r="E5" s="4">
        <f t="shared" si="0"/>
        <v>1.0699999999999999E-5</v>
      </c>
      <c r="F5" s="4">
        <f t="shared" si="0"/>
        <v>1.13E-5</v>
      </c>
      <c r="G5" s="4">
        <f t="shared" si="0"/>
        <v>9.9999999999999991E-6</v>
      </c>
      <c r="H5" s="4">
        <f t="shared" si="0"/>
        <v>1.1099999999999999E-5</v>
      </c>
      <c r="I5" s="4">
        <f t="shared" si="0"/>
        <v>1.1E-5</v>
      </c>
      <c r="J5" s="4">
        <f t="shared" si="0"/>
        <v>1.2E-5</v>
      </c>
      <c r="K5" s="4">
        <f t="shared" si="0"/>
        <v>1.1E-5</v>
      </c>
      <c r="M5" s="2" t="s">
        <v>19</v>
      </c>
      <c r="N5" s="16">
        <v>6.328E-7</v>
      </c>
    </row>
    <row r="6" spans="1:15" ht="15" x14ac:dyDescent="0.3">
      <c r="M6" s="5" t="s">
        <v>50</v>
      </c>
      <c r="N6" s="3">
        <v>1.0002899999999999</v>
      </c>
    </row>
    <row r="7" spans="1:15" x14ac:dyDescent="0.3">
      <c r="B7" s="13">
        <f>B4</f>
        <v>12</v>
      </c>
      <c r="C7" s="17">
        <f>B7</f>
        <v>12</v>
      </c>
      <c r="D7" s="1">
        <f>C7*10^-6</f>
        <v>1.2E-5</v>
      </c>
      <c r="E7" s="1">
        <v>30</v>
      </c>
    </row>
    <row r="8" spans="1:15" x14ac:dyDescent="0.3">
      <c r="B8" s="13">
        <f>C4</f>
        <v>10.5</v>
      </c>
      <c r="C8" s="17">
        <f>C7+B8</f>
        <v>22.5</v>
      </c>
      <c r="D8" s="1">
        <f t="shared" ref="D8:D16" si="1">C8*10^-6</f>
        <v>2.2499999999999998E-5</v>
      </c>
      <c r="E8" s="1">
        <v>60</v>
      </c>
      <c r="M8" s="2" t="s">
        <v>5</v>
      </c>
      <c r="N8" s="3">
        <v>30</v>
      </c>
    </row>
    <row r="9" spans="1:15" x14ac:dyDescent="0.3">
      <c r="B9" s="13">
        <v>11.5</v>
      </c>
      <c r="C9" s="17">
        <f>C8+B9</f>
        <v>34</v>
      </c>
      <c r="D9" s="1">
        <f t="shared" si="1"/>
        <v>3.4E-5</v>
      </c>
      <c r="E9" s="1">
        <v>90</v>
      </c>
      <c r="G9" s="1" cm="1">
        <f t="array" ref="G9:H13">LINEST(D7:D16,E7:E16,1,1)</f>
        <v>3.6622222222222229E-7</v>
      </c>
      <c r="H9" s="1">
        <v>7.3333333333331502E-7</v>
      </c>
      <c r="M9" s="2" t="s">
        <v>53</v>
      </c>
      <c r="N9" s="4">
        <f>AVERAGE(B5:K5)</f>
        <v>1.1109999999999999E-5</v>
      </c>
    </row>
    <row r="10" spans="1:15" x14ac:dyDescent="0.3">
      <c r="B10" s="13">
        <v>10.7</v>
      </c>
      <c r="C10" s="17">
        <f t="shared" ref="C10:C16" si="2">C9+B10</f>
        <v>44.7</v>
      </c>
      <c r="D10" s="1">
        <f t="shared" si="1"/>
        <v>4.4700000000000002E-5</v>
      </c>
      <c r="E10" s="1">
        <v>120</v>
      </c>
      <c r="G10" s="1">
        <v>1.7452838487427891E-9</v>
      </c>
      <c r="H10" s="1">
        <v>3.2487604473775323E-7</v>
      </c>
      <c r="M10" s="2" t="s">
        <v>54</v>
      </c>
      <c r="N10" s="15">
        <f>_xlfn.STDEV.P(B5:K5)/SQRT(10)</f>
        <v>1.8891797161731345E-7</v>
      </c>
    </row>
    <row r="11" spans="1:15" ht="15.6" x14ac:dyDescent="0.3">
      <c r="B11" s="13">
        <v>11.3</v>
      </c>
      <c r="C11" s="17">
        <f t="shared" si="2"/>
        <v>56</v>
      </c>
      <c r="D11" s="1">
        <f t="shared" si="1"/>
        <v>5.5999999999999999E-5</v>
      </c>
      <c r="E11" s="1">
        <v>150</v>
      </c>
      <c r="G11" s="1">
        <v>0.99981834228837585</v>
      </c>
      <c r="H11" s="1">
        <v>4.7556983363820639E-7</v>
      </c>
      <c r="M11" s="2" t="s">
        <v>21</v>
      </c>
      <c r="N11" s="7">
        <f>(N8*$N$5)/(2*N9)</f>
        <v>0.85436543654365449</v>
      </c>
    </row>
    <row r="12" spans="1:15" ht="15.6" x14ac:dyDescent="0.3">
      <c r="B12" s="13">
        <v>10</v>
      </c>
      <c r="C12" s="17">
        <f t="shared" si="2"/>
        <v>66</v>
      </c>
      <c r="D12" s="1">
        <f t="shared" si="1"/>
        <v>6.5999999999999992E-5</v>
      </c>
      <c r="E12" s="1">
        <v>180</v>
      </c>
      <c r="G12" s="1">
        <v>44030.868091377131</v>
      </c>
      <c r="H12" s="1">
        <v>8</v>
      </c>
      <c r="M12" s="2" t="s">
        <v>22</v>
      </c>
      <c r="N12" s="7">
        <f>ABS(N8*2/((2*N9)^2)*N5*N10)</f>
        <v>1.4527901466405738E-2</v>
      </c>
    </row>
    <row r="13" spans="1:15" x14ac:dyDescent="0.3">
      <c r="B13" s="13">
        <v>11.1</v>
      </c>
      <c r="C13" s="17">
        <f t="shared" si="2"/>
        <v>77.099999999999994</v>
      </c>
      <c r="D13" s="1">
        <f t="shared" si="1"/>
        <v>7.709999999999999E-5</v>
      </c>
      <c r="E13" s="1">
        <v>210</v>
      </c>
      <c r="G13" s="1">
        <v>9.9583146666666644E-9</v>
      </c>
      <c r="H13" s="1">
        <v>1.8093333333333703E-12</v>
      </c>
      <c r="M13" s="2" t="s">
        <v>33</v>
      </c>
      <c r="N13" s="6">
        <f>N12/N11</f>
        <v>1.7004317877345947E-2</v>
      </c>
    </row>
    <row r="14" spans="1:15" x14ac:dyDescent="0.3">
      <c r="B14" s="13">
        <v>11</v>
      </c>
      <c r="C14" s="17">
        <f t="shared" si="2"/>
        <v>88.1</v>
      </c>
      <c r="D14" s="1">
        <f t="shared" si="1"/>
        <v>8.8099999999999987E-5</v>
      </c>
      <c r="E14" s="1">
        <v>240</v>
      </c>
      <c r="M14" s="2" t="s">
        <v>49</v>
      </c>
      <c r="N14" s="6">
        <f>ABS(N11-N6)/N6</f>
        <v>0.14588225760164095</v>
      </c>
    </row>
    <row r="15" spans="1:15" x14ac:dyDescent="0.3">
      <c r="B15" s="13">
        <v>12</v>
      </c>
      <c r="C15" s="17">
        <f t="shared" si="2"/>
        <v>100.1</v>
      </c>
      <c r="D15" s="1">
        <f t="shared" si="1"/>
        <v>1.0009999999999999E-4</v>
      </c>
      <c r="E15" s="1">
        <v>270</v>
      </c>
    </row>
    <row r="16" spans="1:15" x14ac:dyDescent="0.3">
      <c r="B16" s="13">
        <v>11</v>
      </c>
      <c r="C16" s="17">
        <f t="shared" si="2"/>
        <v>111.1</v>
      </c>
      <c r="D16" s="1">
        <f t="shared" si="1"/>
        <v>1.1109999999999999E-4</v>
      </c>
      <c r="E16" s="1">
        <v>300</v>
      </c>
      <c r="G16" s="1" t="s">
        <v>76</v>
      </c>
      <c r="H16" s="18">
        <f>N5/(2*G9)</f>
        <v>0.86395631067961154</v>
      </c>
    </row>
  </sheetData>
  <mergeCells count="1">
    <mergeCell ref="A1:O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DA6F-08FA-487A-82B4-E9BF2212A846}">
  <dimension ref="A1:AM26"/>
  <sheetViews>
    <sheetView topLeftCell="K1" zoomScaleNormal="100" workbookViewId="0">
      <selection activeCell="M37" sqref="M37"/>
    </sheetView>
  </sheetViews>
  <sheetFormatPr defaultRowHeight="14.4" x14ac:dyDescent="0.3"/>
  <cols>
    <col min="1" max="10" width="8.88671875" style="1"/>
    <col min="11" max="11" width="12.21875" style="1" customWidth="1"/>
    <col min="12" max="27" width="8.88671875" style="1"/>
    <col min="28" max="28" width="13" style="1" customWidth="1"/>
    <col min="29" max="29" width="8.88671875" style="1" customWidth="1"/>
    <col min="30" max="16384" width="8.88671875" style="1"/>
  </cols>
  <sheetData>
    <row r="1" spans="1:39" ht="14.4" customHeight="1" x14ac:dyDescent="0.3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</row>
    <row r="2" spans="1:39" ht="14.4" customHeight="1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spans="1:39" x14ac:dyDescent="0.3">
      <c r="A3" s="2" t="s">
        <v>48</v>
      </c>
      <c r="B3" s="2" t="s">
        <v>5</v>
      </c>
      <c r="C3" s="2" t="s">
        <v>23</v>
      </c>
      <c r="D3" s="2" t="s">
        <v>24</v>
      </c>
      <c r="N3" s="2" t="s">
        <v>48</v>
      </c>
      <c r="O3" s="2" t="s">
        <v>5</v>
      </c>
      <c r="P3" s="2" t="s">
        <v>23</v>
      </c>
      <c r="Q3" s="2" t="s">
        <v>24</v>
      </c>
      <c r="AB3" s="2" t="s">
        <v>5</v>
      </c>
      <c r="AC3" s="3">
        <v>19</v>
      </c>
      <c r="AD3" s="3">
        <v>23</v>
      </c>
      <c r="AE3" s="3">
        <v>21</v>
      </c>
      <c r="AF3" s="3">
        <v>18</v>
      </c>
      <c r="AG3" s="3">
        <v>20</v>
      </c>
      <c r="AH3" s="3">
        <v>20</v>
      </c>
      <c r="AI3" s="3">
        <v>21</v>
      </c>
      <c r="AJ3" s="3">
        <v>21</v>
      </c>
      <c r="AK3" s="3">
        <v>22</v>
      </c>
      <c r="AL3" s="3">
        <v>21</v>
      </c>
    </row>
    <row r="4" spans="1:39" x14ac:dyDescent="0.3">
      <c r="A4" s="3">
        <v>0.3</v>
      </c>
      <c r="B4" s="3">
        <v>3</v>
      </c>
      <c r="C4" s="8">
        <f t="shared" ref="C4:C19" si="0">A4*G$21+H$21</f>
        <v>1.8435076018527372</v>
      </c>
      <c r="D4" s="8">
        <f>B4-C4</f>
        <v>1.1564923981472628</v>
      </c>
      <c r="N4" s="13">
        <v>0.3</v>
      </c>
      <c r="O4" s="3">
        <v>5</v>
      </c>
      <c r="P4" s="8">
        <f t="shared" ref="P4:P21" si="1">N4*T$21+U$21</f>
        <v>4.730994152046792</v>
      </c>
      <c r="Q4" s="8">
        <f>O4-P4</f>
        <v>0.26900584795320803</v>
      </c>
    </row>
    <row r="5" spans="1:39" x14ac:dyDescent="0.3">
      <c r="A5" s="3">
        <v>0.4</v>
      </c>
      <c r="B5" s="3">
        <v>5</v>
      </c>
      <c r="C5" s="8">
        <f t="shared" si="0"/>
        <v>4.9247170363203114</v>
      </c>
      <c r="D5" s="8">
        <f t="shared" ref="D5:D19" si="2">B5-C5</f>
        <v>7.5282963679688564E-2</v>
      </c>
      <c r="N5" s="13">
        <v>0.4</v>
      </c>
      <c r="O5" s="3">
        <v>8</v>
      </c>
      <c r="P5" s="8">
        <f t="shared" si="1"/>
        <v>7.0436876504988035</v>
      </c>
      <c r="Q5" s="8">
        <f t="shared" ref="Q5:Q21" si="3">O5-P5</f>
        <v>0.95631234950119648</v>
      </c>
      <c r="AB5" s="2" t="s">
        <v>77</v>
      </c>
      <c r="AC5" s="3">
        <f>AVERAGE(AC3:AL3)</f>
        <v>20.6</v>
      </c>
    </row>
    <row r="6" spans="1:39" x14ac:dyDescent="0.3">
      <c r="A6" s="3">
        <v>0.5</v>
      </c>
      <c r="B6" s="3">
        <v>8</v>
      </c>
      <c r="C6" s="8">
        <f t="shared" si="0"/>
        <v>8.0059264707878839</v>
      </c>
      <c r="D6" s="8">
        <f t="shared" si="2"/>
        <v>-5.9264707878838863E-3</v>
      </c>
      <c r="N6" s="13">
        <v>0.5</v>
      </c>
      <c r="O6" s="3">
        <v>10</v>
      </c>
      <c r="P6" s="8">
        <f t="shared" si="1"/>
        <v>9.3563811489508151</v>
      </c>
      <c r="Q6" s="8">
        <f t="shared" si="3"/>
        <v>0.64361885104918493</v>
      </c>
      <c r="AB6" s="2" t="s">
        <v>78</v>
      </c>
      <c r="AC6" s="13">
        <f>_xlfn.STDEV.P(AC3:AL3)/SQRT(COUNTA(AC3:AL3))</f>
        <v>0.42895221179054438</v>
      </c>
    </row>
    <row r="7" spans="1:39" ht="15.6" x14ac:dyDescent="0.3">
      <c r="A7" s="3">
        <v>0.6</v>
      </c>
      <c r="B7" s="3">
        <v>11</v>
      </c>
      <c r="C7" s="8">
        <f t="shared" si="0"/>
        <v>11.087135905255455</v>
      </c>
      <c r="D7" s="8">
        <f t="shared" si="2"/>
        <v>-8.713590525545456E-2</v>
      </c>
      <c r="N7" s="13">
        <v>0.6</v>
      </c>
      <c r="O7" s="3">
        <v>12</v>
      </c>
      <c r="P7" s="8">
        <f t="shared" si="1"/>
        <v>11.669074647402827</v>
      </c>
      <c r="Q7" s="8">
        <f t="shared" si="3"/>
        <v>0.33092535259717337</v>
      </c>
      <c r="AB7" s="2" t="s">
        <v>21</v>
      </c>
      <c r="AC7" s="19">
        <f>1 + ($L$20*AC5)/(2*$L$22)</f>
        <v>1.0002172613333333</v>
      </c>
    </row>
    <row r="8" spans="1:39" ht="15.6" x14ac:dyDescent="0.3">
      <c r="A8" s="3">
        <v>0.7</v>
      </c>
      <c r="B8" s="3">
        <v>14</v>
      </c>
      <c r="C8" s="8">
        <f t="shared" si="0"/>
        <v>14.168345339723029</v>
      </c>
      <c r="D8" s="8">
        <f t="shared" si="2"/>
        <v>-0.16834533972302879</v>
      </c>
      <c r="N8" s="13">
        <v>0.7</v>
      </c>
      <c r="O8" s="3">
        <v>14</v>
      </c>
      <c r="P8" s="8">
        <f t="shared" si="1"/>
        <v>13.981768145854836</v>
      </c>
      <c r="Q8" s="8">
        <f t="shared" si="3"/>
        <v>1.8231854145163595E-2</v>
      </c>
      <c r="AB8" s="2" t="s">
        <v>22</v>
      </c>
      <c r="AC8" s="19">
        <f>SQRT((L20*2/((2*L22)^2)*L22*AC6)^2 + (L20*2/((2*L22)^2)*AC5*L23)^2)</f>
        <v>8.5389653030340718E-6</v>
      </c>
    </row>
    <row r="9" spans="1:39" ht="15.6" x14ac:dyDescent="0.3">
      <c r="A9" s="3">
        <v>0.8</v>
      </c>
      <c r="B9" s="3">
        <v>18</v>
      </c>
      <c r="C9" s="8">
        <f t="shared" si="0"/>
        <v>17.249554774190603</v>
      </c>
      <c r="D9" s="8">
        <f t="shared" si="2"/>
        <v>0.75044522580939699</v>
      </c>
      <c r="N9" s="13">
        <v>0.8</v>
      </c>
      <c r="O9" s="3">
        <v>16</v>
      </c>
      <c r="P9" s="8">
        <f t="shared" si="1"/>
        <v>16.29446164430685</v>
      </c>
      <c r="Q9" s="8">
        <f t="shared" si="3"/>
        <v>-0.29446164430684973</v>
      </c>
      <c r="AB9" s="2" t="s">
        <v>75</v>
      </c>
      <c r="AC9" s="20">
        <f>AC8/AC7</f>
        <v>8.5371105190198948E-6</v>
      </c>
    </row>
    <row r="10" spans="1:39" x14ac:dyDescent="0.3">
      <c r="A10" s="3">
        <v>0.9</v>
      </c>
      <c r="B10" s="3">
        <v>20</v>
      </c>
      <c r="C10" s="8">
        <f t="shared" si="0"/>
        <v>20.330764208658177</v>
      </c>
      <c r="D10" s="8">
        <f t="shared" si="2"/>
        <v>-0.33076420865817724</v>
      </c>
      <c r="N10" s="13">
        <v>0.9</v>
      </c>
      <c r="O10" s="3">
        <v>18</v>
      </c>
      <c r="P10" s="8">
        <f t="shared" si="1"/>
        <v>18.607155142758863</v>
      </c>
      <c r="Q10" s="8">
        <f t="shared" si="3"/>
        <v>-0.60715514275886306</v>
      </c>
      <c r="AB10" s="2" t="s">
        <v>49</v>
      </c>
      <c r="AC10" s="11">
        <f>ABS(AC7-L21)/L21</f>
        <v>7.2717578568786971E-5</v>
      </c>
    </row>
    <row r="11" spans="1:39" x14ac:dyDescent="0.3">
      <c r="A11" s="3">
        <v>1</v>
      </c>
      <c r="B11" s="3">
        <v>22</v>
      </c>
      <c r="C11" s="8">
        <f t="shared" si="0"/>
        <v>23.411973643125748</v>
      </c>
      <c r="D11" s="8">
        <f t="shared" si="2"/>
        <v>-1.4119736431257479</v>
      </c>
      <c r="N11" s="13">
        <v>1</v>
      </c>
      <c r="O11" s="3">
        <v>21</v>
      </c>
      <c r="P11" s="8">
        <f t="shared" si="1"/>
        <v>20.919848641210873</v>
      </c>
      <c r="Q11" s="8">
        <f t="shared" si="3"/>
        <v>8.0151358789127158E-2</v>
      </c>
    </row>
    <row r="12" spans="1:39" x14ac:dyDescent="0.3">
      <c r="A12" s="3">
        <v>1.1000000000000001</v>
      </c>
      <c r="B12" s="3">
        <v>28</v>
      </c>
      <c r="C12" s="8">
        <f t="shared" si="0"/>
        <v>26.493183077593322</v>
      </c>
      <c r="D12" s="8">
        <f t="shared" si="2"/>
        <v>1.5068169224066779</v>
      </c>
      <c r="N12" s="13">
        <v>1.1000000000000001</v>
      </c>
      <c r="O12" s="3">
        <v>22</v>
      </c>
      <c r="P12" s="8">
        <f t="shared" si="1"/>
        <v>23.232542139662886</v>
      </c>
      <c r="Q12" s="8">
        <f t="shared" si="3"/>
        <v>-1.2325421396628862</v>
      </c>
    </row>
    <row r="13" spans="1:39" x14ac:dyDescent="0.3">
      <c r="A13" s="3">
        <v>1.3</v>
      </c>
      <c r="B13" s="3">
        <v>32</v>
      </c>
      <c r="C13" s="8">
        <f t="shared" si="0"/>
        <v>32.655601946528471</v>
      </c>
      <c r="D13" s="8">
        <f t="shared" si="2"/>
        <v>-0.65560194652847059</v>
      </c>
      <c r="N13" s="13">
        <v>1.2</v>
      </c>
      <c r="O13" s="3">
        <v>24</v>
      </c>
      <c r="P13" s="8">
        <f t="shared" si="1"/>
        <v>25.545235638114896</v>
      </c>
      <c r="Q13" s="8">
        <f t="shared" si="3"/>
        <v>-1.5452356381148959</v>
      </c>
    </row>
    <row r="14" spans="1:39" x14ac:dyDescent="0.3">
      <c r="A14" s="3">
        <v>1.5</v>
      </c>
      <c r="B14" s="3">
        <v>37</v>
      </c>
      <c r="C14" s="8">
        <f t="shared" si="0"/>
        <v>38.818020815463612</v>
      </c>
      <c r="D14" s="8">
        <f t="shared" si="2"/>
        <v>-1.8180208154636119</v>
      </c>
      <c r="N14" s="13">
        <v>1.3</v>
      </c>
      <c r="O14" s="3">
        <v>27</v>
      </c>
      <c r="P14" s="8">
        <f t="shared" si="1"/>
        <v>27.857929136566909</v>
      </c>
      <c r="Q14" s="8">
        <f t="shared" si="3"/>
        <v>-0.85792913656690928</v>
      </c>
    </row>
    <row r="15" spans="1:39" x14ac:dyDescent="0.3">
      <c r="A15" s="3">
        <v>1.7</v>
      </c>
      <c r="B15" s="3">
        <v>43</v>
      </c>
      <c r="C15" s="8">
        <f t="shared" si="0"/>
        <v>44.980439684398753</v>
      </c>
      <c r="D15" s="8">
        <f t="shared" si="2"/>
        <v>-1.9804396843987533</v>
      </c>
      <c r="N15" s="13">
        <v>1.4</v>
      </c>
      <c r="O15" s="3">
        <v>30</v>
      </c>
      <c r="P15" s="8">
        <f t="shared" si="1"/>
        <v>30.170622635018916</v>
      </c>
      <c r="Q15" s="8">
        <f t="shared" si="3"/>
        <v>-0.1706226350189155</v>
      </c>
    </row>
    <row r="16" spans="1:39" x14ac:dyDescent="0.3">
      <c r="A16" s="3">
        <v>1.8</v>
      </c>
      <c r="B16" s="3">
        <v>46</v>
      </c>
      <c r="C16" s="8">
        <f t="shared" si="0"/>
        <v>48.061649118866335</v>
      </c>
      <c r="D16" s="8">
        <f t="shared" si="2"/>
        <v>-2.0616491188663346</v>
      </c>
      <c r="N16" s="13">
        <v>1.5</v>
      </c>
      <c r="O16" s="3">
        <v>33</v>
      </c>
      <c r="P16" s="8">
        <f t="shared" si="1"/>
        <v>32.483316133470929</v>
      </c>
      <c r="Q16" s="8">
        <f t="shared" si="3"/>
        <v>0.51668386652907117</v>
      </c>
    </row>
    <row r="17" spans="1:27" x14ac:dyDescent="0.3">
      <c r="A17" s="3">
        <v>1.85</v>
      </c>
      <c r="B17" s="3">
        <v>49</v>
      </c>
      <c r="C17" s="8">
        <f t="shared" si="0"/>
        <v>49.602253836100118</v>
      </c>
      <c r="D17" s="8">
        <f t="shared" si="2"/>
        <v>-0.60225383610011818</v>
      </c>
      <c r="N17" s="13">
        <v>1.6</v>
      </c>
      <c r="O17" s="3">
        <v>35</v>
      </c>
      <c r="P17" s="8">
        <f t="shared" si="1"/>
        <v>34.796009631922942</v>
      </c>
      <c r="Q17" s="8">
        <f t="shared" si="3"/>
        <v>0.20399036807705784</v>
      </c>
    </row>
    <row r="18" spans="1:27" x14ac:dyDescent="0.3">
      <c r="A18" s="3">
        <v>1.92</v>
      </c>
      <c r="B18" s="3">
        <v>54</v>
      </c>
      <c r="C18" s="8">
        <f t="shared" si="0"/>
        <v>51.759100440227414</v>
      </c>
      <c r="D18" s="8">
        <f t="shared" si="2"/>
        <v>2.2408995597725863</v>
      </c>
      <c r="N18" s="13">
        <v>1.7</v>
      </c>
      <c r="O18" s="3">
        <v>38</v>
      </c>
      <c r="P18" s="8">
        <f t="shared" si="1"/>
        <v>37.108703130374955</v>
      </c>
      <c r="Q18" s="8">
        <f t="shared" si="3"/>
        <v>0.89129686962504451</v>
      </c>
    </row>
    <row r="19" spans="1:27" x14ac:dyDescent="0.3">
      <c r="A19" s="3">
        <v>1.98</v>
      </c>
      <c r="B19" s="3">
        <v>57</v>
      </c>
      <c r="C19" s="8">
        <f t="shared" si="0"/>
        <v>53.607826100907964</v>
      </c>
      <c r="D19" s="8">
        <f t="shared" si="2"/>
        <v>3.392173899092036</v>
      </c>
      <c r="N19" s="13">
        <v>1.8</v>
      </c>
      <c r="O19" s="3">
        <v>39</v>
      </c>
      <c r="P19" s="8">
        <f t="shared" si="1"/>
        <v>39.421396628826969</v>
      </c>
      <c r="Q19" s="8">
        <f t="shared" si="3"/>
        <v>-0.42139662882696882</v>
      </c>
    </row>
    <row r="20" spans="1:27" x14ac:dyDescent="0.3">
      <c r="F20" s="31" t="s">
        <v>25</v>
      </c>
      <c r="G20" s="31"/>
      <c r="H20" s="31"/>
      <c r="I20" s="31"/>
      <c r="K20" s="2" t="s">
        <v>19</v>
      </c>
      <c r="L20" s="4">
        <v>6.328E-7</v>
      </c>
      <c r="N20" s="13">
        <v>1.9</v>
      </c>
      <c r="O20" s="3">
        <v>42</v>
      </c>
      <c r="P20" s="8">
        <f t="shared" si="1"/>
        <v>41.734090127278975</v>
      </c>
      <c r="Q20" s="8">
        <f t="shared" si="3"/>
        <v>0.26590987272102495</v>
      </c>
      <c r="S20" s="31" t="s">
        <v>25</v>
      </c>
      <c r="T20" s="31"/>
      <c r="U20" s="31"/>
      <c r="V20" s="31"/>
    </row>
    <row r="21" spans="1:27" ht="15" x14ac:dyDescent="0.3">
      <c r="F21" s="2" t="s">
        <v>26</v>
      </c>
      <c r="G21" s="13">
        <f t="array" ref="G21:H23">LINEST(B4:B19,A4:A19,1,1)</f>
        <v>30.812094344675728</v>
      </c>
      <c r="H21" s="13">
        <v>-7.4001207015499801</v>
      </c>
      <c r="I21" s="2" t="s">
        <v>28</v>
      </c>
      <c r="K21" s="5" t="s">
        <v>50</v>
      </c>
      <c r="L21" s="3">
        <v>1.0002899999999999</v>
      </c>
      <c r="N21" s="13">
        <v>2</v>
      </c>
      <c r="O21" s="3">
        <v>45</v>
      </c>
      <c r="P21" s="8">
        <f t="shared" si="1"/>
        <v>44.046783625730988</v>
      </c>
      <c r="Q21" s="8">
        <f t="shared" si="3"/>
        <v>0.95321637426901162</v>
      </c>
      <c r="S21" s="2" t="s">
        <v>26</v>
      </c>
      <c r="T21" s="13">
        <f t="array" ref="T21:U23">LINEST(O4:O21,N4:N21,1,1)</f>
        <v>23.126934984520116</v>
      </c>
      <c r="U21" s="13">
        <v>-2.2070863433092427</v>
      </c>
      <c r="V21" s="2" t="s">
        <v>28</v>
      </c>
    </row>
    <row r="22" spans="1:27" x14ac:dyDescent="0.3">
      <c r="F22" s="2" t="s">
        <v>27</v>
      </c>
      <c r="G22" s="13">
        <v>0.7037635139683871</v>
      </c>
      <c r="H22" s="13">
        <v>0.89900968482193522</v>
      </c>
      <c r="I22" s="2" t="s">
        <v>29</v>
      </c>
      <c r="K22" s="2" t="s">
        <v>31</v>
      </c>
      <c r="L22" s="3">
        <v>0.03</v>
      </c>
      <c r="S22" s="2" t="s">
        <v>27</v>
      </c>
      <c r="T22" s="13">
        <v>0.33892458700223815</v>
      </c>
      <c r="U22" s="13">
        <v>0.42759157161415734</v>
      </c>
      <c r="V22" s="2" t="s">
        <v>29</v>
      </c>
    </row>
    <row r="23" spans="1:27" ht="16.2" x14ac:dyDescent="0.3">
      <c r="F23" s="2" t="s">
        <v>85</v>
      </c>
      <c r="G23" s="9">
        <v>0.99274932078895828</v>
      </c>
      <c r="H23" s="13">
        <v>1.583724954737687</v>
      </c>
      <c r="I23" s="2" t="s">
        <v>30</v>
      </c>
      <c r="K23" s="2" t="s">
        <v>32</v>
      </c>
      <c r="L23" s="3">
        <v>1E-3</v>
      </c>
      <c r="S23" s="2" t="s">
        <v>85</v>
      </c>
      <c r="T23" s="9">
        <v>0.99657547634395116</v>
      </c>
      <c r="U23" s="13">
        <v>0.74601913356402572</v>
      </c>
      <c r="V23" s="2" t="s">
        <v>30</v>
      </c>
    </row>
    <row r="26" spans="1:27" x14ac:dyDescent="0.3">
      <c r="AA26" s="1" t="s">
        <v>84</v>
      </c>
    </row>
  </sheetData>
  <mergeCells count="3">
    <mergeCell ref="F20:I20"/>
    <mergeCell ref="S20:V20"/>
    <mergeCell ref="A1:A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57-8633-457D-8C9C-8EEA04E525B4}">
  <dimension ref="A1:P25"/>
  <sheetViews>
    <sheetView zoomScaleNormal="100" workbookViewId="0">
      <selection activeCell="H18" sqref="H18"/>
    </sheetView>
  </sheetViews>
  <sheetFormatPr defaultRowHeight="14.4" x14ac:dyDescent="0.3"/>
  <cols>
    <col min="1" max="2" width="8.88671875" style="1"/>
    <col min="3" max="3" width="8.77734375" style="1" customWidth="1"/>
    <col min="4" max="4" width="9.44140625" style="1" bestFit="1" customWidth="1"/>
    <col min="5" max="5" width="11.21875" style="1" customWidth="1"/>
    <col min="6" max="6" width="12" style="1" customWidth="1"/>
    <col min="7" max="11" width="8.88671875" style="1"/>
    <col min="12" max="12" width="11.77734375" style="1" customWidth="1"/>
    <col min="13" max="16384" width="8.88671875" style="1"/>
  </cols>
  <sheetData>
    <row r="1" spans="1:16" ht="14.4" customHeight="1" x14ac:dyDescent="0.3">
      <c r="A1" s="30" t="s">
        <v>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15" customHeight="1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ht="15.6" x14ac:dyDescent="0.3">
      <c r="B3" s="2" t="s">
        <v>57</v>
      </c>
      <c r="C3" s="2" t="s">
        <v>5</v>
      </c>
      <c r="D3" s="2" t="s">
        <v>56</v>
      </c>
    </row>
    <row r="4" spans="1:16" x14ac:dyDescent="0.3">
      <c r="B4" s="3">
        <v>5</v>
      </c>
      <c r="C4" s="3">
        <v>20</v>
      </c>
      <c r="D4" s="19">
        <f t="shared" ref="D4:D9" si="0">(G$13*G$12*G$12*(SIN(RADIANS(B4))^2))/(G$13*G$12*(SIN(RADIANS(B4))^2)-C4*G$11)</f>
        <v>1.4348106556451403</v>
      </c>
    </row>
    <row r="5" spans="1:16" x14ac:dyDescent="0.3">
      <c r="B5" s="3">
        <v>6</v>
      </c>
      <c r="C5" s="3">
        <v>30</v>
      </c>
      <c r="D5" s="3">
        <f t="shared" si="0"/>
        <v>1.4620125382545501</v>
      </c>
    </row>
    <row r="6" spans="1:16" x14ac:dyDescent="0.3">
      <c r="B6" s="3">
        <v>7</v>
      </c>
      <c r="C6" s="3">
        <v>37</v>
      </c>
      <c r="D6" s="3">
        <f t="shared" si="0"/>
        <v>1.4020337168286705</v>
      </c>
    </row>
    <row r="7" spans="1:16" x14ac:dyDescent="0.3">
      <c r="B7" s="3">
        <v>8</v>
      </c>
      <c r="C7" s="3">
        <v>47</v>
      </c>
      <c r="D7" s="3">
        <f t="shared" si="0"/>
        <v>1.3875637355899335</v>
      </c>
    </row>
    <row r="8" spans="1:16" x14ac:dyDescent="0.3">
      <c r="B8" s="3">
        <v>9</v>
      </c>
      <c r="C8" s="3">
        <v>58</v>
      </c>
      <c r="D8" s="3">
        <f t="shared" si="0"/>
        <v>1.375176031889934</v>
      </c>
    </row>
    <row r="9" spans="1:16" x14ac:dyDescent="0.3">
      <c r="B9" s="3">
        <v>10</v>
      </c>
      <c r="C9" s="3">
        <v>65</v>
      </c>
      <c r="D9" s="3">
        <f t="shared" si="0"/>
        <v>1.3300709438340121</v>
      </c>
    </row>
    <row r="10" spans="1:16" ht="15.6" x14ac:dyDescent="0.3">
      <c r="B10" s="32" t="s">
        <v>55</v>
      </c>
      <c r="C10" s="32"/>
      <c r="D10" s="9">
        <f>AVERAGE(D4:D9)</f>
        <v>1.3986112703403737</v>
      </c>
    </row>
    <row r="11" spans="1:16" ht="15.6" x14ac:dyDescent="0.3">
      <c r="B11" s="32" t="s">
        <v>59</v>
      </c>
      <c r="C11" s="32"/>
      <c r="D11" s="9">
        <f>_xlfn.STDEV.P(D4:D9)/SQRT(6)</f>
        <v>1.7248884176812387E-2</v>
      </c>
      <c r="F11" s="2" t="s">
        <v>19</v>
      </c>
      <c r="G11" s="4">
        <v>6.328E-7</v>
      </c>
    </row>
    <row r="12" spans="1:16" ht="15.6" x14ac:dyDescent="0.3">
      <c r="B12" s="32" t="s">
        <v>60</v>
      </c>
      <c r="C12" s="32"/>
      <c r="D12" s="6">
        <f>D11/D10</f>
        <v>1.2332865137440658E-2</v>
      </c>
      <c r="F12" s="5" t="s">
        <v>50</v>
      </c>
      <c r="G12" s="3">
        <v>1.0002899999999999</v>
      </c>
    </row>
    <row r="13" spans="1:16" x14ac:dyDescent="0.3">
      <c r="B13" s="32" t="s">
        <v>49</v>
      </c>
      <c r="C13" s="32"/>
      <c r="D13" s="6">
        <f>ABS(D10-G15)/G15</f>
        <v>7.8041351126978395E-2</v>
      </c>
      <c r="F13" s="2" t="s">
        <v>34</v>
      </c>
      <c r="G13" s="4">
        <v>5.4999999999999997E-3</v>
      </c>
    </row>
    <row r="14" spans="1:16" x14ac:dyDescent="0.3">
      <c r="F14" s="2" t="s">
        <v>35</v>
      </c>
      <c r="G14" s="4">
        <v>5.0000000000000001E-4</v>
      </c>
    </row>
    <row r="15" spans="1:16" ht="15.6" x14ac:dyDescent="0.3">
      <c r="B15" s="21" t="s">
        <v>57</v>
      </c>
      <c r="C15" s="21" t="s">
        <v>5</v>
      </c>
      <c r="D15" s="21" t="s">
        <v>79</v>
      </c>
      <c r="F15" s="2" t="s">
        <v>58</v>
      </c>
      <c r="G15" s="9">
        <v>1.5169999999999999</v>
      </c>
    </row>
    <row r="16" spans="1:16" x14ac:dyDescent="0.3">
      <c r="B16" s="22">
        <v>5</v>
      </c>
      <c r="C16" s="22">
        <v>19</v>
      </c>
      <c r="D16" s="22">
        <f t="shared" ref="D16:D21" si="1">(G$13*G$12*G$12*(SIN(RADIANS(B16))^2))/(G$13*G$12*(SIN(RADIANS(B16))^2)-C16*G$11)</f>
        <v>1.404309428324845</v>
      </c>
    </row>
    <row r="17" spans="2:4" x14ac:dyDescent="0.3">
      <c r="B17" s="22">
        <v>6</v>
      </c>
      <c r="C17" s="22">
        <v>28</v>
      </c>
      <c r="D17" s="22">
        <f t="shared" si="1"/>
        <v>1.4183657663638081</v>
      </c>
    </row>
    <row r="18" spans="2:4" x14ac:dyDescent="0.3">
      <c r="B18" s="22">
        <v>7</v>
      </c>
      <c r="C18" s="22">
        <v>37</v>
      </c>
      <c r="D18" s="22">
        <f t="shared" si="1"/>
        <v>1.4020337168286705</v>
      </c>
    </row>
    <row r="19" spans="2:4" x14ac:dyDescent="0.3">
      <c r="B19" s="22">
        <v>8</v>
      </c>
      <c r="C19" s="22">
        <v>45</v>
      </c>
      <c r="D19" s="22">
        <f t="shared" si="1"/>
        <v>1.3650741986505885</v>
      </c>
    </row>
    <row r="20" spans="2:4" x14ac:dyDescent="0.3">
      <c r="B20" s="22">
        <v>9</v>
      </c>
      <c r="C20" s="22">
        <v>58</v>
      </c>
      <c r="D20" s="23">
        <f t="shared" si="1"/>
        <v>1.375176031889934</v>
      </c>
    </row>
    <row r="21" spans="2:4" x14ac:dyDescent="0.3">
      <c r="B21" s="22">
        <v>10</v>
      </c>
      <c r="C21" s="22">
        <v>68</v>
      </c>
      <c r="D21" s="22">
        <f t="shared" si="1"/>
        <v>1.3506223460212641</v>
      </c>
    </row>
    <row r="22" spans="2:4" ht="15.6" x14ac:dyDescent="0.3">
      <c r="B22" s="33" t="s">
        <v>80</v>
      </c>
      <c r="C22" s="33"/>
      <c r="D22" s="24">
        <f>AVERAGE(D16:D21)</f>
        <v>1.385930248013185</v>
      </c>
    </row>
    <row r="23" spans="2:4" ht="15.6" x14ac:dyDescent="0.3">
      <c r="B23" s="33" t="s">
        <v>81</v>
      </c>
      <c r="C23" s="33"/>
      <c r="D23" s="24">
        <f>_xlfn.STDEV.P(D16:D21)/SQRT(6)</f>
        <v>9.7844189204701823E-3</v>
      </c>
    </row>
    <row r="24" spans="2:4" ht="15.6" x14ac:dyDescent="0.3">
      <c r="B24" s="33" t="s">
        <v>82</v>
      </c>
      <c r="C24" s="33"/>
      <c r="D24" s="25">
        <f>D23/D22</f>
        <v>7.0598206038844594E-3</v>
      </c>
    </row>
    <row r="25" spans="2:4" x14ac:dyDescent="0.3">
      <c r="B25" s="33" t="s">
        <v>49</v>
      </c>
      <c r="C25" s="33"/>
      <c r="D25" s="25">
        <f>ABS(D22-G15)/G15</f>
        <v>8.640062754569211E-2</v>
      </c>
    </row>
  </sheetData>
  <mergeCells count="9">
    <mergeCell ref="B12:C12"/>
    <mergeCell ref="B11:C11"/>
    <mergeCell ref="B10:C10"/>
    <mergeCell ref="A1:P2"/>
    <mergeCell ref="B25:C25"/>
    <mergeCell ref="B24:C24"/>
    <mergeCell ref="B23:C23"/>
    <mergeCell ref="B22:C22"/>
    <mergeCell ref="B13:C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85EA-2383-490B-AEDD-2F2B95FB59CC}">
  <dimension ref="A1:O29"/>
  <sheetViews>
    <sheetView zoomScale="115" zoomScaleNormal="115" workbookViewId="0">
      <selection activeCell="L16" sqref="L16"/>
    </sheetView>
  </sheetViews>
  <sheetFormatPr defaultRowHeight="14.4" x14ac:dyDescent="0.3"/>
  <cols>
    <col min="1" max="1" width="8.88671875" style="1"/>
    <col min="2" max="2" width="8.88671875" style="1" customWidth="1"/>
    <col min="3" max="3" width="9.88671875" style="1" bestFit="1" customWidth="1"/>
    <col min="4" max="4" width="8.88671875" style="1"/>
    <col min="5" max="5" width="10" style="1" customWidth="1"/>
    <col min="6" max="9" width="8.88671875" style="1"/>
    <col min="10" max="10" width="15.44140625" style="1" customWidth="1"/>
    <col min="11" max="16384" width="8.88671875" style="1"/>
  </cols>
  <sheetData>
    <row r="1" spans="1:15" x14ac:dyDescent="0.3">
      <c r="A1" s="30" t="s">
        <v>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15.6" x14ac:dyDescent="0.3">
      <c r="A3" s="2" t="s">
        <v>66</v>
      </c>
      <c r="B3" s="2" t="s">
        <v>26</v>
      </c>
      <c r="C3" s="2" t="s">
        <v>67</v>
      </c>
    </row>
    <row r="4" spans="1:15" x14ac:dyDescent="0.3">
      <c r="A4" s="10">
        <v>9.4999999999999998E-3</v>
      </c>
      <c r="B4" s="3">
        <v>1</v>
      </c>
      <c r="C4" s="4">
        <f>ABS(B4)*K$6*K$4/(K$5*A4)</f>
        <v>1.5582344278054102E-4</v>
      </c>
      <c r="J4" s="2" t="s">
        <v>19</v>
      </c>
      <c r="K4" s="4">
        <v>6.328E-7</v>
      </c>
    </row>
    <row r="5" spans="1:15" ht="15" x14ac:dyDescent="0.3">
      <c r="A5" s="10">
        <v>8.9999999999999993E-3</v>
      </c>
      <c r="B5" s="3">
        <v>-1</v>
      </c>
      <c r="C5" s="4">
        <f t="shared" ref="C5:C11" si="0">ABS(B5)*K$6*K$4/(K$5*A5)</f>
        <v>1.6448030071279331E-4</v>
      </c>
      <c r="J5" s="5" t="s">
        <v>50</v>
      </c>
      <c r="K5" s="3">
        <v>1.0002899999999999</v>
      </c>
    </row>
    <row r="6" spans="1:15" x14ac:dyDescent="0.3">
      <c r="A6" s="10">
        <v>1.7000000000000001E-2</v>
      </c>
      <c r="B6" s="3">
        <v>2</v>
      </c>
      <c r="C6" s="4">
        <f t="shared" si="0"/>
        <v>1.7415561251942819E-4</v>
      </c>
      <c r="J6" s="2" t="s">
        <v>61</v>
      </c>
      <c r="K6" s="10">
        <v>2.34</v>
      </c>
    </row>
    <row r="7" spans="1:15" x14ac:dyDescent="0.3">
      <c r="A7" s="10">
        <v>1.7999999999999999E-2</v>
      </c>
      <c r="B7" s="3">
        <v>-2</v>
      </c>
      <c r="C7" s="4">
        <f t="shared" si="0"/>
        <v>1.6448030071279331E-4</v>
      </c>
      <c r="J7" s="2" t="s">
        <v>62</v>
      </c>
      <c r="K7" s="10">
        <v>5.0000000000000001E-4</v>
      </c>
    </row>
    <row r="8" spans="1:15" x14ac:dyDescent="0.3">
      <c r="A8" s="10">
        <v>2.5499999999999998E-2</v>
      </c>
      <c r="B8" s="3">
        <v>3</v>
      </c>
      <c r="C8" s="4">
        <f t="shared" si="0"/>
        <v>1.7415561251942819E-4</v>
      </c>
      <c r="J8" s="2" t="s">
        <v>63</v>
      </c>
      <c r="K8" s="4">
        <v>1.6000000000000001E-4</v>
      </c>
    </row>
    <row r="9" spans="1:15" x14ac:dyDescent="0.3">
      <c r="A9" s="10">
        <v>2.7E-2</v>
      </c>
      <c r="B9" s="3">
        <v>-3</v>
      </c>
      <c r="C9" s="4">
        <f t="shared" si="0"/>
        <v>1.6448030071279329E-4</v>
      </c>
    </row>
    <row r="10" spans="1:15" x14ac:dyDescent="0.3">
      <c r="A10" s="10">
        <v>3.5000000000000003E-2</v>
      </c>
      <c r="B10" s="3">
        <v>4</v>
      </c>
      <c r="C10" s="4">
        <f t="shared" si="0"/>
        <v>1.6917973787601595E-4</v>
      </c>
    </row>
    <row r="11" spans="1:15" x14ac:dyDescent="0.3">
      <c r="A11" s="10">
        <v>3.5999999999999997E-2</v>
      </c>
      <c r="B11" s="3">
        <v>-4</v>
      </c>
      <c r="C11" s="4">
        <f t="shared" si="0"/>
        <v>1.6448030071279331E-4</v>
      </c>
    </row>
    <row r="12" spans="1:15" x14ac:dyDescent="0.3">
      <c r="A12" s="32" t="s">
        <v>64</v>
      </c>
      <c r="B12" s="32"/>
      <c r="C12" s="4">
        <f>AVERAGE(C4:C11)</f>
        <v>1.6640445106832331E-4</v>
      </c>
    </row>
    <row r="13" spans="1:15" x14ac:dyDescent="0.3">
      <c r="A13" s="32" t="s">
        <v>65</v>
      </c>
      <c r="B13" s="32"/>
      <c r="C13" s="15">
        <f>_xlfn.STDEV.P(C4:C11)/SQRT(COUNTA(C4:C11))</f>
        <v>1.9946427440772595E-6</v>
      </c>
    </row>
    <row r="14" spans="1:15" x14ac:dyDescent="0.3">
      <c r="A14" s="32" t="s">
        <v>68</v>
      </c>
      <c r="B14" s="32"/>
      <c r="C14" s="6">
        <f>C13/C12</f>
        <v>1.1986715086474985E-2</v>
      </c>
    </row>
    <row r="15" spans="1:15" x14ac:dyDescent="0.3">
      <c r="A15" s="32" t="s">
        <v>49</v>
      </c>
      <c r="B15" s="32"/>
      <c r="C15" s="6">
        <f>ABS(C12-K8)/K8</f>
        <v>4.0027819177020571E-2</v>
      </c>
    </row>
    <row r="16" spans="1:15" x14ac:dyDescent="0.3">
      <c r="O16" s="1" t="s">
        <v>83</v>
      </c>
    </row>
    <row r="29" spans="7:7" x14ac:dyDescent="0.3">
      <c r="G29" s="1" t="s">
        <v>83</v>
      </c>
    </row>
  </sheetData>
  <mergeCells count="5">
    <mergeCell ref="A1:O2"/>
    <mergeCell ref="A15:B15"/>
    <mergeCell ref="A14:B14"/>
    <mergeCell ref="A13:B13"/>
    <mergeCell ref="A12:B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1A4E-52A8-4341-9391-645898D5A5C1}">
  <dimension ref="B1:P9"/>
  <sheetViews>
    <sheetView zoomScaleNormal="100" workbookViewId="0">
      <selection activeCell="H12" sqref="H12"/>
    </sheetView>
  </sheetViews>
  <sheetFormatPr defaultRowHeight="14.4" x14ac:dyDescent="0.3"/>
  <cols>
    <col min="1" max="10" width="8.88671875" style="1"/>
    <col min="11" max="11" width="11.88671875" style="1" customWidth="1"/>
    <col min="12" max="16384" width="8.88671875" style="1"/>
  </cols>
  <sheetData>
    <row r="1" spans="2:16" x14ac:dyDescent="0.3">
      <c r="B1" s="30" t="s">
        <v>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2:16" x14ac:dyDescent="0.3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2:16" x14ac:dyDescent="0.3">
      <c r="B3" s="26" t="s">
        <v>39</v>
      </c>
      <c r="C3" s="26" t="s">
        <v>26</v>
      </c>
      <c r="D3" s="26" t="s">
        <v>28</v>
      </c>
      <c r="E3" s="26" t="s">
        <v>40</v>
      </c>
      <c r="F3" s="26" t="s">
        <v>36</v>
      </c>
    </row>
    <row r="4" spans="2:16" x14ac:dyDescent="0.3">
      <c r="B4" s="27">
        <v>2.5000000000000001E-2</v>
      </c>
      <c r="C4" s="27">
        <v>1</v>
      </c>
      <c r="D4" s="28">
        <f>ABS(C4)*L$6*L$4/(L$5*B4)</f>
        <v>5.9491259534734934E-5</v>
      </c>
      <c r="E4" s="44">
        <f>AVERAGE(D4:D11)</f>
        <v>6.3111098077853726E-5</v>
      </c>
      <c r="F4" s="44">
        <f>_xlfn.STDEV.P(D4:D11)/SQRT(COUNTA(D4:D11))</f>
        <v>1.1165783691493025E-6</v>
      </c>
      <c r="K4" s="26" t="s">
        <v>19</v>
      </c>
      <c r="L4" s="28">
        <v>6.328E-7</v>
      </c>
    </row>
    <row r="5" spans="2:16" ht="15" x14ac:dyDescent="0.3">
      <c r="B5" s="27">
        <v>2.5000000000000001E-2</v>
      </c>
      <c r="C5" s="27">
        <v>-1</v>
      </c>
      <c r="D5" s="27">
        <f t="shared" ref="D5:D9" si="0">ABS(C5)*L$6*L$4/(L$5*B5)</f>
        <v>5.9491259534734934E-5</v>
      </c>
      <c r="E5" s="45"/>
      <c r="F5" s="45"/>
      <c r="K5" s="29" t="s">
        <v>50</v>
      </c>
      <c r="L5" s="27">
        <v>1.0002899999999999</v>
      </c>
    </row>
    <row r="6" spans="2:16" x14ac:dyDescent="0.3">
      <c r="B6" s="27">
        <v>4.4999999999999998E-2</v>
      </c>
      <c r="C6" s="27">
        <v>2</v>
      </c>
      <c r="D6" s="27">
        <f t="shared" si="0"/>
        <v>6.6101399483038822E-5</v>
      </c>
      <c r="E6" s="45"/>
      <c r="F6" s="45"/>
      <c r="K6" s="26" t="s">
        <v>37</v>
      </c>
      <c r="L6" s="28">
        <v>2.351</v>
      </c>
    </row>
    <row r="7" spans="2:16" x14ac:dyDescent="0.3">
      <c r="B7" s="27">
        <v>4.4999999999999998E-2</v>
      </c>
      <c r="C7" s="27">
        <v>-2</v>
      </c>
      <c r="D7" s="27">
        <f t="shared" si="0"/>
        <v>6.6101399483038822E-5</v>
      </c>
      <c r="E7" s="45"/>
      <c r="F7" s="45"/>
      <c r="K7" s="26" t="s">
        <v>38</v>
      </c>
      <c r="L7" s="28">
        <v>5.0000000000000001E-4</v>
      </c>
    </row>
    <row r="8" spans="2:16" x14ac:dyDescent="0.3">
      <c r="B8" s="27">
        <v>7.0000000000000007E-2</v>
      </c>
      <c r="C8" s="27">
        <v>3</v>
      </c>
      <c r="D8" s="27">
        <f t="shared" si="0"/>
        <v>6.3740635215787423E-5</v>
      </c>
      <c r="E8" s="45"/>
      <c r="F8" s="45"/>
    </row>
    <row r="9" spans="2:16" x14ac:dyDescent="0.3">
      <c r="B9" s="27">
        <v>7.0000000000000007E-2</v>
      </c>
      <c r="C9" s="27">
        <v>-3</v>
      </c>
      <c r="D9" s="27">
        <f t="shared" si="0"/>
        <v>6.3740635215787423E-5</v>
      </c>
      <c r="E9" s="46"/>
      <c r="F9" s="46"/>
      <c r="H9" s="1" t="s">
        <v>83</v>
      </c>
    </row>
  </sheetData>
  <mergeCells count="3">
    <mergeCell ref="B1:P2"/>
    <mergeCell ref="F4:F9"/>
    <mergeCell ref="E4:E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3081-7852-47E0-A7A6-CA8790E2233F}">
  <dimension ref="B1:X19"/>
  <sheetViews>
    <sheetView topLeftCell="A3" zoomScale="115" zoomScaleNormal="115" workbookViewId="0">
      <selection activeCell="H23" sqref="H23"/>
    </sheetView>
  </sheetViews>
  <sheetFormatPr defaultRowHeight="14.4" x14ac:dyDescent="0.3"/>
  <cols>
    <col min="1" max="1" width="8.88671875" style="1"/>
    <col min="2" max="2" width="13.77734375" style="1" customWidth="1"/>
    <col min="3" max="12" width="8.88671875" style="1"/>
    <col min="13" max="13" width="16.44140625" style="1" customWidth="1"/>
    <col min="14" max="16384" width="8.88671875" style="1"/>
  </cols>
  <sheetData>
    <row r="1" spans="2:24" ht="14.4" customHeight="1" x14ac:dyDescent="0.3">
      <c r="B1" s="30" t="s">
        <v>41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2:24" ht="14.4" customHeight="1" x14ac:dyDescent="0.3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9" spans="2:24" x14ac:dyDescent="0.3"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M9" s="2" t="s">
        <v>19</v>
      </c>
      <c r="N9" s="4">
        <v>6.328E-7</v>
      </c>
    </row>
    <row r="10" spans="2:24" ht="15" x14ac:dyDescent="0.3">
      <c r="B10" s="2" t="s">
        <v>6</v>
      </c>
      <c r="C10" s="4">
        <v>4.4999999999999997E-3</v>
      </c>
      <c r="D10" s="4">
        <v>7.0000000000000001E-3</v>
      </c>
      <c r="E10" s="4">
        <v>1.2500000000000001E-2</v>
      </c>
      <c r="F10" s="39">
        <v>1.8499999999999999E-2</v>
      </c>
      <c r="M10" s="5" t="s">
        <v>50</v>
      </c>
      <c r="N10" s="3">
        <v>1.0002899999999999</v>
      </c>
    </row>
    <row r="11" spans="2:24" x14ac:dyDescent="0.3">
      <c r="B11" s="2" t="s">
        <v>7</v>
      </c>
      <c r="C11" s="4">
        <v>4.0000000000000001E-3</v>
      </c>
      <c r="D11" s="4">
        <v>8.0000000000000002E-3</v>
      </c>
      <c r="E11" s="4">
        <v>1.2E-2</v>
      </c>
      <c r="F11" s="40"/>
      <c r="M11" s="2" t="s">
        <v>61</v>
      </c>
      <c r="N11" s="10">
        <v>2.36</v>
      </c>
    </row>
    <row r="12" spans="2:24" x14ac:dyDescent="0.3">
      <c r="B12" s="2" t="s">
        <v>8</v>
      </c>
      <c r="C12" s="4">
        <v>4.4999999999999997E-3</v>
      </c>
      <c r="D12" s="4">
        <v>8.0000000000000002E-3</v>
      </c>
      <c r="E12" s="4">
        <v>1.35E-2</v>
      </c>
      <c r="F12" s="41"/>
      <c r="M12" s="2" t="s">
        <v>62</v>
      </c>
      <c r="N12" s="10">
        <v>5.0000000000000001E-4</v>
      </c>
    </row>
    <row r="13" spans="2:24" x14ac:dyDescent="0.3">
      <c r="B13" s="2" t="s">
        <v>16</v>
      </c>
      <c r="C13" s="14">
        <f>AVERAGE(C10:C12)</f>
        <v>4.333333333333334E-3</v>
      </c>
      <c r="D13" s="14">
        <f>AVERAGE(D10:D12)</f>
        <v>7.6666666666666662E-3</v>
      </c>
      <c r="E13" s="4">
        <f t="shared" ref="E13" si="0">AVERAGE(E10:E12)</f>
        <v>1.2666666666666666E-2</v>
      </c>
      <c r="F13" s="4">
        <f>AVERAGE(F10)</f>
        <v>1.8499999999999999E-2</v>
      </c>
      <c r="M13" s="2" t="s">
        <v>70</v>
      </c>
      <c r="N13" s="4">
        <v>4.0000000000000002E-4</v>
      </c>
    </row>
    <row r="14" spans="2:24" x14ac:dyDescent="0.3">
      <c r="B14" s="2" t="s">
        <v>17</v>
      </c>
      <c r="C14" s="15">
        <f>_xlfn.STDEV.P(C10:C12)/SQRT(3)</f>
        <v>1.3608276348795424E-4</v>
      </c>
      <c r="D14" s="15">
        <f>_xlfn.STDEV.P(D10:D12)/SQRT(3)</f>
        <v>2.721655269759087E-4</v>
      </c>
      <c r="E14" s="15">
        <f t="shared" ref="E14" si="1">_xlfn.STDEV.P(E10:E12)/SQRT(3)</f>
        <v>3.6004114991154771E-4</v>
      </c>
      <c r="F14" s="15">
        <f>N14</f>
        <v>5.0000000000000001E-4</v>
      </c>
      <c r="M14" s="2" t="s">
        <v>71</v>
      </c>
      <c r="N14" s="3">
        <f>0.5*10^-3</f>
        <v>5.0000000000000001E-4</v>
      </c>
    </row>
    <row r="15" spans="2:24" x14ac:dyDescent="0.3">
      <c r="B15" s="2" t="s">
        <v>74</v>
      </c>
      <c r="C15" s="4">
        <f>1.22*N$9*N$11/(N$10*C13)</f>
        <v>4.2032989509965184E-4</v>
      </c>
      <c r="D15" s="4">
        <f>2.23*N$9*N$11/(N$10*D13)</f>
        <v>4.3426099996218495E-4</v>
      </c>
      <c r="E15" s="4">
        <f>3.24*N$9*N$11/(N$10*E13)</f>
        <v>3.8188729899907981E-4</v>
      </c>
      <c r="F15" s="4">
        <f>4.24*N$9*N$11/(N$10*F13)</f>
        <v>3.4217373826455201E-4</v>
      </c>
    </row>
    <row r="16" spans="2:24" x14ac:dyDescent="0.3">
      <c r="B16" s="2" t="s">
        <v>72</v>
      </c>
      <c r="C16" s="35">
        <f>AVERAGE(C15:F15)</f>
        <v>3.9466298308136718E-4</v>
      </c>
      <c r="D16" s="36"/>
      <c r="E16" s="36"/>
      <c r="F16" s="37"/>
    </row>
    <row r="17" spans="2:6" x14ac:dyDescent="0.3">
      <c r="B17" s="2" t="s">
        <v>73</v>
      </c>
      <c r="C17" s="38">
        <f>_xlfn.STDEV.P(C15:F15)/SQRT(COUNTA(C15:F15))</f>
        <v>1.7932394288441141E-5</v>
      </c>
      <c r="D17" s="38"/>
      <c r="E17" s="38"/>
      <c r="F17" s="38"/>
    </row>
    <row r="18" spans="2:6" x14ac:dyDescent="0.3">
      <c r="B18" s="2" t="s">
        <v>69</v>
      </c>
      <c r="C18" s="34">
        <f>C17/C16</f>
        <v>4.5437233936743544E-2</v>
      </c>
      <c r="D18" s="34"/>
      <c r="E18" s="34"/>
      <c r="F18" s="34"/>
    </row>
    <row r="19" spans="2:6" x14ac:dyDescent="0.3">
      <c r="B19" s="2" t="s">
        <v>20</v>
      </c>
      <c r="C19" s="34">
        <f>ABS(C16-N13)/N13</f>
        <v>1.3342542296582105E-2</v>
      </c>
      <c r="D19" s="34"/>
      <c r="E19" s="34"/>
      <c r="F19" s="34"/>
    </row>
  </sheetData>
  <mergeCells count="6">
    <mergeCell ref="C19:F19"/>
    <mergeCell ref="C16:F16"/>
    <mergeCell ref="C17:F17"/>
    <mergeCell ref="B1:X2"/>
    <mergeCell ref="C18:F18"/>
    <mergeCell ref="F10:F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3CB5-D16A-4426-8E5D-ED09DF9E09D0}">
  <dimension ref="B1:P22"/>
  <sheetViews>
    <sheetView workbookViewId="0">
      <selection activeCell="L19" sqref="L19"/>
    </sheetView>
  </sheetViews>
  <sheetFormatPr defaultRowHeight="14.4" x14ac:dyDescent="0.3"/>
  <cols>
    <col min="1" max="10" width="8.88671875" style="1"/>
    <col min="11" max="11" width="12.44140625" style="1" customWidth="1"/>
    <col min="12" max="16384" width="8.88671875" style="1"/>
  </cols>
  <sheetData>
    <row r="1" spans="2:16" x14ac:dyDescent="0.3">
      <c r="B1" s="30" t="s">
        <v>3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2:16" x14ac:dyDescent="0.3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2:16" x14ac:dyDescent="0.3">
      <c r="B3" s="2" t="s">
        <v>39</v>
      </c>
      <c r="C3" s="2" t="s">
        <v>26</v>
      </c>
      <c r="D3" s="2" t="s">
        <v>28</v>
      </c>
      <c r="E3" s="2" t="s">
        <v>40</v>
      </c>
      <c r="F3" s="2" t="s">
        <v>36</v>
      </c>
    </row>
    <row r="4" spans="2:16" x14ac:dyDescent="0.3">
      <c r="B4" s="4">
        <v>5.0000000000000001E-3</v>
      </c>
      <c r="C4" s="3">
        <v>1</v>
      </c>
      <c r="D4" s="3">
        <f>ABS(C4)*L$6*L$4/(L$5*B4)</f>
        <v>6.0731187955492917E-5</v>
      </c>
      <c r="E4" s="42">
        <f>AVERAGE(D4:D11)</f>
        <v>3.8888126178535052E-5</v>
      </c>
      <c r="F4" s="42">
        <f>_xlfn.STDEV.P(D4:D11)/SQRT(COUNTA(D4:D11))</f>
        <v>3.7376974630495201E-6</v>
      </c>
      <c r="H4" s="43" t="s">
        <v>47</v>
      </c>
      <c r="I4" s="43"/>
      <c r="K4" s="2" t="s">
        <v>19</v>
      </c>
      <c r="L4" s="4">
        <v>6.328E-7</v>
      </c>
    </row>
    <row r="5" spans="2:16" ht="15" x14ac:dyDescent="0.3">
      <c r="B5" s="4">
        <v>6.0000000000000001E-3</v>
      </c>
      <c r="C5" s="3">
        <v>-1</v>
      </c>
      <c r="D5" s="3">
        <f t="shared" ref="D5:D11" si="0">ABS(C5)*L$6*L$4/(L$5*B5)</f>
        <v>5.0609323296244094E-5</v>
      </c>
      <c r="E5" s="42"/>
      <c r="F5" s="42"/>
      <c r="H5" s="43"/>
      <c r="I5" s="43"/>
      <c r="K5" s="5" t="s">
        <v>50</v>
      </c>
      <c r="L5" s="3">
        <v>1.0002899999999999</v>
      </c>
    </row>
    <row r="6" spans="2:16" x14ac:dyDescent="0.3">
      <c r="B6" s="4">
        <v>1.6E-2</v>
      </c>
      <c r="C6" s="3">
        <v>2</v>
      </c>
      <c r="D6" s="3">
        <f t="shared" si="0"/>
        <v>3.7956992472183071E-5</v>
      </c>
      <c r="E6" s="42"/>
      <c r="F6" s="42"/>
      <c r="H6" s="43"/>
      <c r="I6" s="43"/>
      <c r="K6" s="2" t="s">
        <v>37</v>
      </c>
      <c r="L6" s="8">
        <v>0.48</v>
      </c>
    </row>
    <row r="7" spans="2:16" x14ac:dyDescent="0.3">
      <c r="B7" s="4">
        <v>1.55E-2</v>
      </c>
      <c r="C7" s="3">
        <v>-2</v>
      </c>
      <c r="D7" s="3">
        <f t="shared" si="0"/>
        <v>3.9181411584188975E-5</v>
      </c>
      <c r="E7" s="42"/>
      <c r="F7" s="42"/>
      <c r="H7" s="43"/>
      <c r="I7" s="43"/>
      <c r="K7" s="2" t="s">
        <v>38</v>
      </c>
      <c r="L7" s="10">
        <v>5.0000000000000001E-4</v>
      </c>
    </row>
    <row r="8" spans="2:16" x14ac:dyDescent="0.3">
      <c r="B8" s="4">
        <v>2.9000000000000001E-2</v>
      </c>
      <c r="C8" s="3">
        <v>3</v>
      </c>
      <c r="D8" s="3">
        <f t="shared" si="0"/>
        <v>3.1412683425254956E-5</v>
      </c>
      <c r="E8" s="42"/>
      <c r="F8" s="42"/>
    </row>
    <row r="9" spans="2:16" x14ac:dyDescent="0.3">
      <c r="B9" s="4">
        <v>2.8000000000000001E-2</v>
      </c>
      <c r="C9" s="3">
        <v>-3</v>
      </c>
      <c r="D9" s="3">
        <f t="shared" si="0"/>
        <v>3.253456497615692E-5</v>
      </c>
      <c r="E9" s="42"/>
      <c r="F9" s="42"/>
      <c r="K9" s="1">
        <v>5</v>
      </c>
    </row>
    <row r="10" spans="2:16" x14ac:dyDescent="0.3">
      <c r="B10" s="4">
        <v>5.1499999999999997E-2</v>
      </c>
      <c r="C10" s="3">
        <v>5</v>
      </c>
      <c r="D10" s="3">
        <f t="shared" si="0"/>
        <v>2.948115920169559E-5</v>
      </c>
      <c r="E10" s="42"/>
      <c r="F10" s="42"/>
    </row>
    <row r="11" spans="2:16" x14ac:dyDescent="0.3">
      <c r="B11" s="4">
        <v>5.1999999999999998E-2</v>
      </c>
      <c r="C11" s="3">
        <v>-5</v>
      </c>
      <c r="D11" s="3">
        <f t="shared" si="0"/>
        <v>2.9197686517063899E-5</v>
      </c>
      <c r="E11" s="42"/>
      <c r="F11" s="42"/>
    </row>
    <row r="22" spans="13:13" x14ac:dyDescent="0.3">
      <c r="M22" s="1" t="s">
        <v>83</v>
      </c>
    </row>
  </sheetData>
  <mergeCells count="4">
    <mergeCell ref="B1:P2"/>
    <mergeCell ref="E4:E11"/>
    <mergeCell ref="F4:F11"/>
    <mergeCell ref="H4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P1.1</vt:lpstr>
      <vt:lpstr>P1.2</vt:lpstr>
      <vt:lpstr>P1.3</vt:lpstr>
      <vt:lpstr>P2.1</vt:lpstr>
      <vt:lpstr>P2.2</vt:lpstr>
      <vt:lpstr>P2.3</vt:lpstr>
      <vt:lpstr>P2.1 FENDA MULTIPLA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2023-09-24T21:28:11Z</dcterms:created>
  <dcterms:modified xsi:type="dcterms:W3CDTF">2023-10-09T15:37:23Z</dcterms:modified>
</cp:coreProperties>
</file>