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9\"/>
    </mc:Choice>
  </mc:AlternateContent>
  <xr:revisionPtr revIDLastSave="0" documentId="13_ncr:1_{8B33BF7D-84EE-472F-AB24-1F2EBB426DB7}" xr6:coauthVersionLast="47" xr6:coauthVersionMax="47" xr10:uidLastSave="{00000000-0000-0000-0000-000000000000}"/>
  <bookViews>
    <workbookView xWindow="-108" yWindow="-108" windowWidth="23256" windowHeight="12456" activeTab="1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3" l="1"/>
  <c r="E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3" i="13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3" i="11"/>
  <c r="L10" i="13"/>
  <c r="L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3" i="10"/>
  <c r="D3" i="10"/>
  <c r="AB10" i="12"/>
  <c r="N23" i="12"/>
  <c r="B24" i="11" l="1" a="1"/>
  <c r="B24" i="11" s="1"/>
  <c r="AB15" i="12"/>
  <c r="AD15" i="12"/>
  <c r="AB7" i="12"/>
  <c r="AB9" i="12"/>
  <c r="AB13" i="12"/>
  <c r="AB14" i="12" s="1"/>
  <c r="AB12" i="12"/>
  <c r="N24" i="12" l="1"/>
  <c r="N25" i="12"/>
  <c r="N26" i="12"/>
  <c r="I24" i="12" a="1"/>
  <c r="I24" i="12" s="1"/>
  <c r="D3" i="12"/>
  <c r="D4" i="12"/>
  <c r="D5" i="12"/>
  <c r="D6" i="12"/>
  <c r="D7" i="12"/>
  <c r="D8" i="12"/>
  <c r="D9" i="12"/>
  <c r="D10" i="12"/>
  <c r="D11" i="12"/>
  <c r="D12" i="12"/>
  <c r="D2" i="12"/>
  <c r="J25" i="12" l="1"/>
  <c r="I26" i="12"/>
  <c r="I25" i="12"/>
  <c r="J26" i="12"/>
  <c r="J24" i="12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3" i="13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I28" i="10"/>
  <c r="B25" i="12" a="1"/>
  <c r="B25" i="12" s="1"/>
  <c r="C25" i="12" s="1" a="1"/>
  <c r="C25" i="12" s="1"/>
  <c r="G2" i="12" s="1"/>
  <c r="G8" i="12" l="1"/>
  <c r="G7" i="12"/>
  <c r="G6" i="12"/>
  <c r="G5" i="12"/>
  <c r="G9" i="12"/>
  <c r="G12" i="12"/>
  <c r="G4" i="12"/>
  <c r="G10" i="12"/>
  <c r="G11" i="12"/>
  <c r="G3" i="12"/>
  <c r="C14" i="12" a="1"/>
  <c r="C14" i="12" s="1"/>
  <c r="B14" i="12" a="1"/>
  <c r="B14" i="12" s="1"/>
  <c r="N2" i="12"/>
  <c r="E9" i="13"/>
  <c r="V13" i="11"/>
  <c r="E3" i="11" s="1"/>
  <c r="E7" i="11" l="1"/>
  <c r="E21" i="11"/>
  <c r="E4" i="11"/>
  <c r="E12" i="11"/>
  <c r="E20" i="11"/>
  <c r="E5" i="11"/>
  <c r="E13" i="11"/>
  <c r="E14" i="11"/>
  <c r="E15" i="11"/>
  <c r="E17" i="11"/>
  <c r="E11" i="11"/>
  <c r="E8" i="11"/>
  <c r="E16" i="11"/>
  <c r="E10" i="11"/>
  <c r="E6" i="11"/>
  <c r="E9" i="11"/>
  <c r="F9" i="11" s="1"/>
  <c r="E18" i="11"/>
  <c r="E19" i="11"/>
  <c r="E22" i="11"/>
  <c r="E14" i="13"/>
  <c r="E15" i="13"/>
  <c r="E16" i="13"/>
  <c r="E10" i="13"/>
  <c r="E11" i="13"/>
  <c r="E12" i="13"/>
  <c r="E4" i="13"/>
  <c r="E5" i="13"/>
  <c r="E17" i="13"/>
  <c r="E18" i="13"/>
  <c r="E19" i="13"/>
  <c r="E20" i="13"/>
  <c r="E21" i="13"/>
  <c r="E22" i="13"/>
  <c r="E13" i="13"/>
  <c r="E6" i="13"/>
  <c r="E7" i="13"/>
  <c r="E8" i="13"/>
  <c r="F14" i="11" l="1"/>
  <c r="F6" i="11"/>
  <c r="F10" i="11"/>
  <c r="F5" i="11"/>
  <c r="F3" i="11"/>
  <c r="F13" i="11"/>
  <c r="F7" i="11"/>
  <c r="F16" i="11"/>
  <c r="F20" i="11"/>
  <c r="F11" i="11"/>
  <c r="F19" i="11"/>
  <c r="F17" i="11"/>
  <c r="F21" i="11"/>
  <c r="F8" i="11"/>
  <c r="F12" i="11"/>
  <c r="F22" i="11"/>
  <c r="F4" i="11"/>
  <c r="F18" i="11"/>
  <c r="F15" i="11"/>
  <c r="G15" i="13"/>
  <c r="G11" i="13"/>
  <c r="G17" i="13"/>
  <c r="G20" i="13"/>
  <c r="G16" i="13"/>
  <c r="G14" i="13"/>
  <c r="G21" i="13"/>
  <c r="G6" i="13"/>
  <c r="G5" i="13"/>
  <c r="G10" i="13"/>
  <c r="G18" i="13"/>
  <c r="G4" i="13"/>
  <c r="G19" i="13"/>
  <c r="G13" i="13"/>
  <c r="G22" i="13"/>
  <c r="G12" i="13"/>
  <c r="G8" i="13"/>
  <c r="G9" i="13"/>
  <c r="G7" i="13"/>
  <c r="H3" i="11"/>
  <c r="H20" i="11"/>
  <c r="F21" i="13"/>
  <c r="F20" i="13"/>
  <c r="F16" i="13"/>
  <c r="F15" i="13"/>
  <c r="F10" i="13"/>
  <c r="F8" i="13"/>
  <c r="F17" i="13"/>
  <c r="F14" i="13"/>
  <c r="F18" i="13"/>
  <c r="F19" i="13"/>
  <c r="F11" i="13"/>
  <c r="F9" i="13"/>
  <c r="F7" i="13"/>
  <c r="F6" i="13"/>
  <c r="F13" i="13"/>
  <c r="F4" i="13"/>
  <c r="F22" i="13"/>
  <c r="F12" i="13"/>
  <c r="F3" i="13"/>
  <c r="F5" i="13"/>
  <c r="H16" i="11"/>
  <c r="H8" i="11"/>
  <c r="H12" i="11"/>
  <c r="H10" i="11"/>
  <c r="H22" i="11"/>
  <c r="H11" i="11"/>
  <c r="H4" i="11"/>
  <c r="H19" i="11"/>
  <c r="H17" i="11"/>
  <c r="H5" i="11"/>
  <c r="H21" i="11"/>
  <c r="H6" i="11"/>
  <c r="H18" i="11"/>
  <c r="H15" i="11"/>
  <c r="H7" i="11"/>
  <c r="H13" i="11"/>
  <c r="H9" i="11"/>
  <c r="H14" i="1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N5" i="12"/>
  <c r="N3" i="12" s="1"/>
  <c r="J17" i="11" l="1"/>
  <c r="J27" i="11"/>
  <c r="J22" i="11"/>
  <c r="J29" i="11"/>
  <c r="J31" i="11"/>
  <c r="J33" i="11"/>
  <c r="J32" i="11"/>
  <c r="J24" i="11"/>
  <c r="J20" i="11"/>
  <c r="J23" i="11"/>
  <c r="J35" i="11"/>
  <c r="J28" i="11"/>
  <c r="J30" i="11"/>
  <c r="J26" i="11"/>
  <c r="J21" i="11"/>
  <c r="J25" i="11"/>
  <c r="J19" i="11"/>
  <c r="J18" i="11"/>
  <c r="J34" i="11"/>
  <c r="I3" i="12" a="1"/>
  <c r="I3" i="12" s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3" i="10"/>
  <c r="J3" i="10" s="1"/>
  <c r="N3" i="10" s="1"/>
  <c r="J4" i="10" l="1"/>
  <c r="N4" i="10" s="1"/>
  <c r="I4" i="10"/>
  <c r="M4" i="10" s="1"/>
  <c r="I18" i="10"/>
  <c r="M18" i="10" s="1"/>
  <c r="J18" i="10"/>
  <c r="N18" i="10" s="1"/>
  <c r="I5" i="10"/>
  <c r="M5" i="10" s="1"/>
  <c r="J5" i="10"/>
  <c r="N5" i="10" s="1"/>
  <c r="I15" i="10"/>
  <c r="M15" i="10" s="1"/>
  <c r="J15" i="10"/>
  <c r="N15" i="10" s="1"/>
  <c r="I10" i="10"/>
  <c r="M10" i="10" s="1"/>
  <c r="J10" i="10"/>
  <c r="N10" i="10" s="1"/>
  <c r="J17" i="10"/>
  <c r="N17" i="10" s="1"/>
  <c r="I17" i="10"/>
  <c r="M17" i="10" s="1"/>
  <c r="I12" i="10"/>
  <c r="M12" i="10" s="1"/>
  <c r="J12" i="10"/>
  <c r="N12" i="10" s="1"/>
  <c r="I3" i="10"/>
  <c r="M3" i="10" s="1"/>
  <c r="I9" i="10"/>
  <c r="M9" i="10" s="1"/>
  <c r="J9" i="10"/>
  <c r="N9" i="10" s="1"/>
  <c r="J20" i="10"/>
  <c r="N20" i="10" s="1"/>
  <c r="I20" i="10"/>
  <c r="M20" i="10" s="1"/>
  <c r="I8" i="10"/>
  <c r="M8" i="10" s="1"/>
  <c r="J8" i="10"/>
  <c r="N8" i="10" s="1"/>
  <c r="I6" i="10"/>
  <c r="M6" i="10" s="1"/>
  <c r="J6" i="10"/>
  <c r="N6" i="10" s="1"/>
  <c r="J16" i="10"/>
  <c r="N16" i="10" s="1"/>
  <c r="I16" i="10"/>
  <c r="M16" i="10" s="1"/>
  <c r="I14" i="10"/>
  <c r="M14" i="10" s="1"/>
  <c r="J14" i="10"/>
  <c r="N14" i="10" s="1"/>
  <c r="J13" i="10"/>
  <c r="N13" i="10" s="1"/>
  <c r="I13" i="10"/>
  <c r="M13" i="10" s="1"/>
  <c r="J11" i="10"/>
  <c r="N11" i="10" s="1"/>
  <c r="I11" i="10"/>
  <c r="M11" i="10" s="1"/>
  <c r="I21" i="10"/>
  <c r="M21" i="10" s="1"/>
  <c r="J21" i="10"/>
  <c r="N21" i="10" s="1"/>
  <c r="J19" i="10"/>
  <c r="N19" i="10" s="1"/>
  <c r="I19" i="10"/>
  <c r="M19" i="10" s="1"/>
  <c r="J7" i="10"/>
  <c r="N7" i="10" s="1"/>
  <c r="I7" i="10"/>
  <c r="M7" i="10" s="1"/>
  <c r="J3" i="12"/>
  <c r="E4" i="12" s="1"/>
  <c r="F4" i="12" s="1"/>
  <c r="J5" i="12"/>
  <c r="I5" i="12"/>
  <c r="J4" i="12"/>
  <c r="I4" i="12"/>
  <c r="AB58" i="10" l="1"/>
  <c r="AB41" i="10"/>
  <c r="E12" i="12"/>
  <c r="F12" i="12" s="1"/>
  <c r="E8" i="12"/>
  <c r="F8" i="12" s="1"/>
  <c r="E9" i="12"/>
  <c r="F9" i="12" s="1"/>
  <c r="E2" i="12"/>
  <c r="F2" i="12" s="1"/>
  <c r="E7" i="12"/>
  <c r="F7" i="12" s="1"/>
  <c r="E11" i="12"/>
  <c r="F11" i="12" s="1"/>
  <c r="E3" i="12"/>
  <c r="F3" i="12" s="1"/>
  <c r="E10" i="12"/>
  <c r="F10" i="12" s="1"/>
  <c r="E5" i="12"/>
  <c r="F5" i="12" s="1"/>
  <c r="E6" i="12"/>
  <c r="F6" i="12" s="1"/>
  <c r="N4" i="12" l="1"/>
  <c r="S2" i="12" s="1"/>
  <c r="S5" i="12" s="1"/>
  <c r="P4" i="12"/>
  <c r="S3" i="12" l="1"/>
  <c r="S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<sst xmlns="http://schemas.openxmlformats.org/spreadsheetml/2006/main" count="98" uniqueCount="66">
  <si>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</si>
  <si>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</si>
  <si>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</si>
  <si>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</si>
  <si>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</si>
  <si>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</si>
  <si>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</si>
  <si>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</si>
  <si>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</si>
  <si>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</si>
  <si>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</si>
  <si>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</si>
  <si>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</si>
  <si>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</si>
  <si>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</si>
  <si>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</si>
  <si>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</si>
  <si>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</si>
  <si>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</si>
  <si>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</si>
  <si>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</si>
  <si>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</si>
  <si>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</si>
  <si>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</si>
  <si>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</si>
  <si>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</si>
  <si>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</si>
  <si>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</si>
  <si>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</si>
  <si>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</si>
  <si>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</si>
  <si>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</si>
  <si>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</si>
  <si>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</si>
  <si>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</si>
  <si>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</si>
  <si>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</si>
  <si>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</si>
  <si>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</si>
  <si>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</si>
  <si>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</si>
  <si>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Correção de 5º para a esquerda</t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</si>
  <si>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</si>
  <si>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</si>
  <si>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</si>
  <si>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</si>
  <si>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</si>
  <si>
    <t>excel</t>
  </si>
  <si>
    <t>escala</t>
  </si>
  <si>
    <t xml:space="preserve"> </t>
  </si>
  <si>
    <t>n acr</t>
  </si>
  <si>
    <t>u(n acr)</t>
  </si>
  <si>
    <t>c acr</t>
  </si>
  <si>
    <t>L</t>
  </si>
  <si>
    <t>t ar</t>
  </si>
  <si>
    <t>t ar+acr</t>
  </si>
  <si>
    <t>u(c acr)</t>
  </si>
  <si>
    <t>u(n acr) (%)</t>
  </si>
  <si>
    <t>u(c acr) (%)</t>
  </si>
  <si>
    <t>ref</t>
  </si>
  <si>
    <t>pa norm</t>
  </si>
  <si>
    <t>vpp norm</t>
  </si>
  <si>
    <t>Laser, polarizado linearmente (penso eu). Entra no primeiro polarizador e consequentemente transforma a polarização da luz numa polarização linear com o ângulo alpha (θ P) . Ao usar a lamina temos indice de refração diferentes para diferentes eixos ( O eixo da lamina e o eixo perpendicular ao mesmo.). Isto transforma a polarização linear numa polarização circular(45º) ou eliptica (diferente de 45º). Ao atingir o analisador, forçamos novamente a projetar a polarização sobre o eixo do analisador, obtendo novamente uma polarização linear.</t>
  </si>
  <si>
    <t>Esta correção provem do facto do laser não estar perfeitamente polarizado para 45º, valor pretendido pela lei de malus.</t>
  </si>
  <si>
    <t>pa norm 2</t>
  </si>
  <si>
    <t>pa norm2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</si>
</sst>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E+00"/>
    <numFmt numFmtId="167" formatCode="0.000E+00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do polarizador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Lei de Malus</a:t>
            </a:r>
            <a:r>
              <a:rPr lang="pt-PT" baseline="0"/>
              <a:t> - Valores T</a:t>
            </a:r>
            <a:r>
              <a:rPr lang="pt-PT"/>
              <a:t>eóricos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2B2-A917-B1D84562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687404328344"/>
          <c:w val="0.30697182561723352"/>
          <c:h val="0.201141160693880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marker>
            <c:symbol val="circle"/>
            <c:size val="5"/>
          </c:marker>
          <c:xVal>
            <c:numRef>
              <c:f>Polarização!$J$3:$J$21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Polarização!$N$3:$N$21</c:f>
              <c:numCache>
                <c:formatCode>0.000</c:formatCode>
                <c:ptCount val="19"/>
                <c:pt idx="0">
                  <c:v>0.58682408883346515</c:v>
                </c:pt>
                <c:pt idx="1">
                  <c:v>0.75000000000000011</c:v>
                </c:pt>
                <c:pt idx="2">
                  <c:v>0.88302222155948906</c:v>
                </c:pt>
                <c:pt idx="3">
                  <c:v>0.9698463103929541</c:v>
                </c:pt>
                <c:pt idx="4">
                  <c:v>1</c:v>
                </c:pt>
                <c:pt idx="5">
                  <c:v>0.9698463103929541</c:v>
                </c:pt>
                <c:pt idx="6">
                  <c:v>0.88302222155948884</c:v>
                </c:pt>
                <c:pt idx="7">
                  <c:v>0.74999999999999989</c:v>
                </c:pt>
                <c:pt idx="8">
                  <c:v>0.58682408883346515</c:v>
                </c:pt>
                <c:pt idx="9">
                  <c:v>0.41317591116653485</c:v>
                </c:pt>
                <c:pt idx="10">
                  <c:v>0.25000000000000011</c:v>
                </c:pt>
                <c:pt idx="11">
                  <c:v>0.11697777844051105</c:v>
                </c:pt>
                <c:pt idx="12">
                  <c:v>3.0153689607045831E-2</c:v>
                </c:pt>
                <c:pt idx="13">
                  <c:v>3.7524718414124473E-33</c:v>
                </c:pt>
                <c:pt idx="14">
                  <c:v>3.0153689607045793E-2</c:v>
                </c:pt>
                <c:pt idx="15">
                  <c:v>0.11697777844051097</c:v>
                </c:pt>
                <c:pt idx="16">
                  <c:v>0.24999999999999978</c:v>
                </c:pt>
                <c:pt idx="17">
                  <c:v>0.41317591116653485</c:v>
                </c:pt>
                <c:pt idx="18">
                  <c:v>0.58682408883346493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Polarização!$J$3:$J$21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717007844535"/>
          <c:w val="0.3042055738883262"/>
          <c:h val="0.222196390386197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(caso para o qual está perfeitamente polarizado)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Polarização!$E$3:$E$41</c:f>
              <c:numCache>
                <c:formatCode>General</c:formatCode>
                <c:ptCount val="39"/>
                <c:pt idx="0">
                  <c:v>0.57647058823529418</c:v>
                </c:pt>
                <c:pt idx="1">
                  <c:v>0.6470588235294118</c:v>
                </c:pt>
                <c:pt idx="2">
                  <c:v>0.73235294117647054</c:v>
                </c:pt>
                <c:pt idx="3">
                  <c:v>0.81176470588235294</c:v>
                </c:pt>
                <c:pt idx="4">
                  <c:v>0.87058823529411766</c:v>
                </c:pt>
                <c:pt idx="5">
                  <c:v>0.91764705882352926</c:v>
                </c:pt>
                <c:pt idx="6">
                  <c:v>0.95294117647058818</c:v>
                </c:pt>
                <c:pt idx="7">
                  <c:v>0.98235294117647054</c:v>
                </c:pt>
                <c:pt idx="8">
                  <c:v>1</c:v>
                </c:pt>
                <c:pt idx="9">
                  <c:v>0.9882352941176471</c:v>
                </c:pt>
                <c:pt idx="10">
                  <c:v>0.9882352941176471</c:v>
                </c:pt>
                <c:pt idx="11">
                  <c:v>0.95882352941176474</c:v>
                </c:pt>
                <c:pt idx="12">
                  <c:v>0.89411764705882346</c:v>
                </c:pt>
                <c:pt idx="13">
                  <c:v>0.83529411764705874</c:v>
                </c:pt>
                <c:pt idx="14">
                  <c:v>0.76470588235294112</c:v>
                </c:pt>
                <c:pt idx="15">
                  <c:v>0.6823529411764705</c:v>
                </c:pt>
                <c:pt idx="16">
                  <c:v>0.57647058823529418</c:v>
                </c:pt>
                <c:pt idx="17">
                  <c:v>0.48235294117647054</c:v>
                </c:pt>
                <c:pt idx="18">
                  <c:v>0.39999999999999997</c:v>
                </c:pt>
                <c:pt idx="19">
                  <c:v>0.30588235294117649</c:v>
                </c:pt>
                <c:pt idx="20">
                  <c:v>0.23529411764705888</c:v>
                </c:pt>
                <c:pt idx="21">
                  <c:v>0.12941176470588237</c:v>
                </c:pt>
                <c:pt idx="22">
                  <c:v>8.2352941176470559E-2</c:v>
                </c:pt>
                <c:pt idx="23">
                  <c:v>4.7058823529411757E-2</c:v>
                </c:pt>
                <c:pt idx="24">
                  <c:v>1.7647058823529401E-2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1.7647058823529401E-2</c:v>
                </c:pt>
                <c:pt idx="29">
                  <c:v>3.5294117647058858E-2</c:v>
                </c:pt>
                <c:pt idx="30">
                  <c:v>8.2352941176470559E-2</c:v>
                </c:pt>
                <c:pt idx="31">
                  <c:v>0.14117647058823526</c:v>
                </c:pt>
                <c:pt idx="32">
                  <c:v>0.21176470588235297</c:v>
                </c:pt>
                <c:pt idx="33">
                  <c:v>0.30000000000000004</c:v>
                </c:pt>
                <c:pt idx="34">
                  <c:v>0.37647058823529411</c:v>
                </c:pt>
                <c:pt idx="35">
                  <c:v>0.44705882352941179</c:v>
                </c:pt>
                <c:pt idx="36">
                  <c:v>0.54117647058823526</c:v>
                </c:pt>
                <c:pt idx="37">
                  <c:v>0.61764705882352944</c:v>
                </c:pt>
                <c:pt idx="38">
                  <c:v>0.70588235294117652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9-4271-A32C-127C97A5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do polarizador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- 83'!$G$3:$G$22</c:f>
              <c:numCache>
                <c:formatCode>General</c:formatCode>
                <c:ptCount val="20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  <c:pt idx="19">
                  <c:v>0.97560975609756106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0.75000000000000011</c:v>
                </c:pt>
                <c:pt idx="1">
                  <c:v>0.88302222155948884</c:v>
                </c:pt>
                <c:pt idx="2">
                  <c:v>0.9698463103929541</c:v>
                </c:pt>
                <c:pt idx="3">
                  <c:v>1</c:v>
                </c:pt>
                <c:pt idx="4">
                  <c:v>0.9698463103929541</c:v>
                </c:pt>
                <c:pt idx="5">
                  <c:v>0.88302222155948917</c:v>
                </c:pt>
                <c:pt idx="6">
                  <c:v>0.74999999999999989</c:v>
                </c:pt>
                <c:pt idx="7">
                  <c:v>0.58682408883346515</c:v>
                </c:pt>
                <c:pt idx="8">
                  <c:v>0.41317591116653496</c:v>
                </c:pt>
                <c:pt idx="9">
                  <c:v>0.25000000000000011</c:v>
                </c:pt>
                <c:pt idx="10">
                  <c:v>0.11697777844051106</c:v>
                </c:pt>
                <c:pt idx="11">
                  <c:v>3.0153689607045824E-2</c:v>
                </c:pt>
                <c:pt idx="12">
                  <c:v>0</c:v>
                </c:pt>
                <c:pt idx="13">
                  <c:v>3.0153689607045824E-2</c:v>
                </c:pt>
                <c:pt idx="14">
                  <c:v>0.11697777844051106</c:v>
                </c:pt>
                <c:pt idx="15">
                  <c:v>0.25000000000000011</c:v>
                </c:pt>
                <c:pt idx="16">
                  <c:v>0.41317591116653468</c:v>
                </c:pt>
                <c:pt idx="17">
                  <c:v>0.58682408883346515</c:v>
                </c:pt>
                <c:pt idx="18">
                  <c:v>0.74999999999999989</c:v>
                </c:pt>
                <c:pt idx="19">
                  <c:v>0.88302222155948917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4-420E-8AA0-D73C3A3F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0.75000000000000011</c:v>
                </c:pt>
                <c:pt idx="1">
                  <c:v>0.88302222155948884</c:v>
                </c:pt>
                <c:pt idx="2">
                  <c:v>0.9698463103929541</c:v>
                </c:pt>
                <c:pt idx="3">
                  <c:v>1</c:v>
                </c:pt>
                <c:pt idx="4">
                  <c:v>0.9698463103929541</c:v>
                </c:pt>
                <c:pt idx="5">
                  <c:v>0.88302222155948917</c:v>
                </c:pt>
                <c:pt idx="6">
                  <c:v>0.74999999999999989</c:v>
                </c:pt>
                <c:pt idx="7">
                  <c:v>0.58682408883346515</c:v>
                </c:pt>
                <c:pt idx="8">
                  <c:v>0.41317591116653496</c:v>
                </c:pt>
                <c:pt idx="9">
                  <c:v>0.25000000000000011</c:v>
                </c:pt>
                <c:pt idx="10">
                  <c:v>0.11697777844051106</c:v>
                </c:pt>
                <c:pt idx="11">
                  <c:v>3.0153689607045824E-2</c:v>
                </c:pt>
                <c:pt idx="12">
                  <c:v>0</c:v>
                </c:pt>
                <c:pt idx="13">
                  <c:v>3.0153689607045824E-2</c:v>
                </c:pt>
                <c:pt idx="14">
                  <c:v>0.11697777844051106</c:v>
                </c:pt>
                <c:pt idx="15">
                  <c:v>0.25000000000000011</c:v>
                </c:pt>
                <c:pt idx="16">
                  <c:v>0.41317591116653468</c:v>
                </c:pt>
                <c:pt idx="17">
                  <c:v>0.58682408883346515</c:v>
                </c:pt>
                <c:pt idx="18">
                  <c:v>0.74999999999999989</c:v>
                </c:pt>
                <c:pt idx="19">
                  <c:v>0.88302222155948917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  <c:max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- 83'!$G$3:$G$22</c:f>
              <c:numCache>
                <c:formatCode>General</c:formatCode>
                <c:ptCount val="20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  <c:pt idx="19">
                  <c:v>0.97560975609756106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0.75000000000000011</c:v>
                </c:pt>
                <c:pt idx="1">
                  <c:v>0.88302222155948884</c:v>
                </c:pt>
                <c:pt idx="2">
                  <c:v>0.9698463103929541</c:v>
                </c:pt>
                <c:pt idx="3">
                  <c:v>1</c:v>
                </c:pt>
                <c:pt idx="4">
                  <c:v>0.9698463103929541</c:v>
                </c:pt>
                <c:pt idx="5">
                  <c:v>0.88302222155948917</c:v>
                </c:pt>
                <c:pt idx="6">
                  <c:v>0.74999999999999989</c:v>
                </c:pt>
                <c:pt idx="7">
                  <c:v>0.58682408883346515</c:v>
                </c:pt>
                <c:pt idx="8">
                  <c:v>0.41317591116653496</c:v>
                </c:pt>
                <c:pt idx="9">
                  <c:v>0.25000000000000011</c:v>
                </c:pt>
                <c:pt idx="10">
                  <c:v>0.11697777844051106</c:v>
                </c:pt>
                <c:pt idx="11">
                  <c:v>3.0153689607045824E-2</c:v>
                </c:pt>
                <c:pt idx="12">
                  <c:v>0</c:v>
                </c:pt>
                <c:pt idx="13">
                  <c:v>3.0153689607045824E-2</c:v>
                </c:pt>
                <c:pt idx="14">
                  <c:v>0.11697777844051106</c:v>
                </c:pt>
                <c:pt idx="15">
                  <c:v>0.25000000000000011</c:v>
                </c:pt>
                <c:pt idx="16">
                  <c:v>0.41317591116653468</c:v>
                </c:pt>
                <c:pt idx="17">
                  <c:v>0.58682408883346515</c:v>
                </c:pt>
                <c:pt idx="18">
                  <c:v>0.74999999999999989</c:v>
                </c:pt>
                <c:pt idx="19">
                  <c:v>0.88302222155948917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7-44BD-89D4-0F7FA0EC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- 43'!$H$3:$H$22</c:f>
              <c:numCache>
                <c:formatCode>General</c:formatCode>
                <c:ptCount val="20"/>
                <c:pt idx="0">
                  <c:v>0.125</c:v>
                </c:pt>
                <c:pt idx="1">
                  <c:v>0.24999999999999994</c:v>
                </c:pt>
                <c:pt idx="2">
                  <c:v>0.43749999999999994</c:v>
                </c:pt>
                <c:pt idx="3">
                  <c:v>0.58749999999999991</c:v>
                </c:pt>
                <c:pt idx="4">
                  <c:v>0.76249999999999996</c:v>
                </c:pt>
                <c:pt idx="5">
                  <c:v>0.88749999999999996</c:v>
                </c:pt>
                <c:pt idx="6">
                  <c:v>0.97500000000000009</c:v>
                </c:pt>
                <c:pt idx="7">
                  <c:v>1</c:v>
                </c:pt>
                <c:pt idx="8">
                  <c:v>0.96250000000000013</c:v>
                </c:pt>
                <c:pt idx="9">
                  <c:v>0.875</c:v>
                </c:pt>
                <c:pt idx="10">
                  <c:v>0.73124999999999996</c:v>
                </c:pt>
                <c:pt idx="11">
                  <c:v>0.57499999999999996</c:v>
                </c:pt>
                <c:pt idx="12">
                  <c:v>0.39999999999999997</c:v>
                </c:pt>
                <c:pt idx="13">
                  <c:v>0.22500000000000003</c:v>
                </c:pt>
                <c:pt idx="14">
                  <c:v>0.11249999999999999</c:v>
                </c:pt>
                <c:pt idx="15">
                  <c:v>2.4999999999999967E-2</c:v>
                </c:pt>
                <c:pt idx="16">
                  <c:v>0</c:v>
                </c:pt>
                <c:pt idx="17">
                  <c:v>2.4999999999999967E-2</c:v>
                </c:pt>
                <c:pt idx="18">
                  <c:v>0.125</c:v>
                </c:pt>
                <c:pt idx="19">
                  <c:v>0.27499999999999997</c:v>
                </c:pt>
              </c:numCache>
            </c:numRef>
          </c:xVal>
          <c:yVal>
            <c:numRef>
              <c:f>'Lâmina - 43'!$G$3:$G$22</c:f>
              <c:numCache>
                <c:formatCode>General</c:formatCode>
                <c:ptCount val="20"/>
                <c:pt idx="0">
                  <c:v>3.0153689607046074E-2</c:v>
                </c:pt>
                <c:pt idx="1">
                  <c:v>0.11697777844051101</c:v>
                </c:pt>
                <c:pt idx="2">
                  <c:v>0.25000000000000006</c:v>
                </c:pt>
                <c:pt idx="3">
                  <c:v>0.41317591116653524</c:v>
                </c:pt>
                <c:pt idx="4">
                  <c:v>0.5868240888334656</c:v>
                </c:pt>
                <c:pt idx="5">
                  <c:v>0.75000000000000022</c:v>
                </c:pt>
                <c:pt idx="6">
                  <c:v>0.88302222155948951</c:v>
                </c:pt>
                <c:pt idx="7">
                  <c:v>0.96984631039295455</c:v>
                </c:pt>
                <c:pt idx="8">
                  <c:v>1</c:v>
                </c:pt>
                <c:pt idx="9">
                  <c:v>0.96984631039295455</c:v>
                </c:pt>
                <c:pt idx="10">
                  <c:v>0.88302222155948951</c:v>
                </c:pt>
                <c:pt idx="11">
                  <c:v>0.75000000000000022</c:v>
                </c:pt>
                <c:pt idx="12">
                  <c:v>0.58682408883346526</c:v>
                </c:pt>
                <c:pt idx="13">
                  <c:v>0.41317591116653474</c:v>
                </c:pt>
                <c:pt idx="14">
                  <c:v>0.25000000000000006</c:v>
                </c:pt>
                <c:pt idx="15">
                  <c:v>0.11697777844051101</c:v>
                </c:pt>
                <c:pt idx="16">
                  <c:v>3.0153689607046074E-2</c:v>
                </c:pt>
                <c:pt idx="17">
                  <c:v>0</c:v>
                </c:pt>
                <c:pt idx="18">
                  <c:v>3.0153689607045911E-2</c:v>
                </c:pt>
                <c:pt idx="19">
                  <c:v>0.11697777844051133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Beta = 83º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- 83'!$G$3:$G$22</c:f>
              <c:numCache>
                <c:formatCode>General</c:formatCode>
                <c:ptCount val="20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  <c:pt idx="19">
                  <c:v>0.97560975609756106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0.75000000000000011</c:v>
                </c:pt>
                <c:pt idx="1">
                  <c:v>0.88302222155948884</c:v>
                </c:pt>
                <c:pt idx="2">
                  <c:v>0.9698463103929541</c:v>
                </c:pt>
                <c:pt idx="3">
                  <c:v>1</c:v>
                </c:pt>
                <c:pt idx="4">
                  <c:v>0.9698463103929541</c:v>
                </c:pt>
                <c:pt idx="5">
                  <c:v>0.88302222155948917</c:v>
                </c:pt>
                <c:pt idx="6">
                  <c:v>0.74999999999999989</c:v>
                </c:pt>
                <c:pt idx="7">
                  <c:v>0.58682408883346515</c:v>
                </c:pt>
                <c:pt idx="8">
                  <c:v>0.41317591116653496</c:v>
                </c:pt>
                <c:pt idx="9">
                  <c:v>0.25000000000000011</c:v>
                </c:pt>
                <c:pt idx="10">
                  <c:v>0.11697777844051106</c:v>
                </c:pt>
                <c:pt idx="11">
                  <c:v>3.0153689607045824E-2</c:v>
                </c:pt>
                <c:pt idx="12">
                  <c:v>0</c:v>
                </c:pt>
                <c:pt idx="13">
                  <c:v>3.0153689607045824E-2</c:v>
                </c:pt>
                <c:pt idx="14">
                  <c:v>0.11697777844051106</c:v>
                </c:pt>
                <c:pt idx="15">
                  <c:v>0.25000000000000011</c:v>
                </c:pt>
                <c:pt idx="16">
                  <c:v>0.41317591116653468</c:v>
                </c:pt>
                <c:pt idx="17">
                  <c:v>0.58682408883346515</c:v>
                </c:pt>
                <c:pt idx="18">
                  <c:v>0.74999999999999989</c:v>
                </c:pt>
                <c:pt idx="19">
                  <c:v>0.88302222155948917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 / VPPmax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538779527559063"/>
          <c:y val="0.63411691191555108"/>
          <c:w val="0.21413779527559054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- 43'!$H$3:$H$22</c:f>
              <c:numCache>
                <c:formatCode>General</c:formatCode>
                <c:ptCount val="20"/>
                <c:pt idx="0">
                  <c:v>0.125</c:v>
                </c:pt>
                <c:pt idx="1">
                  <c:v>0.24999999999999994</c:v>
                </c:pt>
                <c:pt idx="2">
                  <c:v>0.43749999999999994</c:v>
                </c:pt>
                <c:pt idx="3">
                  <c:v>0.58749999999999991</c:v>
                </c:pt>
                <c:pt idx="4">
                  <c:v>0.76249999999999996</c:v>
                </c:pt>
                <c:pt idx="5">
                  <c:v>0.88749999999999996</c:v>
                </c:pt>
                <c:pt idx="6">
                  <c:v>0.97500000000000009</c:v>
                </c:pt>
                <c:pt idx="7">
                  <c:v>1</c:v>
                </c:pt>
                <c:pt idx="8">
                  <c:v>0.96250000000000013</c:v>
                </c:pt>
                <c:pt idx="9">
                  <c:v>0.875</c:v>
                </c:pt>
                <c:pt idx="10">
                  <c:v>0.73124999999999996</c:v>
                </c:pt>
                <c:pt idx="11">
                  <c:v>0.57499999999999996</c:v>
                </c:pt>
                <c:pt idx="12">
                  <c:v>0.39999999999999997</c:v>
                </c:pt>
                <c:pt idx="13">
                  <c:v>0.22500000000000003</c:v>
                </c:pt>
                <c:pt idx="14">
                  <c:v>0.11249999999999999</c:v>
                </c:pt>
                <c:pt idx="15">
                  <c:v>2.4999999999999967E-2</c:v>
                </c:pt>
                <c:pt idx="16">
                  <c:v>0</c:v>
                </c:pt>
                <c:pt idx="17">
                  <c:v>2.4999999999999967E-2</c:v>
                </c:pt>
                <c:pt idx="18">
                  <c:v>0.125</c:v>
                </c:pt>
                <c:pt idx="19">
                  <c:v>0.27499999999999997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- 43'!$G$3:$G$22</c:f>
              <c:numCache>
                <c:formatCode>General</c:formatCode>
                <c:ptCount val="20"/>
                <c:pt idx="0">
                  <c:v>3.0153689607046074E-2</c:v>
                </c:pt>
                <c:pt idx="1">
                  <c:v>0.11697777844051101</c:v>
                </c:pt>
                <c:pt idx="2">
                  <c:v>0.25000000000000006</c:v>
                </c:pt>
                <c:pt idx="3">
                  <c:v>0.41317591116653524</c:v>
                </c:pt>
                <c:pt idx="4">
                  <c:v>0.5868240888334656</c:v>
                </c:pt>
                <c:pt idx="5">
                  <c:v>0.75000000000000022</c:v>
                </c:pt>
                <c:pt idx="6">
                  <c:v>0.88302222155948951</c:v>
                </c:pt>
                <c:pt idx="7">
                  <c:v>0.96984631039295455</c:v>
                </c:pt>
                <c:pt idx="8">
                  <c:v>1</c:v>
                </c:pt>
                <c:pt idx="9">
                  <c:v>0.96984631039295455</c:v>
                </c:pt>
                <c:pt idx="10">
                  <c:v>0.88302222155948951</c:v>
                </c:pt>
                <c:pt idx="11">
                  <c:v>0.75000000000000022</c:v>
                </c:pt>
                <c:pt idx="12">
                  <c:v>0.58682408883346526</c:v>
                </c:pt>
                <c:pt idx="13">
                  <c:v>0.41317591116653474</c:v>
                </c:pt>
                <c:pt idx="14">
                  <c:v>0.25000000000000006</c:v>
                </c:pt>
                <c:pt idx="15">
                  <c:v>0.11697777844051101</c:v>
                </c:pt>
                <c:pt idx="16">
                  <c:v>3.0153689607046074E-2</c:v>
                </c:pt>
                <c:pt idx="17">
                  <c:v>0</c:v>
                </c:pt>
                <c:pt idx="18">
                  <c:v>3.0153689607045911E-2</c:v>
                </c:pt>
                <c:pt idx="19">
                  <c:v>0.11697777844051133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A-4C56-8525-11028A89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0.67860619515673037</c:v>
                </c:pt>
                <c:pt idx="1">
                  <c:v>0.73799736977061492</c:v>
                </c:pt>
                <c:pt idx="2">
                  <c:v>0.82898992833716556</c:v>
                </c:pt>
                <c:pt idx="3">
                  <c:v>0.94060882538611545</c:v>
                </c:pt>
                <c:pt idx="4">
                  <c:v>1.0593911746138849</c:v>
                </c:pt>
                <c:pt idx="5">
                  <c:v>1.1710100716628344</c:v>
                </c:pt>
                <c:pt idx="6">
                  <c:v>1.2620026302293852</c:v>
                </c:pt>
                <c:pt idx="7">
                  <c:v>1.3213938048432698</c:v>
                </c:pt>
                <c:pt idx="8">
                  <c:v>1.3420201433256687</c:v>
                </c:pt>
                <c:pt idx="9">
                  <c:v>1.3213938048432698</c:v>
                </c:pt>
                <c:pt idx="10">
                  <c:v>1.2620026302293852</c:v>
                </c:pt>
                <c:pt idx="11">
                  <c:v>1.1710100716628344</c:v>
                </c:pt>
                <c:pt idx="12">
                  <c:v>1.0593911746138847</c:v>
                </c:pt>
                <c:pt idx="13">
                  <c:v>0.94060882538611512</c:v>
                </c:pt>
                <c:pt idx="14">
                  <c:v>0.82898992833716556</c:v>
                </c:pt>
                <c:pt idx="15">
                  <c:v>0.73799736977061492</c:v>
                </c:pt>
                <c:pt idx="16">
                  <c:v>0.67860619515673037</c:v>
                </c:pt>
                <c:pt idx="17">
                  <c:v>0.65797985667433112</c:v>
                </c:pt>
                <c:pt idx="18">
                  <c:v>0.67860619515673026</c:v>
                </c:pt>
                <c:pt idx="19">
                  <c:v>0.73799736977061514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6-41EF-8B52-5DD3FBE0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</a:t>
                </a:r>
                <a:r>
                  <a:rPr lang="pt-PT" baseline="0"/>
                  <a:t> (s.u.)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4536787393584698E-4"/>
          <c:w val="1"/>
          <c:h val="0.99985462962962968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- 43'!$H$3:$H$22</c:f>
              <c:numCache>
                <c:formatCode>General</c:formatCode>
                <c:ptCount val="20"/>
                <c:pt idx="0">
                  <c:v>0.125</c:v>
                </c:pt>
                <c:pt idx="1">
                  <c:v>0.24999999999999994</c:v>
                </c:pt>
                <c:pt idx="2">
                  <c:v>0.43749999999999994</c:v>
                </c:pt>
                <c:pt idx="3">
                  <c:v>0.58749999999999991</c:v>
                </c:pt>
                <c:pt idx="4">
                  <c:v>0.76249999999999996</c:v>
                </c:pt>
                <c:pt idx="5">
                  <c:v>0.88749999999999996</c:v>
                </c:pt>
                <c:pt idx="6">
                  <c:v>0.97500000000000009</c:v>
                </c:pt>
                <c:pt idx="7">
                  <c:v>1</c:v>
                </c:pt>
                <c:pt idx="8">
                  <c:v>0.96250000000000013</c:v>
                </c:pt>
                <c:pt idx="9">
                  <c:v>0.875</c:v>
                </c:pt>
                <c:pt idx="10">
                  <c:v>0.73124999999999996</c:v>
                </c:pt>
                <c:pt idx="11">
                  <c:v>0.57499999999999996</c:v>
                </c:pt>
                <c:pt idx="12">
                  <c:v>0.39999999999999997</c:v>
                </c:pt>
                <c:pt idx="13">
                  <c:v>0.22500000000000003</c:v>
                </c:pt>
                <c:pt idx="14">
                  <c:v>0.11249999999999999</c:v>
                </c:pt>
                <c:pt idx="15">
                  <c:v>2.4999999999999967E-2</c:v>
                </c:pt>
                <c:pt idx="16">
                  <c:v>0</c:v>
                </c:pt>
                <c:pt idx="17">
                  <c:v>2.4999999999999967E-2</c:v>
                </c:pt>
                <c:pt idx="18">
                  <c:v>0.125</c:v>
                </c:pt>
                <c:pt idx="19">
                  <c:v>0.27499999999999997</c:v>
                </c:pt>
              </c:numCache>
            </c:numRef>
          </c:xVal>
          <c:yVal>
            <c:numRef>
              <c:f>'Lâmina - 43'!$G$3:$G$22</c:f>
              <c:numCache>
                <c:formatCode>General</c:formatCode>
                <c:ptCount val="20"/>
                <c:pt idx="0">
                  <c:v>3.0153689607046074E-2</c:v>
                </c:pt>
                <c:pt idx="1">
                  <c:v>0.11697777844051101</c:v>
                </c:pt>
                <c:pt idx="2">
                  <c:v>0.25000000000000006</c:v>
                </c:pt>
                <c:pt idx="3">
                  <c:v>0.41317591116653524</c:v>
                </c:pt>
                <c:pt idx="4">
                  <c:v>0.5868240888334656</c:v>
                </c:pt>
                <c:pt idx="5">
                  <c:v>0.75000000000000022</c:v>
                </c:pt>
                <c:pt idx="6">
                  <c:v>0.88302222155948951</c:v>
                </c:pt>
                <c:pt idx="7">
                  <c:v>0.96984631039295455</c:v>
                </c:pt>
                <c:pt idx="8">
                  <c:v>1</c:v>
                </c:pt>
                <c:pt idx="9">
                  <c:v>0.96984631039295455</c:v>
                </c:pt>
                <c:pt idx="10">
                  <c:v>0.88302222155948951</c:v>
                </c:pt>
                <c:pt idx="11">
                  <c:v>0.75000000000000022</c:v>
                </c:pt>
                <c:pt idx="12">
                  <c:v>0.58682408883346526</c:v>
                </c:pt>
                <c:pt idx="13">
                  <c:v>0.41317591116653474</c:v>
                </c:pt>
                <c:pt idx="14">
                  <c:v>0.25000000000000006</c:v>
                </c:pt>
                <c:pt idx="15">
                  <c:v>0.11697777844051101</c:v>
                </c:pt>
                <c:pt idx="16">
                  <c:v>3.0153689607046074E-2</c:v>
                </c:pt>
                <c:pt idx="17">
                  <c:v>0</c:v>
                </c:pt>
                <c:pt idx="18">
                  <c:v>3.0153689607045911E-2</c:v>
                </c:pt>
                <c:pt idx="19">
                  <c:v>0.11697777844051133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A-427D-A54D-9520A50B7630}"/>
            </c:ext>
          </c:extLst>
        </c:ser>
        <c:ser>
          <c:idx val="0"/>
          <c:order val="1"/>
          <c:tx>
            <c:v>Beta = 83º</c:v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'Lâmina - 83'!$G$3:$G$22</c:f>
              <c:numCache>
                <c:formatCode>General</c:formatCode>
                <c:ptCount val="20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  <c:pt idx="19">
                  <c:v>0.97560975609756106</c:v>
                </c:pt>
              </c:numCache>
            </c:numRef>
          </c:xVal>
          <c:yVal>
            <c:numRef>
              <c:f>'Lâmina - 83'!$F$3:$F$22</c:f>
              <c:numCache>
                <c:formatCode>General</c:formatCode>
                <c:ptCount val="20"/>
                <c:pt idx="0">
                  <c:v>0.75000000000000011</c:v>
                </c:pt>
                <c:pt idx="1">
                  <c:v>0.88302222155948884</c:v>
                </c:pt>
                <c:pt idx="2">
                  <c:v>0.9698463103929541</c:v>
                </c:pt>
                <c:pt idx="3">
                  <c:v>1</c:v>
                </c:pt>
                <c:pt idx="4">
                  <c:v>0.9698463103929541</c:v>
                </c:pt>
                <c:pt idx="5">
                  <c:v>0.88302222155948917</c:v>
                </c:pt>
                <c:pt idx="6">
                  <c:v>0.74999999999999989</c:v>
                </c:pt>
                <c:pt idx="7">
                  <c:v>0.58682408883346515</c:v>
                </c:pt>
                <c:pt idx="8">
                  <c:v>0.41317591116653496</c:v>
                </c:pt>
                <c:pt idx="9">
                  <c:v>0.25000000000000011</c:v>
                </c:pt>
                <c:pt idx="10">
                  <c:v>0.11697777844051106</c:v>
                </c:pt>
                <c:pt idx="11">
                  <c:v>3.0153689607045824E-2</c:v>
                </c:pt>
                <c:pt idx="12">
                  <c:v>0</c:v>
                </c:pt>
                <c:pt idx="13">
                  <c:v>3.0153689607045824E-2</c:v>
                </c:pt>
                <c:pt idx="14">
                  <c:v>0.11697777844051106</c:v>
                </c:pt>
                <c:pt idx="15">
                  <c:v>0.25000000000000011</c:v>
                </c:pt>
                <c:pt idx="16">
                  <c:v>0.41317591116653468</c:v>
                </c:pt>
                <c:pt idx="17">
                  <c:v>0.58682408883346515</c:v>
                </c:pt>
                <c:pt idx="18">
                  <c:v>0.74999999999999989</c:v>
                </c:pt>
                <c:pt idx="19">
                  <c:v>0.88302222155948917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A-427D-A54D-9520A50B7630}"/>
            </c:ext>
          </c:extLst>
        </c:ser>
        <c:ser>
          <c:idx val="2"/>
          <c:order val="2"/>
          <c:tx>
            <c:v>ajuste?</c:v>
          </c:tx>
          <c:spPr>
            <a:ln w="19050">
              <a:noFill/>
            </a:ln>
          </c:spPr>
          <c:xVal>
            <c:numRef>
              <c:f>'Lâmina - 43'!$K$34:$K$53</c:f>
              <c:numCache>
                <c:formatCode>General</c:formatCode>
                <c:ptCount val="20"/>
              </c:numCache>
            </c:numRef>
          </c:xVal>
          <c:yVal>
            <c:numRef>
              <c:f>'Lâmina - 43'!$N$34:$N$53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27D-A54D-9520A50B7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1359488"/>
        <c:crosses val="autoZero"/>
        <c:crossBetween val="midCat"/>
      </c:valAx>
      <c:valAx>
        <c:axId val="1701359488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226386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de atraso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 formatCode="0.00E+0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 (segundos)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Luz!$G$2:$G$12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(metros)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 (graus)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image" Target="../media/image2.png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340001</xdr:colOff>
      <xdr:row>0</xdr:row>
      <xdr:rowOff>113472</xdr:rowOff>
    </xdr:from>
    <xdr:to>
      <xdr:col>23</xdr:col>
      <xdr:colOff>526151</xdr:colOff>
      <xdr:row>15</xdr:row>
      <xdr:rowOff>135972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329565</xdr:colOff>
      <xdr:row>16</xdr:row>
      <xdr:rowOff>32385</xdr:rowOff>
    </xdr:from>
    <xdr:to>
      <xdr:col>24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15240</xdr:colOff>
      <xdr:row>16</xdr:row>
      <xdr:rowOff>15240</xdr:rowOff>
    </xdr:from>
    <xdr:to>
      <xdr:col>32</xdr:col>
      <xdr:colOff>339090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10C70-7FBA-4411-9B6C-24AED038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33</xdr:row>
      <xdr:rowOff>0</xdr:rowOff>
    </xdr:from>
    <xdr:to>
      <xdr:col>24</xdr:col>
      <xdr:colOff>323850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50</xdr:row>
      <xdr:rowOff>0</xdr:rowOff>
    </xdr:from>
    <xdr:to>
      <xdr:col>24</xdr:col>
      <xdr:colOff>323850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589722</xdr:colOff>
      <xdr:row>0</xdr:row>
      <xdr:rowOff>112643</xdr:rowOff>
    </xdr:from>
    <xdr:to>
      <xdr:col>32</xdr:col>
      <xdr:colOff>166272</xdr:colOff>
      <xdr:row>15</xdr:row>
      <xdr:rowOff>135143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D426C0D9-5E24-4609-B7C3-D5C6C79F9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1</xdr:row>
      <xdr:rowOff>179070</xdr:rowOff>
    </xdr:from>
    <xdr:to>
      <xdr:col>17</xdr:col>
      <xdr:colOff>441960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</xdr:colOff>
      <xdr:row>17</xdr:row>
      <xdr:rowOff>64770</xdr:rowOff>
    </xdr:from>
    <xdr:to>
      <xdr:col>17</xdr:col>
      <xdr:colOff>455295</xdr:colOff>
      <xdr:row>32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16</xdr:row>
      <xdr:rowOff>0</xdr:rowOff>
    </xdr:from>
    <xdr:to>
      <xdr:col>26</xdr:col>
      <xdr:colOff>323850</xdr:colOff>
      <xdr:row>31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C603216A-62D3-49E8-9678-0EA972481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534228</xdr:colOff>
      <xdr:row>16</xdr:row>
      <xdr:rowOff>53340</xdr:rowOff>
    </xdr:from>
    <xdr:to>
      <xdr:col>20</xdr:col>
      <xdr:colOff>229428</xdr:colOff>
      <xdr:row>31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68973</xdr:colOff>
      <xdr:row>16</xdr:row>
      <xdr:rowOff>37443</xdr:rowOff>
    </xdr:from>
    <xdr:to>
      <xdr:col>30</xdr:col>
      <xdr:colOff>373773</xdr:colOff>
      <xdr:row>31</xdr:row>
      <xdr:rowOff>37443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504825</xdr:colOff>
      <xdr:row>0</xdr:row>
      <xdr:rowOff>76200</xdr:rowOff>
    </xdr:from>
    <xdr:to>
      <xdr:col>20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603623</xdr:colOff>
      <xdr:row>1</xdr:row>
      <xdr:rowOff>12809</xdr:rowOff>
    </xdr:from>
    <xdr:to>
      <xdr:col>30</xdr:col>
      <xdr:colOff>298823</xdr:colOff>
      <xdr:row>16</xdr:row>
      <xdr:rowOff>12809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349624</xdr:colOff>
      <xdr:row>33</xdr:row>
      <xdr:rowOff>0</xdr:rowOff>
    </xdr:from>
    <xdr:to>
      <xdr:col>21</xdr:col>
      <xdr:colOff>546847</xdr:colOff>
      <xdr:row>56</xdr:row>
      <xdr:rowOff>113760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A8B9F9-1B1B-4DCC-9AAD-81077E65F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139065</xdr:colOff>
      <xdr:row>6</xdr:row>
      <xdr:rowOff>7620</xdr:rowOff>
    </xdr:from>
    <xdr:to>
      <xdr:col>14</xdr:col>
      <xdr:colOff>474345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441960</xdr:colOff>
      <xdr:row>1</xdr:row>
      <xdr:rowOff>22860</xdr:rowOff>
    </xdr:from>
    <xdr:to>
      <xdr:col>22</xdr:col>
      <xdr:colOff>297342</xdr:colOff>
      <xdr:row>4</xdr:row>
      <xdr:rowOff>38149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60" y="20574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527685</xdr:colOff>
      <xdr:row>26</xdr:row>
      <xdr:rowOff>64770</xdr:rowOff>
    </xdr:from>
    <xdr:to>
      <xdr:col>14</xdr:col>
      <xdr:colOff>222885</xdr:colOff>
      <xdr:row>41</xdr:row>
      <xdr:rowOff>64770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83820</xdr:colOff>
      <xdr:row>1</xdr:row>
      <xdr:rowOff>137160</xdr:rowOff>
    </xdr:from>
    <xdr:to>
      <xdr:col>36</xdr:col>
      <xdr:colOff>366101</xdr:colOff>
      <xdr:row>11</xdr:row>
      <xdr:rowOff>167801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9D294-6981-741C-A26B-5ABD6222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96760" y="320040"/>
          <a:ext cx="3939881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AC59"/>
  <sheetViews>
    <sheetView topLeftCell="F1" zoomScaleNormal="100" workbookViewId="0">
      <selection activeCell="D11" sqref="D11"/>
    </sheetView>
  </sheetViews>
  <sheetFormatPr defaultColWidth="8.88671875" defaultRowHeight="14.4" x14ac:dyDescent="0.3"/>
  <cols>
    <col min="1" max="11" width="8.88671875" style="1"/>
    <col min="12" max="12" width="9.44140625" style="1" bestFit="1" customWidth="1"/>
    <col min="13" max="13" width="12.109375" style="1" bestFit="1" customWidth="1"/>
    <col min="14" max="14" width="12.109375" style="1" customWidth="1"/>
    <col min="15" max="16384" width="8.88671875" style="1"/>
  </cols>
  <sheetData>
    <row r="1" spans="1:16" x14ac:dyDescent="0.3">
      <c r="A1" s="26" t="s">
        <v>0</v>
      </c>
      <c r="B1" s="26"/>
      <c r="C1" s="26"/>
      <c r="D1" s="26"/>
      <c r="E1" s="20"/>
      <c r="G1" s="26" t="s">
        <v>4</v>
      </c>
      <c r="H1" s="26"/>
      <c r="I1" s="26"/>
      <c r="J1" s="26"/>
      <c r="K1" s="26"/>
      <c r="L1" s="26"/>
      <c r="M1" s="26"/>
      <c r="N1" s="26"/>
    </row>
    <row r="2" spans="1:16" ht="16.2" x14ac:dyDescent="0.3">
      <c r="A2" s="3" t="s">
        <v>3</v>
      </c>
      <c r="B2" s="3" t="s">
        <v>1</v>
      </c>
      <c r="C2" s="4" t="s">
        <v>2</v>
      </c>
      <c r="D2" s="4" t="s">
        <v>34</v>
      </c>
      <c r="E2" s="21"/>
      <c r="G2" s="3" t="s">
        <v>5</v>
      </c>
      <c r="H2" s="3" t="s">
        <v>6</v>
      </c>
      <c r="I2" s="3" t="s">
        <v>44</v>
      </c>
      <c r="J2" s="13" t="s">
        <v>45</v>
      </c>
      <c r="K2" s="4" t="s">
        <v>2</v>
      </c>
      <c r="L2" s="3" t="s">
        <v>34</v>
      </c>
      <c r="M2" s="3" t="s">
        <v>40</v>
      </c>
      <c r="N2" s="14" t="s">
        <v>46</v>
      </c>
      <c r="O2" s="25" t="s">
        <v>33</v>
      </c>
      <c r="P2" s="25"/>
    </row>
    <row r="3" spans="1:16" x14ac:dyDescent="0.3">
      <c r="A3" s="2">
        <v>95</v>
      </c>
      <c r="B3" s="2">
        <f>RADIANS(A3)</f>
        <v>1.6580627893946132</v>
      </c>
      <c r="C3" s="2">
        <v>66.400000000000006</v>
      </c>
      <c r="D3" s="2">
        <f t="shared" ref="D3:D41" si="0">C3/$C$11</f>
        <v>0.69747899159663873</v>
      </c>
      <c r="E3" s="1">
        <f>(C3-C$29)/($C$11-C$29)</f>
        <v>0.57647058823529418</v>
      </c>
      <c r="F3" s="10"/>
      <c r="G3" s="2">
        <v>90</v>
      </c>
      <c r="H3" s="2">
        <f t="shared" ref="H3:H21" si="1">RADIANS(G3)</f>
        <v>1.5707963267948966</v>
      </c>
      <c r="I3" s="2">
        <f>H3-RADIANS(55)</f>
        <v>0.6108652381980153</v>
      </c>
      <c r="J3" s="2">
        <f>H3-RADIANS(55-5)</f>
        <v>0.69813170079773179</v>
      </c>
      <c r="K3" s="2">
        <v>36</v>
      </c>
      <c r="L3" s="11">
        <f>K3/$K$7</f>
        <v>0.5921052631578948</v>
      </c>
      <c r="M3" s="11">
        <f>COS(I3)^2</f>
        <v>0.67101007166283433</v>
      </c>
      <c r="N3" s="11">
        <f>COS(J3)^2</f>
        <v>0.58682408883346515</v>
      </c>
      <c r="O3" s="25"/>
      <c r="P3" s="25"/>
    </row>
    <row r="4" spans="1:16" x14ac:dyDescent="0.3">
      <c r="A4" s="2">
        <v>90</v>
      </c>
      <c r="B4" s="2">
        <f t="shared" ref="B4:B41" si="2">RADIANS(A4)</f>
        <v>1.5707963267948966</v>
      </c>
      <c r="C4" s="2">
        <v>71.2</v>
      </c>
      <c r="D4" s="2">
        <f t="shared" si="0"/>
        <v>0.74789915966386555</v>
      </c>
      <c r="E4" s="1">
        <f t="shared" ref="E4:E41" si="3">(C4-C$29)/($C$11-C$29)</f>
        <v>0.6470588235294118</v>
      </c>
      <c r="F4" s="10"/>
      <c r="G4" s="2">
        <v>80</v>
      </c>
      <c r="H4" s="2">
        <f t="shared" si="1"/>
        <v>1.3962634015954636</v>
      </c>
      <c r="I4" s="2">
        <f t="shared" ref="I4:I21" si="4">H4-RADIANS(55)</f>
        <v>0.43633231299858233</v>
      </c>
      <c r="J4" s="2">
        <f t="shared" ref="J4:J21" si="5">H4-RADIANS(55-5)</f>
        <v>0.52359877559829882</v>
      </c>
      <c r="K4" s="2">
        <v>46.4</v>
      </c>
      <c r="L4" s="11">
        <f t="shared" ref="L4:L21" si="6">K4/$K$7</f>
        <v>0.76315789473684215</v>
      </c>
      <c r="M4" s="11">
        <f t="shared" ref="M4:M21" si="7">COS(I4)^2</f>
        <v>0.82139380484326963</v>
      </c>
      <c r="N4" s="11">
        <f t="shared" ref="N4:N21" si="8">COS(J4)^2</f>
        <v>0.75000000000000011</v>
      </c>
      <c r="O4" s="25"/>
      <c r="P4" s="25"/>
    </row>
    <row r="5" spans="1:16" x14ac:dyDescent="0.3">
      <c r="A5" s="2">
        <v>85</v>
      </c>
      <c r="B5" s="2">
        <f t="shared" si="2"/>
        <v>1.4835298641951802</v>
      </c>
      <c r="C5" s="2">
        <v>77</v>
      </c>
      <c r="D5" s="2">
        <f t="shared" si="0"/>
        <v>0.80882352941176472</v>
      </c>
      <c r="E5" s="1">
        <f t="shared" si="3"/>
        <v>0.73235294117647054</v>
      </c>
      <c r="F5" s="10"/>
      <c r="G5" s="2">
        <v>70</v>
      </c>
      <c r="H5" s="2">
        <f t="shared" si="1"/>
        <v>1.2217304763960306</v>
      </c>
      <c r="I5" s="2">
        <f t="shared" si="4"/>
        <v>0.26179938779914935</v>
      </c>
      <c r="J5" s="2">
        <f t="shared" si="5"/>
        <v>0.34906585039886584</v>
      </c>
      <c r="K5" s="2">
        <v>53.6</v>
      </c>
      <c r="L5" s="11">
        <f t="shared" si="6"/>
        <v>0.88157894736842113</v>
      </c>
      <c r="M5" s="11">
        <f t="shared" si="7"/>
        <v>0.93301270189221941</v>
      </c>
      <c r="N5" s="11">
        <f t="shared" si="8"/>
        <v>0.88302222155948906</v>
      </c>
      <c r="O5" s="25"/>
      <c r="P5" s="25"/>
    </row>
    <row r="6" spans="1:16" x14ac:dyDescent="0.3">
      <c r="A6" s="2">
        <v>80</v>
      </c>
      <c r="B6" s="2">
        <f t="shared" si="2"/>
        <v>1.3962634015954636</v>
      </c>
      <c r="C6" s="2">
        <v>82.4</v>
      </c>
      <c r="D6" s="2">
        <f t="shared" si="0"/>
        <v>0.86554621848739499</v>
      </c>
      <c r="E6" s="1">
        <f t="shared" si="3"/>
        <v>0.81176470588235294</v>
      </c>
      <c r="F6" s="10"/>
      <c r="G6" s="2">
        <v>60</v>
      </c>
      <c r="H6" s="2">
        <f t="shared" si="1"/>
        <v>1.0471975511965976</v>
      </c>
      <c r="I6" s="2">
        <f t="shared" si="4"/>
        <v>8.7266462599716377E-2</v>
      </c>
      <c r="J6" s="2">
        <f t="shared" si="5"/>
        <v>0.17453292519943286</v>
      </c>
      <c r="K6" s="2">
        <v>58.8</v>
      </c>
      <c r="L6" s="11">
        <f t="shared" si="6"/>
        <v>0.96710526315789469</v>
      </c>
      <c r="M6" s="11">
        <f t="shared" si="7"/>
        <v>0.99240387650610407</v>
      </c>
      <c r="N6" s="11">
        <f t="shared" si="8"/>
        <v>0.9698463103929541</v>
      </c>
      <c r="O6" s="25"/>
      <c r="P6" s="25"/>
    </row>
    <row r="7" spans="1:16" x14ac:dyDescent="0.3">
      <c r="A7" s="2">
        <v>75</v>
      </c>
      <c r="B7" s="2">
        <f t="shared" si="2"/>
        <v>1.3089969389957472</v>
      </c>
      <c r="C7" s="2">
        <v>86.4</v>
      </c>
      <c r="D7" s="2">
        <f t="shared" si="0"/>
        <v>0.90756302521008403</v>
      </c>
      <c r="E7" s="1">
        <f t="shared" si="3"/>
        <v>0.87058823529411766</v>
      </c>
      <c r="F7" s="10"/>
      <c r="G7" s="2">
        <v>50</v>
      </c>
      <c r="H7" s="2">
        <f t="shared" si="1"/>
        <v>0.87266462599716477</v>
      </c>
      <c r="I7" s="2">
        <f t="shared" si="4"/>
        <v>-8.7266462599716488E-2</v>
      </c>
      <c r="J7" s="2">
        <f t="shared" si="5"/>
        <v>0</v>
      </c>
      <c r="K7" s="2">
        <v>60.8</v>
      </c>
      <c r="L7" s="11">
        <f t="shared" si="6"/>
        <v>1</v>
      </c>
      <c r="M7" s="11">
        <f t="shared" si="7"/>
        <v>0.99240387650610407</v>
      </c>
      <c r="N7" s="11">
        <f t="shared" si="8"/>
        <v>1</v>
      </c>
    </row>
    <row r="8" spans="1:16" x14ac:dyDescent="0.3">
      <c r="A8" s="2">
        <v>70</v>
      </c>
      <c r="B8" s="2">
        <f t="shared" si="2"/>
        <v>1.2217304763960306</v>
      </c>
      <c r="C8" s="2">
        <v>89.6</v>
      </c>
      <c r="D8" s="2">
        <f t="shared" si="0"/>
        <v>0.94117647058823517</v>
      </c>
      <c r="E8" s="1">
        <f t="shared" si="3"/>
        <v>0.91764705882352926</v>
      </c>
      <c r="F8" s="10"/>
      <c r="G8" s="2">
        <v>40</v>
      </c>
      <c r="H8" s="2">
        <f t="shared" si="1"/>
        <v>0.69813170079773179</v>
      </c>
      <c r="I8" s="2">
        <f t="shared" si="4"/>
        <v>-0.26179938779914946</v>
      </c>
      <c r="J8" s="2">
        <f t="shared" si="5"/>
        <v>-0.17453292519943298</v>
      </c>
      <c r="K8" s="2">
        <v>59.2</v>
      </c>
      <c r="L8" s="11">
        <f t="shared" si="6"/>
        <v>0.97368421052631593</v>
      </c>
      <c r="M8" s="11">
        <f t="shared" si="7"/>
        <v>0.93301270189221941</v>
      </c>
      <c r="N8" s="11">
        <f t="shared" si="8"/>
        <v>0.9698463103929541</v>
      </c>
    </row>
    <row r="9" spans="1:16" x14ac:dyDescent="0.3">
      <c r="A9" s="2">
        <v>65</v>
      </c>
      <c r="B9" s="2">
        <f t="shared" si="2"/>
        <v>1.1344640137963142</v>
      </c>
      <c r="C9" s="2">
        <v>92</v>
      </c>
      <c r="D9" s="2">
        <f t="shared" si="0"/>
        <v>0.96638655462184875</v>
      </c>
      <c r="E9" s="1">
        <f t="shared" si="3"/>
        <v>0.95294117647058818</v>
      </c>
      <c r="F9" s="10"/>
      <c r="G9" s="2">
        <v>30</v>
      </c>
      <c r="H9" s="2">
        <f t="shared" si="1"/>
        <v>0.52359877559829882</v>
      </c>
      <c r="I9" s="2">
        <f t="shared" si="4"/>
        <v>-0.43633231299858244</v>
      </c>
      <c r="J9" s="2">
        <f t="shared" si="5"/>
        <v>-0.34906585039886595</v>
      </c>
      <c r="K9" s="2">
        <v>54</v>
      </c>
      <c r="L9" s="11">
        <f t="shared" si="6"/>
        <v>0.88815789473684215</v>
      </c>
      <c r="M9" s="11">
        <f t="shared" si="7"/>
        <v>0.82139380484326963</v>
      </c>
      <c r="N9" s="11">
        <f t="shared" si="8"/>
        <v>0.88302222155948884</v>
      </c>
    </row>
    <row r="10" spans="1:16" x14ac:dyDescent="0.3">
      <c r="A10" s="2">
        <v>60</v>
      </c>
      <c r="B10" s="2">
        <f t="shared" si="2"/>
        <v>1.0471975511965976</v>
      </c>
      <c r="C10" s="2">
        <v>94</v>
      </c>
      <c r="D10" s="2">
        <f t="shared" si="0"/>
        <v>0.98739495798319321</v>
      </c>
      <c r="E10" s="1">
        <f t="shared" si="3"/>
        <v>0.98235294117647054</v>
      </c>
      <c r="F10" s="10"/>
      <c r="G10" s="2">
        <v>20</v>
      </c>
      <c r="H10" s="2">
        <f t="shared" si="1"/>
        <v>0.3490658503988659</v>
      </c>
      <c r="I10" s="2">
        <f t="shared" si="4"/>
        <v>-0.6108652381980153</v>
      </c>
      <c r="J10" s="2">
        <f t="shared" si="5"/>
        <v>-0.52359877559829893</v>
      </c>
      <c r="K10" s="2">
        <v>46.4</v>
      </c>
      <c r="L10" s="11">
        <f t="shared" si="6"/>
        <v>0.76315789473684215</v>
      </c>
      <c r="M10" s="11">
        <f t="shared" si="7"/>
        <v>0.67101007166283433</v>
      </c>
      <c r="N10" s="11">
        <f t="shared" si="8"/>
        <v>0.74999999999999989</v>
      </c>
    </row>
    <row r="11" spans="1:16" x14ac:dyDescent="0.3">
      <c r="A11" s="9">
        <v>55</v>
      </c>
      <c r="B11" s="9">
        <f t="shared" si="2"/>
        <v>0.95993108859688125</v>
      </c>
      <c r="C11" s="9">
        <v>95.2</v>
      </c>
      <c r="D11" s="2">
        <f t="shared" si="0"/>
        <v>1</v>
      </c>
      <c r="E11" s="1">
        <f t="shared" si="3"/>
        <v>1</v>
      </c>
      <c r="F11" s="10"/>
      <c r="G11" s="2">
        <v>10</v>
      </c>
      <c r="H11" s="2">
        <f t="shared" si="1"/>
        <v>0.17453292519943295</v>
      </c>
      <c r="I11" s="2">
        <f t="shared" si="4"/>
        <v>-0.78539816339744828</v>
      </c>
      <c r="J11" s="2">
        <f t="shared" si="5"/>
        <v>-0.69813170079773179</v>
      </c>
      <c r="K11" s="2">
        <v>36</v>
      </c>
      <c r="L11" s="11">
        <f t="shared" si="6"/>
        <v>0.5921052631578948</v>
      </c>
      <c r="M11" s="11">
        <f t="shared" si="7"/>
        <v>0.50000000000000011</v>
      </c>
      <c r="N11" s="11">
        <f t="shared" si="8"/>
        <v>0.58682408883346515</v>
      </c>
    </row>
    <row r="12" spans="1:16" x14ac:dyDescent="0.3">
      <c r="A12" s="2">
        <v>50</v>
      </c>
      <c r="B12" s="2">
        <f t="shared" si="2"/>
        <v>0.87266462599716477</v>
      </c>
      <c r="C12" s="2">
        <v>94.4</v>
      </c>
      <c r="D12" s="2">
        <f t="shared" si="0"/>
        <v>0.99159663865546221</v>
      </c>
      <c r="E12" s="1">
        <f t="shared" si="3"/>
        <v>0.9882352941176471</v>
      </c>
      <c r="F12" s="10"/>
      <c r="G12" s="2">
        <v>0</v>
      </c>
      <c r="H12" s="2">
        <f t="shared" si="1"/>
        <v>0</v>
      </c>
      <c r="I12" s="2">
        <f t="shared" si="4"/>
        <v>-0.95993108859688125</v>
      </c>
      <c r="J12" s="2">
        <f t="shared" si="5"/>
        <v>-0.87266462599716477</v>
      </c>
      <c r="K12" s="2">
        <v>26.4</v>
      </c>
      <c r="L12" s="11">
        <f t="shared" si="6"/>
        <v>0.43421052631578949</v>
      </c>
      <c r="M12" s="11">
        <f t="shared" si="7"/>
        <v>0.32898992833716573</v>
      </c>
      <c r="N12" s="11">
        <f t="shared" si="8"/>
        <v>0.41317591116653485</v>
      </c>
    </row>
    <row r="13" spans="1:16" x14ac:dyDescent="0.3">
      <c r="A13" s="2">
        <v>45</v>
      </c>
      <c r="B13" s="2">
        <f t="shared" si="2"/>
        <v>0.78539816339744828</v>
      </c>
      <c r="C13" s="2">
        <v>94.4</v>
      </c>
      <c r="D13" s="2">
        <f t="shared" si="0"/>
        <v>0.99159663865546221</v>
      </c>
      <c r="E13" s="1">
        <f t="shared" si="3"/>
        <v>0.9882352941176471</v>
      </c>
      <c r="F13" s="10"/>
      <c r="G13" s="2">
        <v>-10</v>
      </c>
      <c r="H13" s="2">
        <f t="shared" si="1"/>
        <v>-0.17453292519943295</v>
      </c>
      <c r="I13" s="2">
        <f t="shared" si="4"/>
        <v>-1.1344640137963142</v>
      </c>
      <c r="J13" s="2">
        <f t="shared" si="5"/>
        <v>-1.0471975511965976</v>
      </c>
      <c r="K13" s="2">
        <v>16.399999999999999</v>
      </c>
      <c r="L13" s="11">
        <f t="shared" si="6"/>
        <v>0.26973684210526316</v>
      </c>
      <c r="M13" s="11">
        <f t="shared" si="7"/>
        <v>0.17860619515673035</v>
      </c>
      <c r="N13" s="11">
        <f t="shared" si="8"/>
        <v>0.25000000000000011</v>
      </c>
    </row>
    <row r="14" spans="1:16" x14ac:dyDescent="0.3">
      <c r="A14" s="2">
        <v>40</v>
      </c>
      <c r="B14" s="2">
        <f t="shared" si="2"/>
        <v>0.69813170079773179</v>
      </c>
      <c r="C14" s="2">
        <v>92.4</v>
      </c>
      <c r="D14" s="2">
        <f t="shared" si="0"/>
        <v>0.97058823529411764</v>
      </c>
      <c r="E14" s="1">
        <f t="shared" si="3"/>
        <v>0.95882352941176474</v>
      </c>
      <c r="F14" s="10"/>
      <c r="G14" s="2">
        <v>-20</v>
      </c>
      <c r="H14" s="2">
        <f t="shared" si="1"/>
        <v>-0.3490658503988659</v>
      </c>
      <c r="I14" s="2">
        <f t="shared" si="4"/>
        <v>-1.3089969389957472</v>
      </c>
      <c r="J14" s="2">
        <f t="shared" si="5"/>
        <v>-1.2217304763960306</v>
      </c>
      <c r="K14" s="2">
        <v>8.8000000000000007</v>
      </c>
      <c r="L14" s="11">
        <f t="shared" si="6"/>
        <v>0.14473684210526316</v>
      </c>
      <c r="M14" s="11">
        <f t="shared" si="7"/>
        <v>6.698729810778066E-2</v>
      </c>
      <c r="N14" s="11">
        <f t="shared" si="8"/>
        <v>0.11697777844051105</v>
      </c>
    </row>
    <row r="15" spans="1:16" x14ac:dyDescent="0.3">
      <c r="A15" s="2">
        <v>35</v>
      </c>
      <c r="B15" s="2">
        <f t="shared" si="2"/>
        <v>0.6108652381980153</v>
      </c>
      <c r="C15" s="2">
        <v>88</v>
      </c>
      <c r="D15" s="2">
        <f t="shared" si="0"/>
        <v>0.9243697478991596</v>
      </c>
      <c r="E15" s="1">
        <f t="shared" si="3"/>
        <v>0.89411764705882346</v>
      </c>
      <c r="F15" s="10"/>
      <c r="G15" s="2">
        <v>-30</v>
      </c>
      <c r="H15" s="2">
        <f t="shared" si="1"/>
        <v>-0.52359877559829882</v>
      </c>
      <c r="I15" s="2">
        <f t="shared" si="4"/>
        <v>-1.4835298641951802</v>
      </c>
      <c r="J15" s="2">
        <f t="shared" si="5"/>
        <v>-1.3962634015954636</v>
      </c>
      <c r="K15" s="2">
        <v>3.6</v>
      </c>
      <c r="L15" s="11">
        <f t="shared" si="6"/>
        <v>5.9210526315789477E-2</v>
      </c>
      <c r="M15" s="11">
        <f t="shared" si="7"/>
        <v>7.5961234938959638E-3</v>
      </c>
      <c r="N15" s="11">
        <f t="shared" si="8"/>
        <v>3.0153689607045831E-2</v>
      </c>
    </row>
    <row r="16" spans="1:16" x14ac:dyDescent="0.3">
      <c r="A16" s="2">
        <v>30</v>
      </c>
      <c r="B16" s="2">
        <f t="shared" si="2"/>
        <v>0.52359877559829882</v>
      </c>
      <c r="C16" s="2">
        <v>84</v>
      </c>
      <c r="D16" s="2">
        <f t="shared" si="0"/>
        <v>0.88235294117647056</v>
      </c>
      <c r="E16" s="1">
        <f t="shared" si="3"/>
        <v>0.83529411764705874</v>
      </c>
      <c r="F16" s="10"/>
      <c r="G16" s="2">
        <v>-40</v>
      </c>
      <c r="H16" s="2">
        <f t="shared" si="1"/>
        <v>-0.69813170079773179</v>
      </c>
      <c r="I16" s="2">
        <f t="shared" si="4"/>
        <v>-1.6580627893946129</v>
      </c>
      <c r="J16" s="2">
        <f t="shared" si="5"/>
        <v>-1.5707963267948966</v>
      </c>
      <c r="K16" s="2">
        <v>2.4</v>
      </c>
      <c r="L16" s="11">
        <f t="shared" si="6"/>
        <v>3.9473684210526314E-2</v>
      </c>
      <c r="M16" s="11">
        <f t="shared" si="7"/>
        <v>7.5961234938959421E-3</v>
      </c>
      <c r="N16" s="11">
        <f t="shared" si="8"/>
        <v>3.7524718414124473E-33</v>
      </c>
    </row>
    <row r="17" spans="1:14" x14ac:dyDescent="0.3">
      <c r="A17" s="2">
        <v>25</v>
      </c>
      <c r="B17" s="2">
        <f t="shared" si="2"/>
        <v>0.43633231299858238</v>
      </c>
      <c r="C17" s="2">
        <v>79.2</v>
      </c>
      <c r="D17" s="2">
        <f t="shared" si="0"/>
        <v>0.83193277310924374</v>
      </c>
      <c r="E17" s="1">
        <f t="shared" si="3"/>
        <v>0.76470588235294112</v>
      </c>
      <c r="F17" s="10"/>
      <c r="G17" s="2">
        <v>-50</v>
      </c>
      <c r="H17" s="2">
        <f t="shared" si="1"/>
        <v>-0.87266462599716477</v>
      </c>
      <c r="I17" s="2">
        <f t="shared" si="4"/>
        <v>-1.8325957145940461</v>
      </c>
      <c r="J17" s="2">
        <f t="shared" si="5"/>
        <v>-1.7453292519943295</v>
      </c>
      <c r="K17" s="2">
        <v>4</v>
      </c>
      <c r="L17" s="11">
        <f t="shared" si="6"/>
        <v>6.5789473684210523E-2</v>
      </c>
      <c r="M17" s="11">
        <f t="shared" si="7"/>
        <v>6.6987298107780716E-2</v>
      </c>
      <c r="N17" s="11">
        <f t="shared" si="8"/>
        <v>3.0153689607045793E-2</v>
      </c>
    </row>
    <row r="18" spans="1:14" x14ac:dyDescent="0.3">
      <c r="A18" s="2">
        <v>20</v>
      </c>
      <c r="B18" s="2">
        <f t="shared" si="2"/>
        <v>0.3490658503988659</v>
      </c>
      <c r="C18" s="2">
        <v>73.599999999999994</v>
      </c>
      <c r="D18" s="2">
        <f t="shared" si="0"/>
        <v>0.77310924369747891</v>
      </c>
      <c r="E18" s="1">
        <f t="shared" si="3"/>
        <v>0.6823529411764705</v>
      </c>
      <c r="F18" s="10"/>
      <c r="G18" s="2">
        <v>-60</v>
      </c>
      <c r="H18" s="2">
        <f t="shared" si="1"/>
        <v>-1.0471975511965976</v>
      </c>
      <c r="I18" s="2">
        <f t="shared" si="4"/>
        <v>-2.0071286397934789</v>
      </c>
      <c r="J18" s="2">
        <f t="shared" si="5"/>
        <v>-1.9198621771937625</v>
      </c>
      <c r="K18" s="2">
        <v>9.6</v>
      </c>
      <c r="L18" s="11">
        <f t="shared" si="6"/>
        <v>0.15789473684210525</v>
      </c>
      <c r="M18" s="11">
        <f t="shared" si="7"/>
        <v>0.17860619515673024</v>
      </c>
      <c r="N18" s="11">
        <f t="shared" si="8"/>
        <v>0.11697777844051097</v>
      </c>
    </row>
    <row r="19" spans="1:14" x14ac:dyDescent="0.3">
      <c r="A19" s="2">
        <v>15</v>
      </c>
      <c r="B19" s="2">
        <f t="shared" si="2"/>
        <v>0.26179938779914941</v>
      </c>
      <c r="C19" s="2">
        <v>66.400000000000006</v>
      </c>
      <c r="D19" s="2">
        <f t="shared" si="0"/>
        <v>0.69747899159663873</v>
      </c>
      <c r="E19" s="1">
        <f t="shared" si="3"/>
        <v>0.57647058823529418</v>
      </c>
      <c r="F19" s="10"/>
      <c r="G19" s="2">
        <v>-70</v>
      </c>
      <c r="H19" s="2">
        <f t="shared" si="1"/>
        <v>-1.2217304763960306</v>
      </c>
      <c r="I19" s="2">
        <f t="shared" si="4"/>
        <v>-2.1816615649929121</v>
      </c>
      <c r="J19" s="2">
        <f t="shared" si="5"/>
        <v>-2.0943951023931953</v>
      </c>
      <c r="K19" s="2">
        <v>17.600000000000001</v>
      </c>
      <c r="L19" s="11">
        <f t="shared" si="6"/>
        <v>0.28947368421052633</v>
      </c>
      <c r="M19" s="11">
        <f t="shared" si="7"/>
        <v>0.32898992833716573</v>
      </c>
      <c r="N19" s="11">
        <f t="shared" si="8"/>
        <v>0.24999999999999978</v>
      </c>
    </row>
    <row r="20" spans="1:14" x14ac:dyDescent="0.3">
      <c r="A20" s="2">
        <v>10</v>
      </c>
      <c r="B20" s="2">
        <f t="shared" si="2"/>
        <v>0.17453292519943295</v>
      </c>
      <c r="C20" s="2">
        <v>60</v>
      </c>
      <c r="D20" s="2">
        <f t="shared" si="0"/>
        <v>0.63025210084033612</v>
      </c>
      <c r="E20" s="1">
        <f t="shared" si="3"/>
        <v>0.48235294117647054</v>
      </c>
      <c r="F20" s="10"/>
      <c r="G20" s="2">
        <v>-80</v>
      </c>
      <c r="H20" s="2">
        <f t="shared" si="1"/>
        <v>-1.3962634015954636</v>
      </c>
      <c r="I20" s="2">
        <f t="shared" si="4"/>
        <v>-2.3561944901923448</v>
      </c>
      <c r="J20" s="2">
        <f t="shared" si="5"/>
        <v>-2.2689280275926285</v>
      </c>
      <c r="K20" s="2">
        <v>27.2</v>
      </c>
      <c r="L20" s="11">
        <f t="shared" si="6"/>
        <v>0.44736842105263158</v>
      </c>
      <c r="M20" s="11">
        <f t="shared" si="7"/>
        <v>0.49999999999999989</v>
      </c>
      <c r="N20" s="11">
        <f t="shared" si="8"/>
        <v>0.41317591116653485</v>
      </c>
    </row>
    <row r="21" spans="1:14" x14ac:dyDescent="0.3">
      <c r="A21" s="2">
        <v>5</v>
      </c>
      <c r="B21" s="2">
        <f t="shared" si="2"/>
        <v>8.7266462599716474E-2</v>
      </c>
      <c r="C21" s="2">
        <v>54.4</v>
      </c>
      <c r="D21" s="2">
        <f t="shared" si="0"/>
        <v>0.5714285714285714</v>
      </c>
      <c r="E21" s="1">
        <f t="shared" si="3"/>
        <v>0.39999999999999997</v>
      </c>
      <c r="F21" s="10"/>
      <c r="G21" s="2">
        <v>-90</v>
      </c>
      <c r="H21" s="2">
        <f t="shared" si="1"/>
        <v>-1.5707963267948966</v>
      </c>
      <c r="I21" s="2">
        <f t="shared" si="4"/>
        <v>-2.5307274153917776</v>
      </c>
      <c r="J21" s="2">
        <f t="shared" si="5"/>
        <v>-2.4434609527920612</v>
      </c>
      <c r="K21" s="2">
        <v>37.6</v>
      </c>
      <c r="L21" s="11">
        <f t="shared" si="6"/>
        <v>0.61842105263157898</v>
      </c>
      <c r="M21" s="11">
        <f t="shared" si="7"/>
        <v>0.671010071662834</v>
      </c>
      <c r="N21" s="11">
        <f t="shared" si="8"/>
        <v>0.58682408883346493</v>
      </c>
    </row>
    <row r="22" spans="1:14" x14ac:dyDescent="0.3">
      <c r="A22" s="2">
        <v>0</v>
      </c>
      <c r="B22" s="2">
        <f t="shared" si="2"/>
        <v>0</v>
      </c>
      <c r="C22" s="2">
        <v>48</v>
      </c>
      <c r="D22" s="2">
        <f t="shared" si="0"/>
        <v>0.50420168067226889</v>
      </c>
      <c r="E22" s="1">
        <f t="shared" si="3"/>
        <v>0.30588235294117649</v>
      </c>
      <c r="J22" s="27" t="s">
        <v>41</v>
      </c>
    </row>
    <row r="23" spans="1:14" x14ac:dyDescent="0.3">
      <c r="A23" s="2">
        <v>-5</v>
      </c>
      <c r="B23" s="2">
        <f t="shared" si="2"/>
        <v>-8.7266462599716474E-2</v>
      </c>
      <c r="C23" s="2">
        <v>43.2</v>
      </c>
      <c r="D23" s="2">
        <f t="shared" si="0"/>
        <v>0.45378151260504201</v>
      </c>
      <c r="E23" s="1">
        <f t="shared" si="3"/>
        <v>0.23529411764705888</v>
      </c>
      <c r="J23" s="27"/>
    </row>
    <row r="24" spans="1:14" x14ac:dyDescent="0.3">
      <c r="A24" s="2">
        <v>-10</v>
      </c>
      <c r="B24" s="2">
        <f t="shared" si="2"/>
        <v>-0.17453292519943295</v>
      </c>
      <c r="C24" s="2">
        <v>36</v>
      </c>
      <c r="D24" s="2">
        <f t="shared" si="0"/>
        <v>0.37815126050420167</v>
      </c>
      <c r="E24" s="1">
        <f t="shared" si="3"/>
        <v>0.12941176470588237</v>
      </c>
      <c r="J24" s="27"/>
    </row>
    <row r="25" spans="1:14" x14ac:dyDescent="0.3">
      <c r="A25" s="2">
        <v>-15</v>
      </c>
      <c r="B25" s="2">
        <f t="shared" si="2"/>
        <v>-0.26179938779914941</v>
      </c>
      <c r="C25" s="2">
        <v>32.799999999999997</v>
      </c>
      <c r="D25" s="2">
        <f t="shared" si="0"/>
        <v>0.34453781512605036</v>
      </c>
      <c r="E25" s="1">
        <f t="shared" si="3"/>
        <v>8.2352941176470559E-2</v>
      </c>
      <c r="J25" s="27"/>
    </row>
    <row r="26" spans="1:14" x14ac:dyDescent="0.3">
      <c r="A26" s="2">
        <v>-20</v>
      </c>
      <c r="B26" s="2">
        <f t="shared" si="2"/>
        <v>-0.3490658503988659</v>
      </c>
      <c r="C26" s="2">
        <v>30.4</v>
      </c>
      <c r="D26" s="2">
        <f t="shared" si="0"/>
        <v>0.31932773109243695</v>
      </c>
      <c r="E26" s="1">
        <f t="shared" si="3"/>
        <v>4.7058823529411757E-2</v>
      </c>
      <c r="J26" s="27"/>
    </row>
    <row r="27" spans="1:14" x14ac:dyDescent="0.3">
      <c r="A27" s="2">
        <v>-25</v>
      </c>
      <c r="B27" s="2">
        <f t="shared" si="2"/>
        <v>-0.43633231299858238</v>
      </c>
      <c r="C27" s="2">
        <v>28.4</v>
      </c>
      <c r="D27" s="2">
        <f t="shared" si="0"/>
        <v>0.29831932773109243</v>
      </c>
      <c r="E27" s="1">
        <f t="shared" si="3"/>
        <v>1.7647058823529401E-2</v>
      </c>
    </row>
    <row r="28" spans="1:14" x14ac:dyDescent="0.3">
      <c r="A28" s="2">
        <v>-30</v>
      </c>
      <c r="B28" s="2">
        <f t="shared" si="2"/>
        <v>-0.52359877559829882</v>
      </c>
      <c r="C28" s="2">
        <v>27.2</v>
      </c>
      <c r="D28" s="2">
        <f t="shared" si="0"/>
        <v>0.2857142857142857</v>
      </c>
      <c r="E28" s="1">
        <f t="shared" si="3"/>
        <v>0</v>
      </c>
      <c r="G28" s="28" t="s">
        <v>42</v>
      </c>
      <c r="H28" s="28"/>
      <c r="I28" s="6">
        <f>(C11-C29)/(C11+C29)</f>
        <v>0.55555555555555558</v>
      </c>
      <c r="J28" s="12"/>
    </row>
    <row r="29" spans="1:14" x14ac:dyDescent="0.3">
      <c r="A29" s="9">
        <v>-35</v>
      </c>
      <c r="B29" s="9">
        <f t="shared" si="2"/>
        <v>-0.6108652381980153</v>
      </c>
      <c r="C29" s="9">
        <v>27.2</v>
      </c>
      <c r="D29" s="2">
        <f t="shared" si="0"/>
        <v>0.2857142857142857</v>
      </c>
      <c r="E29" s="1">
        <f t="shared" si="3"/>
        <v>0</v>
      </c>
    </row>
    <row r="30" spans="1:14" x14ac:dyDescent="0.3">
      <c r="A30" s="2">
        <v>-40</v>
      </c>
      <c r="B30" s="2">
        <f t="shared" si="2"/>
        <v>-0.69813170079773179</v>
      </c>
      <c r="C30" s="2">
        <v>27.2</v>
      </c>
      <c r="D30" s="2">
        <f t="shared" si="0"/>
        <v>0.2857142857142857</v>
      </c>
      <c r="E30" s="1">
        <f t="shared" si="3"/>
        <v>0</v>
      </c>
    </row>
    <row r="31" spans="1:14" x14ac:dyDescent="0.3">
      <c r="A31" s="2">
        <v>-45</v>
      </c>
      <c r="B31" s="2">
        <f t="shared" si="2"/>
        <v>-0.78539816339744828</v>
      </c>
      <c r="C31" s="2">
        <v>28.4</v>
      </c>
      <c r="D31" s="2">
        <f t="shared" si="0"/>
        <v>0.29831932773109243</v>
      </c>
      <c r="E31" s="1">
        <f t="shared" si="3"/>
        <v>1.7647058823529401E-2</v>
      </c>
    </row>
    <row r="32" spans="1:14" x14ac:dyDescent="0.3">
      <c r="A32" s="2">
        <v>-50</v>
      </c>
      <c r="B32" s="2">
        <f t="shared" si="2"/>
        <v>-0.87266462599716477</v>
      </c>
      <c r="C32" s="2">
        <v>29.6</v>
      </c>
      <c r="D32" s="2">
        <f t="shared" si="0"/>
        <v>0.31092436974789917</v>
      </c>
      <c r="E32" s="1">
        <f t="shared" si="3"/>
        <v>3.5294117647058858E-2</v>
      </c>
    </row>
    <row r="33" spans="1:28" x14ac:dyDescent="0.3">
      <c r="A33" s="2">
        <v>-55</v>
      </c>
      <c r="B33" s="2">
        <f t="shared" si="2"/>
        <v>-0.95993108859688125</v>
      </c>
      <c r="C33" s="2">
        <v>32.799999999999997</v>
      </c>
      <c r="D33" s="2">
        <f t="shared" si="0"/>
        <v>0.34453781512605036</v>
      </c>
      <c r="E33" s="1">
        <f t="shared" si="3"/>
        <v>8.2352941176470559E-2</v>
      </c>
    </row>
    <row r="34" spans="1:28" x14ac:dyDescent="0.3">
      <c r="A34" s="2">
        <v>-60</v>
      </c>
      <c r="B34" s="2">
        <f t="shared" si="2"/>
        <v>-1.0471975511965976</v>
      </c>
      <c r="C34" s="2">
        <v>36.799999999999997</v>
      </c>
      <c r="D34" s="2">
        <f t="shared" si="0"/>
        <v>0.38655462184873945</v>
      </c>
      <c r="E34" s="1">
        <f t="shared" si="3"/>
        <v>0.14117647058823526</v>
      </c>
    </row>
    <row r="35" spans="1:28" x14ac:dyDescent="0.3">
      <c r="A35" s="2">
        <v>-65</v>
      </c>
      <c r="B35" s="2">
        <f t="shared" si="2"/>
        <v>-1.1344640137963142</v>
      </c>
      <c r="C35" s="2">
        <v>41.6</v>
      </c>
      <c r="D35" s="2">
        <f t="shared" si="0"/>
        <v>0.43697478991596639</v>
      </c>
      <c r="E35" s="1">
        <f t="shared" si="3"/>
        <v>0.21176470588235297</v>
      </c>
    </row>
    <row r="36" spans="1:28" x14ac:dyDescent="0.3">
      <c r="A36" s="2">
        <v>-70</v>
      </c>
      <c r="B36" s="2">
        <f t="shared" si="2"/>
        <v>-1.2217304763960306</v>
      </c>
      <c r="C36" s="2">
        <v>47.6</v>
      </c>
      <c r="D36" s="2">
        <f t="shared" si="0"/>
        <v>0.5</v>
      </c>
      <c r="E36" s="1">
        <f t="shared" si="3"/>
        <v>0.30000000000000004</v>
      </c>
    </row>
    <row r="37" spans="1:28" x14ac:dyDescent="0.3">
      <c r="A37" s="2">
        <v>-75</v>
      </c>
      <c r="B37" s="2">
        <f t="shared" si="2"/>
        <v>-1.3089969389957472</v>
      </c>
      <c r="C37" s="2">
        <v>52.8</v>
      </c>
      <c r="D37" s="2">
        <f t="shared" si="0"/>
        <v>0.55462184873949572</v>
      </c>
      <c r="E37" s="1">
        <f t="shared" si="3"/>
        <v>0.37647058823529411</v>
      </c>
    </row>
    <row r="38" spans="1:28" x14ac:dyDescent="0.3">
      <c r="A38" s="2">
        <v>-80</v>
      </c>
      <c r="B38" s="2">
        <f t="shared" si="2"/>
        <v>-1.3962634015954636</v>
      </c>
      <c r="C38" s="2">
        <v>57.6</v>
      </c>
      <c r="D38" s="2">
        <f t="shared" si="0"/>
        <v>0.60504201680672265</v>
      </c>
      <c r="E38" s="1">
        <f t="shared" si="3"/>
        <v>0.44705882352941179</v>
      </c>
    </row>
    <row r="39" spans="1:28" x14ac:dyDescent="0.3">
      <c r="A39" s="2">
        <v>-85</v>
      </c>
      <c r="B39" s="2">
        <f t="shared" si="2"/>
        <v>-1.4835298641951802</v>
      </c>
      <c r="C39" s="2">
        <v>64</v>
      </c>
      <c r="D39" s="2">
        <f t="shared" si="0"/>
        <v>0.67226890756302515</v>
      </c>
      <c r="E39" s="1">
        <f t="shared" si="3"/>
        <v>0.54117647058823526</v>
      </c>
    </row>
    <row r="40" spans="1:28" x14ac:dyDescent="0.3">
      <c r="A40" s="2">
        <v>-90</v>
      </c>
      <c r="B40" s="2">
        <f t="shared" si="2"/>
        <v>-1.5707963267948966</v>
      </c>
      <c r="C40" s="2">
        <v>69.2</v>
      </c>
      <c r="D40" s="2">
        <f t="shared" si="0"/>
        <v>0.72689075630252098</v>
      </c>
      <c r="E40" s="1">
        <f t="shared" si="3"/>
        <v>0.61764705882352944</v>
      </c>
    </row>
    <row r="41" spans="1:28" x14ac:dyDescent="0.3">
      <c r="A41" s="2">
        <v>-95</v>
      </c>
      <c r="B41" s="2">
        <f t="shared" si="2"/>
        <v>-1.6580627893946132</v>
      </c>
      <c r="C41" s="2">
        <v>75.2</v>
      </c>
      <c r="D41" s="2">
        <f t="shared" si="0"/>
        <v>0.78991596638655459</v>
      </c>
      <c r="E41" s="1">
        <f t="shared" si="3"/>
        <v>0.70588235294117652</v>
      </c>
      <c r="Z41" s="22" t="s">
        <v>43</v>
      </c>
      <c r="AA41" s="22"/>
      <c r="AB41" s="23">
        <f>RSQ(L3:L21,M3:M21)</f>
        <v>0.97059649523454494</v>
      </c>
    </row>
    <row r="42" spans="1:28" x14ac:dyDescent="0.3">
      <c r="Z42" s="22"/>
      <c r="AA42" s="22"/>
      <c r="AB42" s="24"/>
    </row>
    <row r="52" spans="26:29" x14ac:dyDescent="0.3">
      <c r="AA52" s="29" t="s">
        <v>63</v>
      </c>
      <c r="AB52" s="29"/>
      <c r="AC52" s="29"/>
    </row>
    <row r="53" spans="26:29" x14ac:dyDescent="0.3">
      <c r="AA53" s="29"/>
      <c r="AB53" s="29"/>
      <c r="AC53" s="29"/>
    </row>
    <row r="54" spans="26:29" x14ac:dyDescent="0.3">
      <c r="AA54" s="29"/>
      <c r="AB54" s="29"/>
      <c r="AC54" s="29"/>
    </row>
    <row r="55" spans="26:29" x14ac:dyDescent="0.3">
      <c r="AA55" s="29"/>
      <c r="AB55" s="29"/>
      <c r="AC55" s="29"/>
    </row>
    <row r="58" spans="26:29" x14ac:dyDescent="0.3">
      <c r="Z58" s="22" t="s">
        <v>43</v>
      </c>
      <c r="AA58" s="22"/>
      <c r="AB58" s="23">
        <f>RSQ(N3:N21,L3:L21)</f>
        <v>0.99949954907022054</v>
      </c>
    </row>
    <row r="59" spans="26:29" x14ac:dyDescent="0.3">
      <c r="Z59" s="22"/>
      <c r="AA59" s="22"/>
      <c r="AB59" s="24"/>
    </row>
  </sheetData>
  <mergeCells count="10">
    <mergeCell ref="Z58:AA59"/>
    <mergeCell ref="AB58:AB59"/>
    <mergeCell ref="O2:P6"/>
    <mergeCell ref="A1:D1"/>
    <mergeCell ref="J22:J26"/>
    <mergeCell ref="G1:N1"/>
    <mergeCell ref="G28:H28"/>
    <mergeCell ref="AA52:AC55"/>
    <mergeCell ref="Z41:AA42"/>
    <mergeCell ref="AB41:A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AJ43"/>
  <sheetViews>
    <sheetView tabSelected="1" zoomScale="85" zoomScaleNormal="85" workbookViewId="0">
      <selection activeCell="V12" sqref="V12"/>
    </sheetView>
  </sheetViews>
  <sheetFormatPr defaultColWidth="8.88671875" defaultRowHeight="14.4" x14ac:dyDescent="0.3"/>
  <cols>
    <col min="1" max="16384" width="8.88671875" style="1"/>
  </cols>
  <sheetData>
    <row r="1" spans="1:36" x14ac:dyDescent="0.3">
      <c r="A1" s="26" t="s">
        <v>7</v>
      </c>
      <c r="B1" s="26"/>
      <c r="C1" s="26"/>
      <c r="D1" s="26"/>
      <c r="E1" s="26"/>
    </row>
    <row r="2" spans="1:36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  <c r="F2" s="1" t="s">
        <v>60</v>
      </c>
      <c r="G2" s="1" t="s">
        <v>61</v>
      </c>
      <c r="H2" s="1" t="s">
        <v>64</v>
      </c>
    </row>
    <row r="3" spans="1:36" x14ac:dyDescent="0.3">
      <c r="A3" s="2">
        <v>-45</v>
      </c>
      <c r="B3" s="2">
        <f>RADIANS(A3)</f>
        <v>-0.78539816339744828</v>
      </c>
      <c r="C3" s="2">
        <v>37.6</v>
      </c>
      <c r="D3" s="2">
        <f>C3/$C$5</f>
        <v>0.8867924528301887</v>
      </c>
      <c r="E3" s="2">
        <f>COS(B3)^2+COS(2*$V$13-B3)^2</f>
        <v>1.4330127018922196</v>
      </c>
      <c r="F3" s="1">
        <f>(E3-MIN(E$3:E$22))/(MAX(E$3:E$22)-MIN(E$3:E$22))</f>
        <v>0.75000000000000011</v>
      </c>
      <c r="G3" s="1">
        <f>(C3-MIN(C$3:C$22))/(MAX(C$3:C$22)-MIN(C$3:C$22))</f>
        <v>0.85365853658536595</v>
      </c>
      <c r="H3" s="1">
        <f>E3/MAX(E$3:E$22)</f>
        <v>0.76794919243112281</v>
      </c>
    </row>
    <row r="4" spans="1:36" x14ac:dyDescent="0.3">
      <c r="A4" s="2">
        <v>-35</v>
      </c>
      <c r="B4" s="2">
        <f t="shared" ref="B4:B22" si="0">RADIANS(A4)</f>
        <v>-0.6108652381980153</v>
      </c>
      <c r="C4" s="2">
        <v>40.4</v>
      </c>
      <c r="D4" s="2">
        <f t="shared" ref="D4:D22" si="1">C4/$C$5</f>
        <v>0.95283018867924529</v>
      </c>
      <c r="E4" s="2">
        <f t="shared" ref="E4:E22" si="2">COS(B4)^2+COS(2*$V$13-B4)^2</f>
        <v>1.6634139481689383</v>
      </c>
      <c r="F4" s="1">
        <f t="shared" ref="F4:F22" si="3">(E4-MIN(E$3:E$22))/(MAX(E$3:E$22)-MIN(E$3:E$22))</f>
        <v>0.88302222155948884</v>
      </c>
      <c r="G4" s="1">
        <f t="shared" ref="G4:G22" si="4">(C4-MIN(C$3:C$22))/(MAX(C$3:C$22)-MIN(C$3:C$22))</f>
        <v>0.93902439024390238</v>
      </c>
      <c r="H4" s="1">
        <f t="shared" ref="H4:H22" si="5">E4/MAX(E$3:E$22)</f>
        <v>0.89142084818106471</v>
      </c>
    </row>
    <row r="5" spans="1:36" x14ac:dyDescent="0.3">
      <c r="A5" s="2">
        <v>-25</v>
      </c>
      <c r="B5" s="2">
        <f t="shared" si="0"/>
        <v>-0.43633231299858238</v>
      </c>
      <c r="C5" s="2">
        <v>42.4</v>
      </c>
      <c r="D5" s="2">
        <f t="shared" si="1"/>
        <v>1</v>
      </c>
      <c r="E5" s="2">
        <f t="shared" si="2"/>
        <v>1.8137976813493737</v>
      </c>
      <c r="F5" s="1">
        <f t="shared" si="3"/>
        <v>0.9698463103929541</v>
      </c>
      <c r="G5" s="1">
        <f t="shared" si="4"/>
        <v>1</v>
      </c>
      <c r="H5" s="1">
        <f t="shared" si="5"/>
        <v>0.97201124790201499</v>
      </c>
      <c r="T5" s="29" t="s">
        <v>35</v>
      </c>
      <c r="U5" s="29"/>
      <c r="V5" s="29"/>
    </row>
    <row r="6" spans="1:36" x14ac:dyDescent="0.3">
      <c r="A6" s="2">
        <v>-15</v>
      </c>
      <c r="B6" s="2">
        <f t="shared" si="0"/>
        <v>-0.26179938779914941</v>
      </c>
      <c r="C6" s="2">
        <v>41.6</v>
      </c>
      <c r="D6" s="2">
        <f t="shared" si="1"/>
        <v>0.98113207547169823</v>
      </c>
      <c r="E6" s="2">
        <f t="shared" si="2"/>
        <v>1.8660254037844388</v>
      </c>
      <c r="F6" s="1">
        <f t="shared" si="3"/>
        <v>1</v>
      </c>
      <c r="G6" s="1">
        <f t="shared" si="4"/>
        <v>0.97560975609756106</v>
      </c>
      <c r="H6" s="1">
        <f t="shared" si="5"/>
        <v>1</v>
      </c>
      <c r="T6" s="29"/>
      <c r="U6" s="29"/>
      <c r="V6" s="29"/>
    </row>
    <row r="7" spans="1:36" x14ac:dyDescent="0.3">
      <c r="A7" s="2">
        <v>-5</v>
      </c>
      <c r="B7" s="2">
        <f t="shared" si="0"/>
        <v>-8.7266462599716474E-2</v>
      </c>
      <c r="C7" s="2">
        <v>39.200000000000003</v>
      </c>
      <c r="D7" s="2">
        <f t="shared" si="1"/>
        <v>0.92452830188679258</v>
      </c>
      <c r="E7" s="2">
        <f>COS(B7)^2+COS(2*$V$13-B7)^2</f>
        <v>1.8137976813493737</v>
      </c>
      <c r="F7" s="1">
        <f t="shared" si="3"/>
        <v>0.9698463103929541</v>
      </c>
      <c r="G7" s="1">
        <f t="shared" si="4"/>
        <v>0.90243902439024404</v>
      </c>
      <c r="H7" s="1">
        <f t="shared" si="5"/>
        <v>0.97201124790201499</v>
      </c>
      <c r="T7" s="29"/>
      <c r="U7" s="29"/>
      <c r="V7" s="29"/>
    </row>
    <row r="8" spans="1:36" x14ac:dyDescent="0.3">
      <c r="A8" s="2">
        <v>5</v>
      </c>
      <c r="B8" s="2">
        <f t="shared" si="0"/>
        <v>8.7266462599716474E-2</v>
      </c>
      <c r="C8" s="2">
        <v>35.200000000000003</v>
      </c>
      <c r="D8" s="2">
        <f t="shared" si="1"/>
        <v>0.83018867924528317</v>
      </c>
      <c r="E8" s="2">
        <f t="shared" si="2"/>
        <v>1.6634139481689387</v>
      </c>
      <c r="F8" s="1">
        <f t="shared" si="3"/>
        <v>0.88302222155948917</v>
      </c>
      <c r="G8" s="1">
        <f t="shared" si="4"/>
        <v>0.78048780487804892</v>
      </c>
      <c r="H8" s="1">
        <f t="shared" si="5"/>
        <v>0.89142084818106504</v>
      </c>
      <c r="T8" s="29"/>
      <c r="U8" s="29"/>
      <c r="V8" s="29"/>
    </row>
    <row r="9" spans="1:36" x14ac:dyDescent="0.3">
      <c r="A9" s="2">
        <v>15</v>
      </c>
      <c r="B9" s="2">
        <f t="shared" si="0"/>
        <v>0.26179938779914941</v>
      </c>
      <c r="C9" s="2">
        <v>30.4</v>
      </c>
      <c r="D9" s="2">
        <f t="shared" si="1"/>
        <v>0.71698113207547165</v>
      </c>
      <c r="E9" s="2">
        <f t="shared" si="2"/>
        <v>1.4330127018922192</v>
      </c>
      <c r="F9" s="1">
        <f t="shared" si="3"/>
        <v>0.74999999999999989</v>
      </c>
      <c r="G9" s="1">
        <f t="shared" si="4"/>
        <v>0.63414634146341464</v>
      </c>
      <c r="H9" s="1">
        <f t="shared" si="5"/>
        <v>0.76794919243112258</v>
      </c>
      <c r="T9" s="29"/>
      <c r="U9" s="29"/>
      <c r="V9" s="29"/>
    </row>
    <row r="10" spans="1:36" x14ac:dyDescent="0.3">
      <c r="A10" s="2">
        <v>25</v>
      </c>
      <c r="B10" s="2">
        <f t="shared" si="0"/>
        <v>0.43633231299858238</v>
      </c>
      <c r="C10" s="2">
        <v>24.8</v>
      </c>
      <c r="D10" s="2">
        <f t="shared" si="1"/>
        <v>0.58490566037735847</v>
      </c>
      <c r="E10" s="2">
        <f t="shared" si="2"/>
        <v>1.1503837331804354</v>
      </c>
      <c r="F10" s="1">
        <f t="shared" si="3"/>
        <v>0.58682408883346515</v>
      </c>
      <c r="G10" s="1">
        <f t="shared" si="4"/>
        <v>0.46341463414634154</v>
      </c>
      <c r="H10" s="1">
        <f t="shared" si="5"/>
        <v>0.61648878458319556</v>
      </c>
    </row>
    <row r="11" spans="1:36" x14ac:dyDescent="0.3">
      <c r="A11" s="2">
        <v>35</v>
      </c>
      <c r="B11" s="2">
        <f t="shared" si="0"/>
        <v>0.6108652381980153</v>
      </c>
      <c r="C11" s="2">
        <v>20</v>
      </c>
      <c r="D11" s="2">
        <f t="shared" si="1"/>
        <v>0.47169811320754718</v>
      </c>
      <c r="E11" s="2">
        <f t="shared" si="2"/>
        <v>0.84961626681956492</v>
      </c>
      <c r="F11" s="1">
        <f t="shared" si="3"/>
        <v>0.41317591116653496</v>
      </c>
      <c r="G11" s="1">
        <f t="shared" si="4"/>
        <v>0.31707317073170738</v>
      </c>
      <c r="H11" s="1">
        <f t="shared" si="5"/>
        <v>0.45530798514129533</v>
      </c>
    </row>
    <row r="12" spans="1:36" x14ac:dyDescent="0.3">
      <c r="A12" s="2">
        <v>45</v>
      </c>
      <c r="B12" s="2">
        <f t="shared" si="0"/>
        <v>0.78539816339744828</v>
      </c>
      <c r="C12" s="2">
        <v>14.4</v>
      </c>
      <c r="D12" s="2">
        <f t="shared" si="1"/>
        <v>0.339622641509434</v>
      </c>
      <c r="E12" s="2">
        <f t="shared" si="2"/>
        <v>0.56698729810778081</v>
      </c>
      <c r="F12" s="1">
        <f t="shared" si="3"/>
        <v>0.25000000000000011</v>
      </c>
      <c r="G12" s="1">
        <f t="shared" si="4"/>
        <v>0.14634146341463419</v>
      </c>
      <c r="H12" s="1">
        <f t="shared" si="5"/>
        <v>0.30384757729336814</v>
      </c>
      <c r="U12" s="4" t="s">
        <v>36</v>
      </c>
      <c r="V12" s="2">
        <v>75</v>
      </c>
    </row>
    <row r="13" spans="1:36" x14ac:dyDescent="0.3">
      <c r="A13" s="2">
        <v>55</v>
      </c>
      <c r="B13" s="2">
        <f t="shared" si="0"/>
        <v>0.95993108859688125</v>
      </c>
      <c r="C13" s="2">
        <v>11.2</v>
      </c>
      <c r="D13" s="2">
        <f t="shared" si="1"/>
        <v>0.26415094339622641</v>
      </c>
      <c r="E13" s="2">
        <f t="shared" si="2"/>
        <v>0.33658605183106172</v>
      </c>
      <c r="F13" s="1">
        <f t="shared" si="3"/>
        <v>0.11697777844051106</v>
      </c>
      <c r="G13" s="1">
        <f t="shared" si="4"/>
        <v>4.8780487804878044E-2</v>
      </c>
      <c r="H13" s="1">
        <f t="shared" si="5"/>
        <v>0.18037592154342597</v>
      </c>
      <c r="I13" s="1" t="s">
        <v>48</v>
      </c>
      <c r="J13" s="1" t="s">
        <v>47</v>
      </c>
      <c r="U13" s="4" t="s">
        <v>37</v>
      </c>
      <c r="V13" s="2">
        <f>RADIANS(V12)</f>
        <v>1.3089969389957472</v>
      </c>
    </row>
    <row r="14" spans="1:36" x14ac:dyDescent="0.3">
      <c r="A14" s="2">
        <v>65</v>
      </c>
      <c r="B14" s="2">
        <f t="shared" si="0"/>
        <v>1.1344640137963142</v>
      </c>
      <c r="C14" s="2">
        <v>9.6</v>
      </c>
      <c r="D14" s="2">
        <f t="shared" si="1"/>
        <v>0.22641509433962265</v>
      </c>
      <c r="E14" s="2">
        <f t="shared" si="2"/>
        <v>0.18620231865062631</v>
      </c>
      <c r="F14" s="1">
        <f t="shared" si="3"/>
        <v>3.0153689607045824E-2</v>
      </c>
      <c r="G14" s="1">
        <f t="shared" si="4"/>
        <v>0</v>
      </c>
      <c r="H14" s="1">
        <f t="shared" si="5"/>
        <v>9.9785521822475784E-2</v>
      </c>
      <c r="I14" s="1">
        <v>90</v>
      </c>
      <c r="J14" s="1">
        <v>-40</v>
      </c>
    </row>
    <row r="15" spans="1:36" x14ac:dyDescent="0.3">
      <c r="A15" s="2">
        <v>75</v>
      </c>
      <c r="B15" s="2">
        <f t="shared" si="0"/>
        <v>1.3089969389957472</v>
      </c>
      <c r="C15" s="2">
        <v>10.4</v>
      </c>
      <c r="D15" s="2">
        <f t="shared" si="1"/>
        <v>0.24528301886792456</v>
      </c>
      <c r="E15" s="2">
        <f t="shared" si="2"/>
        <v>0.13397459621556132</v>
      </c>
      <c r="F15" s="1">
        <f t="shared" si="3"/>
        <v>0</v>
      </c>
      <c r="G15" s="1">
        <f t="shared" si="4"/>
        <v>2.439024390243905E-2</v>
      </c>
      <c r="H15" s="1">
        <f t="shared" si="5"/>
        <v>7.1796769724490797E-2</v>
      </c>
      <c r="I15" s="1">
        <v>5</v>
      </c>
      <c r="J15" s="1">
        <v>45</v>
      </c>
      <c r="AB15" s="29" t="s">
        <v>62</v>
      </c>
      <c r="AC15" s="29"/>
      <c r="AD15" s="29"/>
      <c r="AE15" s="29"/>
      <c r="AF15" s="29"/>
      <c r="AG15" s="29"/>
      <c r="AH15" s="29"/>
      <c r="AI15" s="29"/>
      <c r="AJ15" s="29"/>
    </row>
    <row r="16" spans="1:36" x14ac:dyDescent="0.3">
      <c r="A16" s="2">
        <v>85</v>
      </c>
      <c r="B16" s="2">
        <f t="shared" si="0"/>
        <v>1.4835298641951802</v>
      </c>
      <c r="C16" s="2">
        <v>12.8</v>
      </c>
      <c r="D16" s="2">
        <f t="shared" si="1"/>
        <v>0.30188679245283023</v>
      </c>
      <c r="E16" s="2">
        <f t="shared" si="2"/>
        <v>0.18620231865062631</v>
      </c>
      <c r="F16" s="1">
        <f t="shared" si="3"/>
        <v>3.0153689607045824E-2</v>
      </c>
      <c r="G16" s="1">
        <f t="shared" si="4"/>
        <v>9.7560975609756143E-2</v>
      </c>
      <c r="H16" s="1">
        <f t="shared" si="5"/>
        <v>9.9785521822475784E-2</v>
      </c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x14ac:dyDescent="0.3">
      <c r="A17" s="2">
        <v>95</v>
      </c>
      <c r="B17" s="2">
        <f t="shared" si="0"/>
        <v>1.6580627893946132</v>
      </c>
      <c r="C17" s="2">
        <v>16.8</v>
      </c>
      <c r="D17" s="2">
        <f t="shared" si="1"/>
        <v>0.39622641509433965</v>
      </c>
      <c r="E17" s="2">
        <f t="shared" si="2"/>
        <v>0.33658605183106172</v>
      </c>
      <c r="F17" s="1">
        <f t="shared" si="3"/>
        <v>0.11697777844051106</v>
      </c>
      <c r="G17" s="1">
        <f t="shared" si="4"/>
        <v>0.21951219512195128</v>
      </c>
      <c r="H17" s="1">
        <f t="shared" si="5"/>
        <v>0.18037592154342597</v>
      </c>
      <c r="I17" s="1">
        <v>-90</v>
      </c>
      <c r="J17" s="1">
        <f>I17*$F$15+$G$15</f>
        <v>2.439024390243905E-2</v>
      </c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x14ac:dyDescent="0.3">
      <c r="A18" s="2">
        <v>105</v>
      </c>
      <c r="B18" s="2">
        <f t="shared" si="0"/>
        <v>1.8325957145940461</v>
      </c>
      <c r="C18" s="2">
        <v>22.4</v>
      </c>
      <c r="D18" s="2">
        <f t="shared" si="1"/>
        <v>0.52830188679245282</v>
      </c>
      <c r="E18" s="2">
        <f t="shared" si="2"/>
        <v>0.56698729810778081</v>
      </c>
      <c r="F18" s="1">
        <f t="shared" si="3"/>
        <v>0.25000000000000011</v>
      </c>
      <c r="G18" s="1">
        <f t="shared" si="4"/>
        <v>0.3902439024390244</v>
      </c>
      <c r="H18" s="1">
        <f t="shared" si="5"/>
        <v>0.30384757729336814</v>
      </c>
      <c r="I18" s="1">
        <v>-80</v>
      </c>
      <c r="J18" s="1">
        <f t="shared" ref="J18:J35" si="6">I18*$F$15+$G$15</f>
        <v>2.439024390243905E-2</v>
      </c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x14ac:dyDescent="0.3">
      <c r="A19" s="2">
        <v>115</v>
      </c>
      <c r="B19" s="2">
        <f t="shared" si="0"/>
        <v>2.0071286397934789</v>
      </c>
      <c r="C19" s="2">
        <v>28</v>
      </c>
      <c r="D19" s="2">
        <f t="shared" si="1"/>
        <v>0.66037735849056611</v>
      </c>
      <c r="E19" s="2">
        <f t="shared" si="2"/>
        <v>0.84961626681956448</v>
      </c>
      <c r="F19" s="1">
        <f t="shared" si="3"/>
        <v>0.41317591116653468</v>
      </c>
      <c r="G19" s="1">
        <f t="shared" si="4"/>
        <v>0.56097560975609762</v>
      </c>
      <c r="H19" s="1">
        <f t="shared" si="5"/>
        <v>0.45530798514129511</v>
      </c>
      <c r="I19" s="1">
        <v>-70</v>
      </c>
      <c r="J19" s="1">
        <f t="shared" si="6"/>
        <v>2.439024390243905E-2</v>
      </c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x14ac:dyDescent="0.3">
      <c r="A20" s="2">
        <v>125</v>
      </c>
      <c r="B20" s="2">
        <f t="shared" si="0"/>
        <v>2.1816615649929121</v>
      </c>
      <c r="C20" s="2">
        <v>33.6</v>
      </c>
      <c r="D20" s="2">
        <f t="shared" si="1"/>
        <v>0.79245283018867929</v>
      </c>
      <c r="E20" s="2">
        <f t="shared" si="2"/>
        <v>1.1503837331804354</v>
      </c>
      <c r="F20" s="1">
        <f t="shared" si="3"/>
        <v>0.58682408883346515</v>
      </c>
      <c r="G20" s="1">
        <f t="shared" si="4"/>
        <v>0.73170731707317083</v>
      </c>
      <c r="H20" s="1">
        <f t="shared" si="5"/>
        <v>0.61648878458319556</v>
      </c>
      <c r="I20" s="1">
        <v>-60</v>
      </c>
      <c r="J20" s="1">
        <f t="shared" si="6"/>
        <v>2.439024390243905E-2</v>
      </c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x14ac:dyDescent="0.3">
      <c r="A21" s="2">
        <v>135</v>
      </c>
      <c r="B21" s="2">
        <f t="shared" si="0"/>
        <v>2.3561944901923448</v>
      </c>
      <c r="C21" s="2">
        <v>38.4</v>
      </c>
      <c r="D21" s="2">
        <f t="shared" si="1"/>
        <v>0.90566037735849059</v>
      </c>
      <c r="E21" s="2">
        <f>COS(B21)^2+COS(2*$V$13-B21)^2</f>
        <v>1.4330127018922192</v>
      </c>
      <c r="F21" s="1">
        <f t="shared" si="3"/>
        <v>0.74999999999999989</v>
      </c>
      <c r="G21" s="1">
        <f t="shared" si="4"/>
        <v>0.87804878048780488</v>
      </c>
      <c r="H21" s="1">
        <f t="shared" si="5"/>
        <v>0.76794919243112258</v>
      </c>
      <c r="I21" s="1">
        <v>-50</v>
      </c>
      <c r="J21" s="1">
        <f t="shared" si="6"/>
        <v>2.439024390243905E-2</v>
      </c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x14ac:dyDescent="0.3">
      <c r="A22" s="2">
        <v>145</v>
      </c>
      <c r="B22" s="2">
        <f t="shared" si="0"/>
        <v>2.530727415391778</v>
      </c>
      <c r="C22" s="2">
        <v>41.6</v>
      </c>
      <c r="D22" s="2">
        <f t="shared" si="1"/>
        <v>0.98113207547169823</v>
      </c>
      <c r="E22" s="2">
        <f t="shared" si="2"/>
        <v>1.6634139481689387</v>
      </c>
      <c r="F22" s="1">
        <f t="shared" si="3"/>
        <v>0.88302222155948917</v>
      </c>
      <c r="G22" s="1">
        <f t="shared" si="4"/>
        <v>0.97560975609756106</v>
      </c>
      <c r="H22" s="1">
        <f t="shared" si="5"/>
        <v>0.89142084818106504</v>
      </c>
      <c r="I22" s="1">
        <v>-40</v>
      </c>
      <c r="J22" s="1">
        <f t="shared" si="6"/>
        <v>2.439024390243905E-2</v>
      </c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x14ac:dyDescent="0.3">
      <c r="I23" s="1">
        <v>-30</v>
      </c>
      <c r="J23" s="1">
        <f t="shared" si="6"/>
        <v>2.439024390243905E-2</v>
      </c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x14ac:dyDescent="0.3">
      <c r="B24" s="1" cm="1">
        <f t="array" ref="B24:B43">COS(B3:B22)^2</f>
        <v>0.50000000000000011</v>
      </c>
      <c r="I24" s="1">
        <v>-20</v>
      </c>
      <c r="J24" s="1">
        <f t="shared" si="6"/>
        <v>2.439024390243905E-2</v>
      </c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x14ac:dyDescent="0.3">
      <c r="B25" s="1">
        <v>0.67101007166283433</v>
      </c>
      <c r="I25" s="1">
        <v>-10</v>
      </c>
      <c r="J25" s="1">
        <f t="shared" si="6"/>
        <v>2.439024390243905E-2</v>
      </c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x14ac:dyDescent="0.3">
      <c r="B26" s="1">
        <v>0.82139380484326963</v>
      </c>
      <c r="I26" s="1">
        <v>0</v>
      </c>
      <c r="J26" s="1">
        <f t="shared" si="6"/>
        <v>2.439024390243905E-2</v>
      </c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x14ac:dyDescent="0.3">
      <c r="B27" s="1">
        <v>0.93301270189221941</v>
      </c>
      <c r="I27" s="1">
        <v>10</v>
      </c>
      <c r="J27" s="1">
        <f t="shared" si="6"/>
        <v>2.439024390243905E-2</v>
      </c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x14ac:dyDescent="0.3">
      <c r="B28" s="1">
        <v>0.99240387650610407</v>
      </c>
      <c r="I28" s="1">
        <v>20</v>
      </c>
      <c r="J28" s="1">
        <f t="shared" si="6"/>
        <v>2.439024390243905E-2</v>
      </c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x14ac:dyDescent="0.3">
      <c r="B29" s="1">
        <v>0.99240387650610407</v>
      </c>
      <c r="I29" s="1">
        <v>30</v>
      </c>
      <c r="J29" s="1">
        <f t="shared" si="6"/>
        <v>2.439024390243905E-2</v>
      </c>
    </row>
    <row r="30" spans="1:36" x14ac:dyDescent="0.3">
      <c r="B30" s="1">
        <v>0.93301270189221941</v>
      </c>
      <c r="I30" s="1">
        <v>40</v>
      </c>
      <c r="J30" s="1">
        <f t="shared" si="6"/>
        <v>2.439024390243905E-2</v>
      </c>
    </row>
    <row r="31" spans="1:36" x14ac:dyDescent="0.3">
      <c r="B31" s="1">
        <v>0.82139380484326963</v>
      </c>
      <c r="I31" s="1">
        <v>50</v>
      </c>
      <c r="J31" s="1">
        <f t="shared" si="6"/>
        <v>2.439024390243905E-2</v>
      </c>
    </row>
    <row r="32" spans="1:36" x14ac:dyDescent="0.3">
      <c r="B32" s="1">
        <v>0.67101007166283433</v>
      </c>
      <c r="I32" s="1">
        <v>60</v>
      </c>
      <c r="J32" s="1">
        <f t="shared" si="6"/>
        <v>2.439024390243905E-2</v>
      </c>
    </row>
    <row r="33" spans="2:10" x14ac:dyDescent="0.3">
      <c r="B33" s="1">
        <v>0.50000000000000011</v>
      </c>
      <c r="I33" s="1">
        <v>70</v>
      </c>
      <c r="J33" s="1">
        <f t="shared" si="6"/>
        <v>2.439024390243905E-2</v>
      </c>
    </row>
    <row r="34" spans="2:10" x14ac:dyDescent="0.3">
      <c r="B34" s="1">
        <v>0.32898992833716573</v>
      </c>
      <c r="I34" s="1">
        <v>80</v>
      </c>
      <c r="J34" s="1">
        <f t="shared" si="6"/>
        <v>2.439024390243905E-2</v>
      </c>
    </row>
    <row r="35" spans="2:10" x14ac:dyDescent="0.3">
      <c r="B35" s="1">
        <v>0.17860619515673035</v>
      </c>
      <c r="I35" s="1">
        <v>90</v>
      </c>
      <c r="J35" s="1">
        <f t="shared" si="6"/>
        <v>2.439024390243905E-2</v>
      </c>
    </row>
    <row r="36" spans="2:10" x14ac:dyDescent="0.3">
      <c r="B36" s="1">
        <v>6.698729810778066E-2</v>
      </c>
    </row>
    <row r="37" spans="2:10" x14ac:dyDescent="0.3">
      <c r="B37" s="1">
        <v>7.5961234938959638E-3</v>
      </c>
    </row>
    <row r="38" spans="2:10" x14ac:dyDescent="0.3">
      <c r="B38" s="1">
        <v>7.5961234938959812E-3</v>
      </c>
    </row>
    <row r="39" spans="2:10" x14ac:dyDescent="0.3">
      <c r="B39" s="1">
        <v>6.6987298107780716E-2</v>
      </c>
    </row>
    <row r="40" spans="2:10" x14ac:dyDescent="0.3">
      <c r="B40" s="1">
        <v>0.17860619515673024</v>
      </c>
    </row>
    <row r="41" spans="2:10" x14ac:dyDescent="0.3">
      <c r="B41" s="1">
        <v>0.32898992833716573</v>
      </c>
    </row>
    <row r="42" spans="2:10" x14ac:dyDescent="0.3">
      <c r="B42" s="1">
        <v>0.49999999999999989</v>
      </c>
    </row>
    <row r="43" spans="2:10" x14ac:dyDescent="0.3">
      <c r="B43" s="1">
        <v>0.67101007166283455</v>
      </c>
    </row>
  </sheetData>
  <mergeCells count="3">
    <mergeCell ref="T5:V9"/>
    <mergeCell ref="A1:E1"/>
    <mergeCell ref="AB15:AJ2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M22"/>
  <sheetViews>
    <sheetView zoomScale="85" zoomScaleNormal="85" workbookViewId="0">
      <selection activeCell="I21" sqref="I21"/>
    </sheetView>
  </sheetViews>
  <sheetFormatPr defaultColWidth="8.88671875" defaultRowHeight="14.4" x14ac:dyDescent="0.3"/>
  <cols>
    <col min="1" max="10" width="8.88671875" style="1"/>
    <col min="11" max="11" width="12.44140625" style="1" bestFit="1" customWidth="1"/>
    <col min="12" max="16384" width="8.88671875" style="1"/>
  </cols>
  <sheetData>
    <row r="1" spans="1:13" x14ac:dyDescent="0.3">
      <c r="A1" s="26" t="s">
        <v>7</v>
      </c>
      <c r="B1" s="26"/>
      <c r="C1" s="26"/>
      <c r="D1" s="26"/>
      <c r="E1" s="26"/>
    </row>
    <row r="2" spans="1:13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  <c r="F2" s="1" t="s">
        <v>65</v>
      </c>
      <c r="G2" s="1" t="s">
        <v>60</v>
      </c>
    </row>
    <row r="3" spans="1:13" x14ac:dyDescent="0.3">
      <c r="A3" s="2">
        <v>-45</v>
      </c>
      <c r="B3" s="2">
        <f>RADIANS(A3)</f>
        <v>-0.78539816339744828</v>
      </c>
      <c r="C3" s="2">
        <v>14.4</v>
      </c>
      <c r="D3" s="2">
        <f>C3/C$10</f>
        <v>0.339622641509434</v>
      </c>
      <c r="E3" s="2">
        <f>COS(B3)^2+COS(2*$L$10-B3)^2</f>
        <v>0.67860619515673037</v>
      </c>
      <c r="F3" s="1">
        <f>E3/MAX(E$3:E$22)</f>
        <v>0.50566021570665254</v>
      </c>
      <c r="G3" s="1">
        <f>(E3-MIN(E$3:E$22))/(MAX(E$3:E$22)-MIN(E$3:E$22))</f>
        <v>3.0153689607046074E-2</v>
      </c>
      <c r="H3" s="1">
        <f>(C3-MIN(C$3:C$22))/(MAX(C$3:C$22)-MIN(C$3:C$22))</f>
        <v>0.125</v>
      </c>
      <c r="K3" s="29" t="s">
        <v>35</v>
      </c>
      <c r="L3" s="29"/>
      <c r="M3" s="29"/>
    </row>
    <row r="4" spans="1:13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C4/C$10</f>
        <v>0.43396226415094336</v>
      </c>
      <c r="E4" s="2">
        <f>COS(B4)^2+COS(2*$L$10-B4)^2</f>
        <v>0.73799736977061492</v>
      </c>
      <c r="F4" s="1">
        <f t="shared" ref="F4:F22" si="2">E4/MAX(E$3:E$22)</f>
        <v>0.54991527022968445</v>
      </c>
      <c r="G4" s="1">
        <f t="shared" ref="G4:G22" si="3">(E4-MIN(E$3:E$22))/(MAX(E$3:E$22)-MIN(E$3:E$22))</f>
        <v>0.11697777844051101</v>
      </c>
      <c r="H4" s="1">
        <f t="shared" ref="H4:H22" si="4">(C4-MIN(C$3:C$22))/(MAX(C$3:C$22)-MIN(C$3:C$22))</f>
        <v>0.24999999999999994</v>
      </c>
      <c r="K4" s="29"/>
      <c r="L4" s="29"/>
      <c r="M4" s="29"/>
    </row>
    <row r="5" spans="1:13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0.57547169811320753</v>
      </c>
      <c r="E5" s="2">
        <f>COS(B5)^2+COS(2*$L$10-B5)^2</f>
        <v>0.82898992833716556</v>
      </c>
      <c r="F5" s="1">
        <f t="shared" si="2"/>
        <v>0.61771794742427666</v>
      </c>
      <c r="G5" s="1">
        <f t="shared" si="3"/>
        <v>0.25000000000000006</v>
      </c>
      <c r="H5" s="1">
        <f t="shared" si="4"/>
        <v>0.43749999999999994</v>
      </c>
      <c r="K5" s="29"/>
      <c r="L5" s="29"/>
      <c r="M5" s="29"/>
    </row>
    <row r="6" spans="1:13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0.68867924528301883</v>
      </c>
      <c r="E6" s="2">
        <f>COS(B6)^2+COS(2*$L$10-B6)^2</f>
        <v>0.94060882538611545</v>
      </c>
      <c r="F6" s="1">
        <f t="shared" si="2"/>
        <v>0.70089024375981923</v>
      </c>
      <c r="G6" s="1">
        <f t="shared" si="3"/>
        <v>0.41317591116653524</v>
      </c>
      <c r="H6" s="1">
        <f t="shared" si="4"/>
        <v>0.58749999999999991</v>
      </c>
      <c r="K6" s="29"/>
      <c r="L6" s="29"/>
      <c r="M6" s="29"/>
    </row>
    <row r="7" spans="1:13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0.820754716981132</v>
      </c>
      <c r="E7" s="2">
        <f>COS(B7)^2+COS(2*$L$10-B7)^2</f>
        <v>1.0593911746138849</v>
      </c>
      <c r="F7" s="1">
        <f t="shared" si="2"/>
        <v>0.78940035280588328</v>
      </c>
      <c r="G7" s="1">
        <f t="shared" si="3"/>
        <v>0.5868240888334656</v>
      </c>
      <c r="H7" s="1">
        <f t="shared" si="4"/>
        <v>0.76249999999999996</v>
      </c>
      <c r="K7" s="29"/>
      <c r="L7" s="29"/>
      <c r="M7" s="29"/>
    </row>
    <row r="8" spans="1:13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0.91509433962264153</v>
      </c>
      <c r="E8" s="2">
        <f>COS(B8)^2+COS(2*$L$10-B8)^2</f>
        <v>1.1710100716628344</v>
      </c>
      <c r="F8" s="1">
        <f t="shared" si="2"/>
        <v>0.87257264914142563</v>
      </c>
      <c r="G8" s="1">
        <f t="shared" si="3"/>
        <v>0.75000000000000022</v>
      </c>
      <c r="H8" s="1">
        <f t="shared" si="4"/>
        <v>0.88749999999999996</v>
      </c>
    </row>
    <row r="9" spans="1:13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0.98113207547169823</v>
      </c>
      <c r="E9" s="2">
        <f>COS(B9)^2+COS(2*$L$10-B9)^2</f>
        <v>1.2620026302293852</v>
      </c>
      <c r="F9" s="1">
        <f t="shared" si="2"/>
        <v>0.94037532633601795</v>
      </c>
      <c r="G9" s="1">
        <f t="shared" si="3"/>
        <v>0.88302222155948951</v>
      </c>
      <c r="H9" s="1">
        <f t="shared" si="4"/>
        <v>0.97500000000000009</v>
      </c>
      <c r="K9" s="4" t="s">
        <v>36</v>
      </c>
      <c r="L9" s="2">
        <v>35</v>
      </c>
    </row>
    <row r="10" spans="1:13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</v>
      </c>
      <c r="E10" s="2">
        <f>COS(B10)^2+COS(2*$L$10-B10)^2</f>
        <v>1.3213938048432698</v>
      </c>
      <c r="F10" s="1">
        <f t="shared" si="2"/>
        <v>0.98463038085904986</v>
      </c>
      <c r="G10" s="1">
        <f t="shared" si="3"/>
        <v>0.96984631039295455</v>
      </c>
      <c r="H10" s="1">
        <f t="shared" si="4"/>
        <v>1</v>
      </c>
      <c r="K10" s="4" t="s">
        <v>37</v>
      </c>
      <c r="L10" s="2">
        <f>RADIANS(L9)</f>
        <v>0.6108652381980153</v>
      </c>
    </row>
    <row r="11" spans="1:13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0.97169811320754729</v>
      </c>
      <c r="E11" s="2">
        <f>COS(B11)^2+COS(2*$L$10-B11)^2</f>
        <v>1.3420201433256687</v>
      </c>
      <c r="F11" s="1">
        <f t="shared" si="2"/>
        <v>1</v>
      </c>
      <c r="G11" s="1">
        <f t="shared" si="3"/>
        <v>1</v>
      </c>
      <c r="H11" s="1">
        <f t="shared" si="4"/>
        <v>0.96250000000000013</v>
      </c>
    </row>
    <row r="12" spans="1:13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0.90566037735849059</v>
      </c>
      <c r="E12" s="2">
        <f>COS(B12)^2+COS(2*$L$10-B12)^2</f>
        <v>1.3213938048432698</v>
      </c>
      <c r="F12" s="1">
        <f t="shared" si="2"/>
        <v>0.98463038085904986</v>
      </c>
      <c r="G12" s="1">
        <f t="shared" si="3"/>
        <v>0.96984631039295455</v>
      </c>
      <c r="H12" s="1">
        <f t="shared" si="4"/>
        <v>0.875</v>
      </c>
    </row>
    <row r="13" spans="1:13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0.79716981132075471</v>
      </c>
      <c r="E13" s="2">
        <f>COS(B13)^2+COS(2*$L$10-B13)^2</f>
        <v>1.2620026302293852</v>
      </c>
      <c r="F13" s="1">
        <f t="shared" si="2"/>
        <v>0.94037532633601795</v>
      </c>
      <c r="G13" s="1">
        <f t="shared" si="3"/>
        <v>0.88302222155948951</v>
      </c>
      <c r="H13" s="1">
        <f t="shared" si="4"/>
        <v>0.73124999999999996</v>
      </c>
    </row>
    <row r="14" spans="1:13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0.679245283018868</v>
      </c>
      <c r="E14" s="2">
        <f>COS(B14)^2+COS(2*$L$10-B14)^2</f>
        <v>1.1710100716628344</v>
      </c>
      <c r="F14" s="1">
        <f t="shared" si="2"/>
        <v>0.87257264914142563</v>
      </c>
      <c r="G14" s="1">
        <f t="shared" si="3"/>
        <v>0.75000000000000022</v>
      </c>
      <c r="H14" s="1">
        <f t="shared" si="4"/>
        <v>0.57499999999999996</v>
      </c>
    </row>
    <row r="15" spans="1:13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0.54716981132075471</v>
      </c>
      <c r="E15" s="2">
        <f>COS(B15)^2+COS(2*$L$10-B15)^2</f>
        <v>1.0593911746138847</v>
      </c>
      <c r="F15" s="1">
        <f t="shared" si="2"/>
        <v>0.78940035280588317</v>
      </c>
      <c r="G15" s="1">
        <f t="shared" si="3"/>
        <v>0.58682408883346526</v>
      </c>
      <c r="H15" s="1">
        <f t="shared" si="4"/>
        <v>0.39999999999999997</v>
      </c>
    </row>
    <row r="16" spans="1:13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0.41509433962264158</v>
      </c>
      <c r="E16" s="2">
        <f>COS(B16)^2+COS(2*$L$10-B16)^2</f>
        <v>0.94060882538611512</v>
      </c>
      <c r="F16" s="1">
        <f t="shared" si="2"/>
        <v>0.70089024375981901</v>
      </c>
      <c r="G16" s="1">
        <f t="shared" si="3"/>
        <v>0.41317591116653474</v>
      </c>
      <c r="H16" s="1">
        <f t="shared" si="4"/>
        <v>0.22500000000000003</v>
      </c>
    </row>
    <row r="17" spans="1:8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0.33018867924528306</v>
      </c>
      <c r="E17" s="2">
        <f>COS(B17)^2+COS(2*$L$10-B17)^2</f>
        <v>0.82898992833716556</v>
      </c>
      <c r="F17" s="1">
        <f t="shared" si="2"/>
        <v>0.61771794742427666</v>
      </c>
      <c r="G17" s="1">
        <f t="shared" si="3"/>
        <v>0.25000000000000006</v>
      </c>
      <c r="H17" s="1">
        <f t="shared" si="4"/>
        <v>0.11249999999999999</v>
      </c>
    </row>
    <row r="18" spans="1:8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0.26415094339622641</v>
      </c>
      <c r="E18" s="2">
        <f>COS(B18)^2+COS(2*$L$10-B18)^2</f>
        <v>0.73799736977061492</v>
      </c>
      <c r="F18" s="1">
        <f t="shared" si="2"/>
        <v>0.54991527022968445</v>
      </c>
      <c r="G18" s="1">
        <f t="shared" si="3"/>
        <v>0.11697777844051101</v>
      </c>
      <c r="H18" s="1">
        <f t="shared" si="4"/>
        <v>2.4999999999999967E-2</v>
      </c>
    </row>
    <row r="19" spans="1:8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0.24528301886792456</v>
      </c>
      <c r="E19" s="2">
        <f>COS(B19)^2+COS(2*$L$10-B19)^2</f>
        <v>0.67860619515673037</v>
      </c>
      <c r="F19" s="1">
        <f t="shared" si="2"/>
        <v>0.50566021570665254</v>
      </c>
      <c r="G19" s="1">
        <f t="shared" si="3"/>
        <v>3.0153689607046074E-2</v>
      </c>
      <c r="H19" s="1">
        <f t="shared" si="4"/>
        <v>0</v>
      </c>
    </row>
    <row r="20" spans="1:8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0.26415094339622641</v>
      </c>
      <c r="E20" s="2">
        <f>COS(B20)^2+COS(2*$L$10-B20)^2</f>
        <v>0.65797985667433112</v>
      </c>
      <c r="F20" s="1">
        <f t="shared" si="2"/>
        <v>0.49029059656570212</v>
      </c>
      <c r="G20" s="1">
        <f t="shared" si="3"/>
        <v>0</v>
      </c>
      <c r="H20" s="1">
        <f t="shared" si="4"/>
        <v>2.4999999999999967E-2</v>
      </c>
    </row>
    <row r="21" spans="1:8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0.339622641509434</v>
      </c>
      <c r="E21" s="2">
        <f>COS(B21)^2+COS(2*$L$10-B21)^2</f>
        <v>0.67860619515673026</v>
      </c>
      <c r="F21" s="1">
        <f t="shared" si="2"/>
        <v>0.50566021570665243</v>
      </c>
      <c r="G21" s="1">
        <f t="shared" si="3"/>
        <v>3.0153689607045911E-2</v>
      </c>
      <c r="H21" s="1">
        <f t="shared" si="4"/>
        <v>0.125</v>
      </c>
    </row>
    <row r="22" spans="1:8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0.45283018867924529</v>
      </c>
      <c r="E22" s="2">
        <f>COS(B22)^2+COS(2*$L$10-B22)^2</f>
        <v>0.73799736977061514</v>
      </c>
      <c r="F22" s="1">
        <f t="shared" si="2"/>
        <v>0.54991527022968456</v>
      </c>
      <c r="G22" s="1">
        <f t="shared" si="3"/>
        <v>0.11697777844051133</v>
      </c>
      <c r="H22" s="1">
        <f t="shared" si="4"/>
        <v>0.27499999999999997</v>
      </c>
    </row>
  </sheetData>
  <mergeCells count="2">
    <mergeCell ref="A1:E1"/>
    <mergeCell ref="K3:M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AD35"/>
  <sheetViews>
    <sheetView workbookViewId="0">
      <selection activeCell="Q16" sqref="Q16"/>
    </sheetView>
  </sheetViews>
  <sheetFormatPr defaultColWidth="8.88671875" defaultRowHeight="14.4" x14ac:dyDescent="0.3"/>
  <cols>
    <col min="1" max="1" width="8.88671875" style="1"/>
    <col min="2" max="2" width="10" style="1" bestFit="1" customWidth="1"/>
    <col min="3" max="3" width="12" style="1" bestFit="1" customWidth="1"/>
    <col min="4" max="4" width="12" style="1" customWidth="1"/>
    <col min="5" max="8" width="8.88671875" style="1"/>
    <col min="9" max="10" width="10.44140625" style="1" bestFit="1" customWidth="1"/>
    <col min="11" max="12" width="8.88671875" style="1"/>
    <col min="13" max="14" width="10" style="1" bestFit="1" customWidth="1"/>
    <col min="15" max="18" width="8.88671875" style="1"/>
    <col min="19" max="19" width="11" style="1" bestFit="1" customWidth="1"/>
    <col min="20" max="20" width="8.88671875" style="1"/>
    <col min="21" max="21" width="11.5546875" style="1" customWidth="1"/>
    <col min="22" max="26" width="8.88671875" style="1"/>
    <col min="27" max="27" width="10" style="1" customWidth="1"/>
    <col min="28" max="28" width="11.109375" style="1" customWidth="1"/>
    <col min="29" max="16384" width="8.88671875" style="1"/>
  </cols>
  <sheetData>
    <row r="1" spans="1:30" x14ac:dyDescent="0.3">
      <c r="A1" s="4" t="s">
        <v>8</v>
      </c>
      <c r="B1" s="4" t="s">
        <v>32</v>
      </c>
      <c r="C1" s="4" t="s">
        <v>11</v>
      </c>
      <c r="D1" s="4"/>
      <c r="E1" s="4" t="s">
        <v>9</v>
      </c>
      <c r="F1" s="4" t="s">
        <v>10</v>
      </c>
      <c r="G1" s="1" t="s">
        <v>39</v>
      </c>
      <c r="R1" s="4" t="s">
        <v>31</v>
      </c>
      <c r="S1" s="7">
        <v>299702547</v>
      </c>
    </row>
    <row r="2" spans="1:30" x14ac:dyDescent="0.3">
      <c r="A2" s="8">
        <v>0</v>
      </c>
      <c r="B2" s="5">
        <v>2E-8</v>
      </c>
      <c r="C2" s="2">
        <v>0.7</v>
      </c>
      <c r="D2" s="2">
        <f>RADIANS(C2)</f>
        <v>1.2217304763960306E-2</v>
      </c>
      <c r="E2" s="2">
        <f>A2*$I$3+$J$3</f>
        <v>1.5000000000000068E-8</v>
      </c>
      <c r="F2" s="5">
        <f>B2-E2</f>
        <v>4.9999999999999323E-9</v>
      </c>
      <c r="G2" s="1">
        <f>C2-C25</f>
        <v>0.7</v>
      </c>
      <c r="H2" s="26" t="s">
        <v>18</v>
      </c>
      <c r="I2" s="26"/>
      <c r="J2" s="26"/>
      <c r="K2" s="26"/>
      <c r="M2" s="4" t="s">
        <v>20</v>
      </c>
      <c r="N2" s="2">
        <f>60*10^6</f>
        <v>60000000</v>
      </c>
      <c r="O2" s="4" t="s">
        <v>24</v>
      </c>
      <c r="P2" s="2">
        <v>5000</v>
      </c>
      <c r="R2" s="4" t="s">
        <v>19</v>
      </c>
      <c r="S2" s="5">
        <f>N2*N4/I3</f>
        <v>339418873.74646437</v>
      </c>
    </row>
    <row r="3" spans="1:30" x14ac:dyDescent="0.3">
      <c r="A3" s="8">
        <v>0.2</v>
      </c>
      <c r="B3" s="5">
        <v>3.8000000000000001E-7</v>
      </c>
      <c r="C3" s="2">
        <v>14.9</v>
      </c>
      <c r="D3" s="2">
        <f t="shared" ref="D3:D12" si="0">RADIANS(C3)</f>
        <v>0.26005405854715513</v>
      </c>
      <c r="E3" s="2">
        <f t="shared" ref="E3:E12" si="1">A3*$I$3+$J$3</f>
        <v>3.6854545454545462E-7</v>
      </c>
      <c r="F3" s="2">
        <f t="shared" ref="F3:F12" si="2">B3-E3</f>
        <v>1.1454545454545391E-8</v>
      </c>
      <c r="G3" s="1">
        <f t="shared" ref="G3:G12" si="3">C3-C26</f>
        <v>0.9336363636363636</v>
      </c>
      <c r="H3" s="4" t="s">
        <v>12</v>
      </c>
      <c r="I3" s="17">
        <f t="array" ref="I3:J5">LINEST(B2:B12,A2:A12,1,1)</f>
        <v>1.7677272727272727E-6</v>
      </c>
      <c r="J3" s="2">
        <v>1.5000000000000068E-8</v>
      </c>
      <c r="K3" s="4" t="s">
        <v>15</v>
      </c>
      <c r="M3" s="4" t="s">
        <v>22</v>
      </c>
      <c r="N3" s="5">
        <f>N2-N5</f>
        <v>100000</v>
      </c>
      <c r="O3" s="4" t="s">
        <v>25</v>
      </c>
      <c r="P3" s="2">
        <v>5000</v>
      </c>
      <c r="R3" s="4" t="s">
        <v>28</v>
      </c>
      <c r="S3" s="5">
        <f>SQRT((N4/I3*P2)^2+(N2/I3*P4)^2+(N2*N4/(I3^2)*I4)^2)</f>
        <v>17744275.886387356</v>
      </c>
      <c r="AA3" s="4" t="s">
        <v>53</v>
      </c>
      <c r="AB3" s="2">
        <v>0.05</v>
      </c>
    </row>
    <row r="4" spans="1:30" x14ac:dyDescent="0.3">
      <c r="A4" s="8">
        <v>0.4</v>
      </c>
      <c r="B4" s="5">
        <v>7.4000000000000001E-7</v>
      </c>
      <c r="C4" s="2">
        <v>28.2</v>
      </c>
      <c r="D4" s="2">
        <f t="shared" si="0"/>
        <v>0.4921828490624009</v>
      </c>
      <c r="E4" s="2">
        <f t="shared" si="1"/>
        <v>7.2209090909090918E-7</v>
      </c>
      <c r="F4" s="2">
        <f t="shared" si="2"/>
        <v>1.790909090909083E-8</v>
      </c>
      <c r="G4" s="1">
        <f t="shared" si="3"/>
        <v>0.26727272727272577</v>
      </c>
      <c r="H4" s="4" t="s">
        <v>13</v>
      </c>
      <c r="I4" s="16">
        <v>2.698458901071382E-8</v>
      </c>
      <c r="J4" s="16">
        <v>3.1928596300307218E-8</v>
      </c>
      <c r="K4" s="4" t="s">
        <v>16</v>
      </c>
      <c r="M4" s="4" t="s">
        <v>21</v>
      </c>
      <c r="N4" s="2">
        <f>1/N3</f>
        <v>1.0000000000000001E-5</v>
      </c>
      <c r="O4" s="4" t="s">
        <v>26</v>
      </c>
      <c r="P4" s="2">
        <f>ABS(1/(N3^2)*P3)</f>
        <v>4.9999999999999998E-7</v>
      </c>
      <c r="R4" s="4" t="s">
        <v>29</v>
      </c>
      <c r="S4" s="6">
        <f>S3/S2</f>
        <v>5.2278400698606384E-2</v>
      </c>
      <c r="U4" s="1" t="s">
        <v>49</v>
      </c>
      <c r="AA4" s="4" t="s">
        <v>54</v>
      </c>
      <c r="AB4" s="5">
        <v>2.5399999999999998E-6</v>
      </c>
    </row>
    <row r="5" spans="1:30" x14ac:dyDescent="0.3">
      <c r="A5" s="8">
        <v>0.6</v>
      </c>
      <c r="B5" s="5">
        <v>1.1200000000000001E-6</v>
      </c>
      <c r="C5" s="2">
        <v>40</v>
      </c>
      <c r="D5" s="2">
        <f t="shared" si="0"/>
        <v>0.69813170079773179</v>
      </c>
      <c r="E5" s="2">
        <f t="shared" si="1"/>
        <v>1.0756363636363636E-6</v>
      </c>
      <c r="F5" s="2">
        <f t="shared" si="2"/>
        <v>4.4363636363636501E-8</v>
      </c>
      <c r="G5" s="1">
        <f t="shared" si="3"/>
        <v>-1.8990909090909085</v>
      </c>
      <c r="H5" s="4" t="s">
        <v>14</v>
      </c>
      <c r="I5" s="11">
        <v>0.99790717100245185</v>
      </c>
      <c r="J5" s="16">
        <v>5.6603351437343383E-8</v>
      </c>
      <c r="K5" s="4" t="s">
        <v>17</v>
      </c>
      <c r="M5" s="4" t="s">
        <v>23</v>
      </c>
      <c r="N5" s="2">
        <f>59.9*10^6</f>
        <v>59900000</v>
      </c>
      <c r="O5" s="4" t="s">
        <v>27</v>
      </c>
      <c r="P5" s="2">
        <v>5000</v>
      </c>
      <c r="R5" s="4" t="s">
        <v>30</v>
      </c>
      <c r="S5" s="6">
        <f>ABS(S2-S1)/S1</f>
        <v>0.13251914988384925</v>
      </c>
      <c r="AA5" s="4" t="s">
        <v>55</v>
      </c>
      <c r="AB5" s="5">
        <v>2.61E-6</v>
      </c>
    </row>
    <row r="6" spans="1:30" x14ac:dyDescent="0.3">
      <c r="A6" s="8">
        <v>0.8</v>
      </c>
      <c r="B6" s="5">
        <v>1.35E-6</v>
      </c>
      <c r="C6" s="2">
        <v>53</v>
      </c>
      <c r="D6" s="2">
        <f t="shared" si="0"/>
        <v>0.92502450355699462</v>
      </c>
      <c r="E6" s="2">
        <f t="shared" si="1"/>
        <v>1.4291818181818183E-6</v>
      </c>
      <c r="F6" s="2">
        <f t="shared" si="2"/>
        <v>-7.9181818181818298E-8</v>
      </c>
      <c r="G6" s="1">
        <f t="shared" si="3"/>
        <v>-2.865454545454547</v>
      </c>
      <c r="AA6" s="4" t="s">
        <v>31</v>
      </c>
      <c r="AB6" s="5">
        <v>299702547</v>
      </c>
    </row>
    <row r="7" spans="1:30" x14ac:dyDescent="0.3">
      <c r="A7" s="8">
        <v>1</v>
      </c>
      <c r="B7" s="5">
        <v>1.7400000000000001E-6</v>
      </c>
      <c r="C7" s="2">
        <v>72</v>
      </c>
      <c r="D7" s="2">
        <f t="shared" si="0"/>
        <v>1.2566370614359172</v>
      </c>
      <c r="E7" s="2">
        <f t="shared" si="1"/>
        <v>1.7827272727272728E-6</v>
      </c>
      <c r="F7" s="2">
        <f t="shared" si="2"/>
        <v>-4.2727272727272722E-8</v>
      </c>
      <c r="G7" s="1">
        <f t="shared" si="3"/>
        <v>2.1681818181818215</v>
      </c>
      <c r="AA7" s="4" t="s">
        <v>50</v>
      </c>
      <c r="AB7" s="11">
        <f>1 + (AB6*(AB5-AB4))/(N2*N4*AB3)</f>
        <v>1.6993059430000019</v>
      </c>
    </row>
    <row r="8" spans="1:30" x14ac:dyDescent="0.3">
      <c r="A8" s="8">
        <v>1.2</v>
      </c>
      <c r="B8" s="5">
        <v>2.1299999999999999E-6</v>
      </c>
      <c r="C8" s="2">
        <v>81</v>
      </c>
      <c r="D8" s="2">
        <f t="shared" si="0"/>
        <v>1.4137166941154069</v>
      </c>
      <c r="E8" s="2">
        <f t="shared" si="1"/>
        <v>2.1362727272727269E-6</v>
      </c>
      <c r="F8" s="2">
        <f t="shared" si="2"/>
        <v>-6.2727272727269355E-9</v>
      </c>
      <c r="G8" s="1">
        <f t="shared" si="3"/>
        <v>-2.798181818181817</v>
      </c>
      <c r="AA8" s="4" t="s">
        <v>51</v>
      </c>
      <c r="AB8" s="11">
        <v>0.14571000000000001</v>
      </c>
    </row>
    <row r="9" spans="1:30" x14ac:dyDescent="0.3">
      <c r="A9" s="8">
        <v>1.4</v>
      </c>
      <c r="B9" s="5">
        <v>2.5799999999999999E-6</v>
      </c>
      <c r="C9" s="2">
        <v>99</v>
      </c>
      <c r="D9" s="2">
        <f t="shared" si="0"/>
        <v>1.7278759594743862</v>
      </c>
      <c r="E9" s="2">
        <f t="shared" si="1"/>
        <v>2.4898181818181814E-6</v>
      </c>
      <c r="F9" s="2">
        <f t="shared" si="2"/>
        <v>9.0181818181818489E-8</v>
      </c>
      <c r="G9" s="1">
        <f t="shared" si="3"/>
        <v>1.2354545454545587</v>
      </c>
      <c r="AA9" s="4" t="s">
        <v>57</v>
      </c>
      <c r="AB9" s="18">
        <f>AB8/AB7</f>
        <v>8.5746772439787691E-2</v>
      </c>
    </row>
    <row r="10" spans="1:30" x14ac:dyDescent="0.3">
      <c r="A10" s="8">
        <v>1.6</v>
      </c>
      <c r="B10" s="5">
        <v>2.7499999999999999E-6</v>
      </c>
      <c r="C10" s="2">
        <v>112</v>
      </c>
      <c r="D10" s="2">
        <f t="shared" si="0"/>
        <v>1.9547687622336491</v>
      </c>
      <c r="E10" s="2">
        <f t="shared" si="1"/>
        <v>2.8433636363636367E-6</v>
      </c>
      <c r="F10" s="2">
        <f t="shared" si="2"/>
        <v>-9.3363636363636794E-8</v>
      </c>
      <c r="G10" s="1">
        <f t="shared" si="3"/>
        <v>0.26909090909090594</v>
      </c>
      <c r="AA10" s="4" t="s">
        <v>30</v>
      </c>
      <c r="AB10" s="19">
        <f>(AB7-AD10)/AD10</f>
        <v>0.14047378724832346</v>
      </c>
      <c r="AC10" s="4" t="s">
        <v>59</v>
      </c>
      <c r="AD10" s="2">
        <v>1.49</v>
      </c>
    </row>
    <row r="11" spans="1:30" x14ac:dyDescent="0.3">
      <c r="A11" s="8">
        <v>1.8</v>
      </c>
      <c r="B11" s="5">
        <v>3.2200000000000001E-6</v>
      </c>
      <c r="C11" s="2">
        <v>128</v>
      </c>
      <c r="D11" s="2">
        <f t="shared" si="0"/>
        <v>2.2340214425527418</v>
      </c>
      <c r="E11" s="2">
        <f t="shared" si="1"/>
        <v>3.1969090909090912E-6</v>
      </c>
      <c r="F11" s="2">
        <f t="shared" si="2"/>
        <v>2.3090909090908862E-8</v>
      </c>
      <c r="G11" s="1">
        <f t="shared" si="3"/>
        <v>2.3027272727272816</v>
      </c>
    </row>
    <row r="12" spans="1:30" x14ac:dyDescent="0.3">
      <c r="A12" s="8">
        <v>2</v>
      </c>
      <c r="B12" s="5">
        <v>3.58E-6</v>
      </c>
      <c r="C12" s="2">
        <v>138</v>
      </c>
      <c r="D12" s="2">
        <f t="shared" si="0"/>
        <v>2.4085543677521746</v>
      </c>
      <c r="E12" s="2">
        <f t="shared" si="1"/>
        <v>3.5504545454545457E-6</v>
      </c>
      <c r="F12" s="2">
        <f t="shared" si="2"/>
        <v>2.9545454545454301E-8</v>
      </c>
      <c r="G12" s="1">
        <f t="shared" si="3"/>
        <v>-1.6636363636363569</v>
      </c>
      <c r="AA12" s="4" t="s">
        <v>52</v>
      </c>
      <c r="AB12" s="5">
        <f>AB6/AB7</f>
        <v>176367621.28360289</v>
      </c>
    </row>
    <row r="13" spans="1:30" x14ac:dyDescent="0.3">
      <c r="AA13" s="4" t="s">
        <v>56</v>
      </c>
      <c r="AB13" s="5">
        <f>SQRT((0)^2+(AB6/(AB7^2)*AB8)^2)</f>
        <v>15122954.287951753</v>
      </c>
    </row>
    <row r="14" spans="1:30" x14ac:dyDescent="0.3">
      <c r="B14" s="1">
        <f t="array" ref="B14">LINEST(B2:B4,A2:A4,1,1)</f>
        <v>1.7999999999999993E-6</v>
      </c>
      <c r="C14" s="1" cm="1">
        <f t="array" ref="C14:C24">A2:A12*B14</f>
        <v>0</v>
      </c>
      <c r="AA14" s="4" t="s">
        <v>58</v>
      </c>
      <c r="AB14" s="18">
        <f>AB13/AB12</f>
        <v>8.5746772439787691E-2</v>
      </c>
    </row>
    <row r="15" spans="1:30" x14ac:dyDescent="0.3">
      <c r="C15" s="1">
        <v>3.5999999999999989E-7</v>
      </c>
      <c r="AA15" s="4" t="s">
        <v>30</v>
      </c>
      <c r="AB15" s="19">
        <f>ABS(AB12-AD15)/AD15</f>
        <v>0.12317142999599436</v>
      </c>
      <c r="AC15" s="4" t="s">
        <v>59</v>
      </c>
      <c r="AD15" s="5">
        <f>AB6/AD10</f>
        <v>201142648.99328861</v>
      </c>
    </row>
    <row r="16" spans="1:30" x14ac:dyDescent="0.3">
      <c r="C16" s="1">
        <v>7.1999999999999978E-7</v>
      </c>
    </row>
    <row r="17" spans="2:14" x14ac:dyDescent="0.3">
      <c r="C17" s="1">
        <v>1.0799999999999996E-6</v>
      </c>
    </row>
    <row r="18" spans="2:14" x14ac:dyDescent="0.3">
      <c r="C18" s="1">
        <v>1.4399999999999996E-6</v>
      </c>
    </row>
    <row r="19" spans="2:14" x14ac:dyDescent="0.3">
      <c r="C19" s="1">
        <v>1.7999999999999993E-6</v>
      </c>
    </row>
    <row r="20" spans="2:14" x14ac:dyDescent="0.3">
      <c r="C20" s="1">
        <v>2.1599999999999992E-6</v>
      </c>
    </row>
    <row r="21" spans="2:14" x14ac:dyDescent="0.3">
      <c r="C21" s="1">
        <v>2.5199999999999987E-6</v>
      </c>
    </row>
    <row r="22" spans="2:14" x14ac:dyDescent="0.3">
      <c r="C22" s="1">
        <v>2.8799999999999991E-6</v>
      </c>
    </row>
    <row r="23" spans="2:14" x14ac:dyDescent="0.3">
      <c r="C23" s="1">
        <v>3.2399999999999986E-6</v>
      </c>
      <c r="H23" s="26" t="s">
        <v>18</v>
      </c>
      <c r="I23" s="26"/>
      <c r="J23" s="26"/>
      <c r="K23" s="26"/>
      <c r="M23" s="4" t="s">
        <v>19</v>
      </c>
      <c r="N23" s="16">
        <f>2*PI()*N2/I24</f>
        <v>309314586.99472755</v>
      </c>
    </row>
    <row r="24" spans="2:14" x14ac:dyDescent="0.3">
      <c r="C24" s="1">
        <v>3.5999999999999986E-6</v>
      </c>
      <c r="H24" s="4" t="s">
        <v>12</v>
      </c>
      <c r="I24" s="11">
        <f t="array" ref="I24:J26">LINEST(D2:D12,A2:A12,1,1)</f>
        <v>1.2187951499267675</v>
      </c>
      <c r="J24" s="15">
        <v>-2.1419949910841396E-3</v>
      </c>
      <c r="K24" s="4" t="s">
        <v>15</v>
      </c>
      <c r="M24" s="4" t="s">
        <v>28</v>
      </c>
      <c r="N24" s="17">
        <f>SQRT((2*PI()/I24*P2)^2+(2*PI()/(I24^2)*N2*I25)^2)</f>
        <v>4181196.0795863708</v>
      </c>
    </row>
    <row r="25" spans="2:14" x14ac:dyDescent="0.3">
      <c r="B25" s="1">
        <f t="array" ref="B25">LINEST(C2:C12,A2:A12,1,1)</f>
        <v>69.831818181818178</v>
      </c>
      <c r="C25" s="1" cm="1">
        <f t="array" ref="C25:C35">A2:A12*B25</f>
        <v>0</v>
      </c>
      <c r="H25" s="4" t="s">
        <v>13</v>
      </c>
      <c r="I25" s="11">
        <v>1.6474892810309644E-2</v>
      </c>
      <c r="J25" s="15">
        <v>1.9493356056761221E-2</v>
      </c>
      <c r="K25" s="4" t="s">
        <v>16</v>
      </c>
      <c r="M25" s="4" t="s">
        <v>29</v>
      </c>
      <c r="N25" s="6">
        <f>N24/N23</f>
        <v>1.3517616870935485E-2</v>
      </c>
    </row>
    <row r="26" spans="2:14" x14ac:dyDescent="0.3">
      <c r="C26" s="1">
        <v>13.966363636363637</v>
      </c>
      <c r="H26" s="4" t="s">
        <v>14</v>
      </c>
      <c r="I26" s="11">
        <v>0.99835822865286106</v>
      </c>
      <c r="J26" s="11">
        <v>3.4558026704215136E-2</v>
      </c>
      <c r="K26" s="4" t="s">
        <v>17</v>
      </c>
      <c r="M26" s="4" t="s">
        <v>30</v>
      </c>
      <c r="N26" s="6">
        <f>ABS(N23-S1)/S1</f>
        <v>3.20719329580057E-2</v>
      </c>
    </row>
    <row r="27" spans="2:14" x14ac:dyDescent="0.3">
      <c r="C27" s="1">
        <v>27.932727272727274</v>
      </c>
    </row>
    <row r="28" spans="2:14" x14ac:dyDescent="0.3">
      <c r="C28" s="1">
        <v>41.899090909090908</v>
      </c>
    </row>
    <row r="29" spans="2:14" x14ac:dyDescent="0.3">
      <c r="C29" s="1">
        <v>55.865454545454547</v>
      </c>
    </row>
    <row r="30" spans="2:14" x14ac:dyDescent="0.3">
      <c r="C30" s="1">
        <v>69.831818181818178</v>
      </c>
    </row>
    <row r="31" spans="2:14" x14ac:dyDescent="0.3">
      <c r="C31" s="1">
        <v>83.798181818181817</v>
      </c>
    </row>
    <row r="32" spans="2:14" x14ac:dyDescent="0.3">
      <c r="C32" s="1">
        <v>97.764545454545441</v>
      </c>
    </row>
    <row r="33" spans="3:3" x14ac:dyDescent="0.3">
      <c r="C33" s="1">
        <v>111.73090909090909</v>
      </c>
    </row>
    <row r="34" spans="3:3" x14ac:dyDescent="0.3">
      <c r="C34" s="1">
        <v>125.69727272727272</v>
      </c>
    </row>
    <row r="35" spans="3:3" x14ac:dyDescent="0.3">
      <c r="C35" s="1">
        <v>139.66363636363636</v>
      </c>
    </row>
  </sheetData>
  <mergeCells count="2">
    <mergeCell ref="H2:K2"/>
    <mergeCell ref="H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Quelhas Ferreira de Sousa</cp:lastModifiedBy>
  <dcterms:created xsi:type="dcterms:W3CDTF">2023-09-24T21:28:11Z</dcterms:created>
  <dcterms:modified xsi:type="dcterms:W3CDTF">2023-12-04T11:04:25Z</dcterms:modified>
</cp:coreProperties>
</file>