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codeName="ThisWorkbook" autoCompressPictures="0"/>
  <bookViews>
    <workbookView xWindow="1340" yWindow="180" windowWidth="27360" windowHeight="15600" tabRatio="598" firstSheet="1" activeTab="1"/>
  </bookViews>
  <sheets>
    <sheet name="Instructions" sheetId="34" r:id="rId1"/>
    <sheet name="Labor" sheetId="5" r:id="rId2"/>
    <sheet name="M&amp;S" sheetId="4" r:id="rId3"/>
    <sheet name="Travel" sheetId="1" r:id="rId4"/>
    <sheet name="COLA" sheetId="35" r:id="rId5"/>
    <sheet name="Auto Summary" sheetId="33" r:id="rId6"/>
    <sheet name="M&amp;Sbysub" sheetId="13" state="hidden" r:id="rId7"/>
    <sheet name="Lists" sheetId="3" r:id="rId8"/>
  </sheets>
  <definedNames>
    <definedName name="_xlnm._FilterDatabase" localSheetId="1" hidden="1">Labor!$B$1:$J$3</definedName>
    <definedName name="_xlnm._FilterDatabase" localSheetId="2" hidden="1">'M&amp;S'!$A$1:$E$4</definedName>
    <definedName name="_xlnm._FilterDatabase" localSheetId="3" hidden="1">Travel!$A$1:$P$10</definedName>
    <definedName name="Funding">Lists!$H$3:$H$5</definedName>
    <definedName name="Institution">Lists!$D$3:$D$52</definedName>
    <definedName name="Position">Lists!$B$3:$B$14</definedName>
    <definedName name="Subsystem">Lists!$F$3:$F$12</definedName>
    <definedName name="UnivFNAL">Lists!$H$8:$H$13</definedName>
    <definedName name="UpgRDSub">Lists!$F$17:$F$30</definedName>
  </definedNames>
  <calcPr calcId="140001" concurrentCalc="0"/>
  <pivotCaches>
    <pivotCache cacheId="7" r:id="rId9"/>
    <pivotCache cacheId="8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35" l="1"/>
  <c r="E5" i="33"/>
  <c r="N3" i="35"/>
  <c r="F5" i="33"/>
  <c r="L3" i="35"/>
  <c r="D5" i="33"/>
  <c r="F4" i="4"/>
  <c r="D3" i="33"/>
  <c r="J2" i="5"/>
  <c r="J3" i="5"/>
  <c r="J4" i="5"/>
  <c r="J5" i="5"/>
  <c r="J7" i="5"/>
  <c r="D2" i="33"/>
  <c r="L2" i="1"/>
  <c r="L4" i="1"/>
  <c r="D4" i="33"/>
  <c r="D7" i="33"/>
  <c r="K2" i="5"/>
  <c r="L2" i="5"/>
  <c r="K3" i="5"/>
  <c r="L3" i="5"/>
  <c r="L8" i="5"/>
  <c r="K4" i="5"/>
  <c r="L4" i="5"/>
  <c r="K5" i="5"/>
  <c r="L5" i="5"/>
  <c r="L9" i="5"/>
  <c r="F2" i="33"/>
  <c r="G2" i="4"/>
  <c r="H2" i="4"/>
  <c r="G3" i="4"/>
  <c r="H3" i="4"/>
  <c r="H4" i="4"/>
  <c r="F3" i="33"/>
  <c r="M2" i="1"/>
  <c r="N2" i="1"/>
  <c r="N4" i="1"/>
  <c r="F4" i="33"/>
  <c r="F7" i="33"/>
  <c r="K7" i="5"/>
  <c r="E2" i="33"/>
  <c r="G4" i="4"/>
  <c r="E3" i="33"/>
  <c r="M4" i="1"/>
  <c r="E4" i="33"/>
  <c r="E7" i="33"/>
  <c r="M5" i="35"/>
  <c r="N5" i="35"/>
  <c r="L5" i="35"/>
  <c r="R1" i="35"/>
  <c r="M4" i="35"/>
  <c r="N4" i="35"/>
  <c r="L4" i="35"/>
  <c r="S1" i="35"/>
  <c r="L7" i="5"/>
  <c r="J9" i="5"/>
  <c r="K9" i="5"/>
  <c r="K8" i="5"/>
  <c r="J8" i="5"/>
  <c r="O1" i="5"/>
  <c r="P1" i="5"/>
  <c r="H6" i="4"/>
  <c r="F6" i="4"/>
  <c r="G6" i="4"/>
  <c r="G5" i="4"/>
  <c r="H5" i="4"/>
  <c r="F5" i="4"/>
  <c r="O1" i="4"/>
  <c r="P1" i="4"/>
  <c r="M6" i="1"/>
  <c r="N6" i="1"/>
  <c r="L6" i="1"/>
  <c r="M5" i="1"/>
  <c r="N5" i="1"/>
  <c r="L5" i="1"/>
  <c r="R1" i="1"/>
  <c r="S1" i="1"/>
</calcChain>
</file>

<file path=xl/sharedStrings.xml><?xml version="1.0" encoding="utf-8"?>
<sst xmlns="http://schemas.openxmlformats.org/spreadsheetml/2006/main" count="312" uniqueCount="193">
  <si>
    <t>Destination</t>
  </si>
  <si>
    <t>Cost/Trip</t>
  </si>
  <si>
    <t># Trips</t>
  </si>
  <si>
    <t>Purpose of Trip(s)</t>
  </si>
  <si>
    <t>M&amp;S $</t>
  </si>
  <si>
    <t>Description</t>
  </si>
  <si>
    <t>SubSub</t>
  </si>
  <si>
    <t>Rate/hr</t>
  </si>
  <si>
    <t>FTE</t>
  </si>
  <si>
    <t>Upg R&amp;D Sub</t>
  </si>
  <si>
    <t>Links</t>
  </si>
  <si>
    <t>Simulation</t>
  </si>
  <si>
    <t>Pixels</t>
  </si>
  <si>
    <t>Strips</t>
  </si>
  <si>
    <t>Pix/Mech</t>
  </si>
  <si>
    <t>Pix/Elec</t>
  </si>
  <si>
    <t>Pix/CO2</t>
  </si>
  <si>
    <t>Comments</t>
  </si>
  <si>
    <t>Labor Cost</t>
  </si>
  <si>
    <t>Column Labels</t>
  </si>
  <si>
    <t>Row Labels</t>
  </si>
  <si>
    <t>Grand Total</t>
  </si>
  <si>
    <t>(All)</t>
  </si>
  <si>
    <t>Sum of M&amp;S $</t>
  </si>
  <si>
    <t>CERN</t>
  </si>
  <si>
    <t>Travel</t>
  </si>
  <si>
    <t>Labor</t>
  </si>
  <si>
    <t>M&amp;S</t>
  </si>
  <si>
    <t>Type</t>
  </si>
  <si>
    <t>Univ/FNAL/CERN</t>
  </si>
  <si>
    <t>University</t>
  </si>
  <si>
    <t>Total</t>
  </si>
  <si>
    <t>DOE/NSF</t>
  </si>
  <si>
    <t>DOE</t>
  </si>
  <si>
    <t>NSF</t>
  </si>
  <si>
    <t>FNAL/PPD</t>
  </si>
  <si>
    <t>FNAL/CD</t>
  </si>
  <si>
    <t>Labor Adj</t>
  </si>
  <si>
    <t>Labor Cost (US $)</t>
  </si>
  <si>
    <t>M&amp;S Adj</t>
  </si>
  <si>
    <t>Travel Cost</t>
  </si>
  <si>
    <t>Travel Adj</t>
  </si>
  <si>
    <t>Trav Cost (US $)</t>
  </si>
  <si>
    <t>Cost</t>
  </si>
  <si>
    <t>Adj</t>
  </si>
  <si>
    <t>Cost (US $)</t>
  </si>
  <si>
    <t>Pix/Sens</t>
  </si>
  <si>
    <t>DOE4NSF</t>
  </si>
  <si>
    <t>Funding</t>
  </si>
  <si>
    <t>DAQ_Upg</t>
  </si>
  <si>
    <t>HCAL_Upg</t>
  </si>
  <si>
    <t>UpgR&amp;D_Ph1</t>
  </si>
  <si>
    <t>UpgR&amp;D_Ph2</t>
  </si>
  <si>
    <t>Sensors</t>
  </si>
  <si>
    <t>Trk_Trig</t>
  </si>
  <si>
    <t>FCAL</t>
  </si>
  <si>
    <t>FNAL/TD</t>
  </si>
  <si>
    <t>FNAL/CERN</t>
  </si>
  <si>
    <t>CERN/FNAL/Univ</t>
  </si>
  <si>
    <t>You can ignore the Pivot pages unless you are familiar with Pivot Tables and want to use them.</t>
  </si>
  <si>
    <t>Second ATCA shelf,Pulsar blades, RTM's, and mezzanines</t>
    <phoneticPr fontId="16" type="noConversion"/>
  </si>
  <si>
    <t>Fermilab</t>
    <phoneticPr fontId="16" type="noConversion"/>
  </si>
  <si>
    <t>CERN</t>
    <phoneticPr fontId="16" type="noConversion"/>
  </si>
  <si>
    <t>Trips to CERN for the engineers for technical discussions with collaborators.</t>
    <phoneticPr fontId="16" type="noConversion"/>
  </si>
  <si>
    <t>If a cell in one of these columns is not giving you the list, copy one of the example cells near the top of the page.</t>
  </si>
  <si>
    <t>You can ignore some of the columns like Funding if you are not sure if it will be DOE or NSF.</t>
  </si>
  <si>
    <t>For labor, we assume a 2000 hour year, so the hourly rate is the annual rate divided by 2000.</t>
  </si>
  <si>
    <t>All costs should include overhead.  Labor costs should also include fringe.</t>
  </si>
  <si>
    <t>Each page has a couple of example lines. Go ahead and overwrite these and add more lines as needed.</t>
  </si>
  <si>
    <t>Add rows above the Total line so Totals will include new lines.</t>
  </si>
  <si>
    <t>OPC?</t>
  </si>
  <si>
    <t>How Paid?</t>
  </si>
  <si>
    <t>Position</t>
  </si>
  <si>
    <t>Grad Student</t>
  </si>
  <si>
    <t>Post-doc</t>
  </si>
  <si>
    <t>Sr Scientist</t>
  </si>
  <si>
    <t>Faculty</t>
  </si>
  <si>
    <t>Researcher</t>
  </si>
  <si>
    <t>Engineer</t>
  </si>
  <si>
    <t>Comp Prof</t>
  </si>
  <si>
    <t>Designer</t>
  </si>
  <si>
    <t>Tech</t>
  </si>
  <si>
    <t>Admin</t>
  </si>
  <si>
    <t>Undergrad</t>
  </si>
  <si>
    <t>Term Scientist</t>
  </si>
  <si>
    <t>Institution</t>
  </si>
  <si>
    <t>CERN TA</t>
  </si>
  <si>
    <t>Boston</t>
  </si>
  <si>
    <t>Brown</t>
  </si>
  <si>
    <t>Caltech</t>
  </si>
  <si>
    <t>Carnegie Mellon </t>
  </si>
  <si>
    <t>Colorado</t>
  </si>
  <si>
    <t>Cornell</t>
  </si>
  <si>
    <t>Fairfield</t>
  </si>
  <si>
    <t>FIT</t>
  </si>
  <si>
    <t>FIU</t>
  </si>
  <si>
    <t>Florida</t>
  </si>
  <si>
    <t>Fermilab</t>
  </si>
  <si>
    <t>Florida State</t>
  </si>
  <si>
    <t>Iowa</t>
  </si>
  <si>
    <t>Johns Hopkins </t>
  </si>
  <si>
    <t>Kansas</t>
  </si>
  <si>
    <t>Kansas State</t>
  </si>
  <si>
    <t>One ATCA shelf,Pulsar blades, RTM's, and mezzanines</t>
    <phoneticPr fontId="16" type="noConversion"/>
  </si>
  <si>
    <t>Fermilab Electrical Engineer</t>
    <phoneticPr fontId="16" type="noConversion"/>
  </si>
  <si>
    <t>Femrilab Electrical Engineer</t>
    <phoneticPr fontId="16" type="noConversion"/>
  </si>
  <si>
    <t>Trk_trig</t>
    <phoneticPr fontId="16" type="noConversion"/>
  </si>
  <si>
    <t>FNAL/PPD</t>
    <phoneticPr fontId="16" type="noConversion"/>
  </si>
  <si>
    <t>FNAL/PPD</t>
    <phoneticPr fontId="16" type="noConversion"/>
  </si>
  <si>
    <t>Fermilab Engineer</t>
    <phoneticPr fontId="16" type="noConversion"/>
  </si>
  <si>
    <t>CERN</t>
    <phoneticPr fontId="16" type="noConversion"/>
  </si>
  <si>
    <t>Livermore</t>
  </si>
  <si>
    <t>Maryland</t>
  </si>
  <si>
    <t>Minnesota</t>
  </si>
  <si>
    <t>Mississippi</t>
  </si>
  <si>
    <t>MIT</t>
  </si>
  <si>
    <t>Nebraska</t>
  </si>
  <si>
    <t>Northeastern </t>
  </si>
  <si>
    <t>Northwestern </t>
  </si>
  <si>
    <t>Notre Dame</t>
  </si>
  <si>
    <t>Ohio State</t>
  </si>
  <si>
    <t>Princeton</t>
  </si>
  <si>
    <t>Puerto Rico</t>
  </si>
  <si>
    <t>Purdue</t>
  </si>
  <si>
    <t>Purdue Calumet</t>
  </si>
  <si>
    <t>Rice</t>
  </si>
  <si>
    <t>Rochester</t>
  </si>
  <si>
    <t>Rockefeller</t>
  </si>
  <si>
    <t>Rutgers</t>
  </si>
  <si>
    <t>SUNY Buffalo</t>
  </si>
  <si>
    <t>Tennessee </t>
  </si>
  <si>
    <t>Texas A&amp;M</t>
  </si>
  <si>
    <t>Texas Tech</t>
  </si>
  <si>
    <t>UC Davis</t>
  </si>
  <si>
    <t>UC Los Angeles</t>
  </si>
  <si>
    <t>UC Riverside</t>
  </si>
  <si>
    <t>UC San Diego</t>
  </si>
  <si>
    <t>UC Santa Barbara</t>
  </si>
  <si>
    <t>UI Chicago</t>
  </si>
  <si>
    <t>Vanderbilt</t>
  </si>
  <si>
    <t>Virginia</t>
  </si>
  <si>
    <t>Wayne State</t>
  </si>
  <si>
    <t>Wisconsin</t>
  </si>
  <si>
    <t>Baylor</t>
  </si>
  <si>
    <t>Subsystem</t>
  </si>
  <si>
    <t>EMU</t>
  </si>
  <si>
    <t>HCAL</t>
  </si>
  <si>
    <t>Trigger</t>
  </si>
  <si>
    <t>DAQ</t>
  </si>
  <si>
    <t>ECAL</t>
  </si>
  <si>
    <t>FPix</t>
  </si>
  <si>
    <t>SiTrk</t>
  </si>
  <si>
    <t>DetSup</t>
  </si>
  <si>
    <t>Name</t>
  </si>
  <si>
    <t>COLA/month (CHF)</t>
  </si>
  <si>
    <t># months</t>
  </si>
  <si>
    <t>Total COLA (CHF)</t>
  </si>
  <si>
    <t>COLA Adj</t>
  </si>
  <si>
    <t>Total COLA (US $)</t>
  </si>
  <si>
    <t>Fill in your budget on the sheets called Labor, M&amp;S, Travel and COLA.</t>
  </si>
  <si>
    <t>The pages called Travel and COLA include a column called "How Paid?".</t>
  </si>
  <si>
    <t>This is the same as Institution if that is where the funding should go.</t>
  </si>
  <si>
    <t>It could be CERN TA if the funding will come from a team account.</t>
  </si>
  <si>
    <t>COLA</t>
  </si>
  <si>
    <t>Contact</t>
  </si>
  <si>
    <t>cath@fnal.gov</t>
  </si>
  <si>
    <t>with any questions.</t>
  </si>
  <si>
    <t>For M&amp;S, it is helpful to have a breakdown showing how you arrived at your requested amount.</t>
  </si>
  <si>
    <t>You can have several lines for the same institution showing this breakdown, using the Description and Comments areas.</t>
  </si>
  <si>
    <t>Year</t>
  </si>
  <si>
    <t>There is a column for the year (2014 or 2015) on the far right, before the comments.</t>
  </si>
  <si>
    <t>The Name column has generic names on the pages as examples, but you should fill in actual names of people unless they are unknown.</t>
  </si>
  <si>
    <t>Total 2014</t>
  </si>
  <si>
    <t>Total 2015</t>
  </si>
  <si>
    <t>Responsibilities</t>
  </si>
  <si>
    <t>Trk_Trig</t>
    <phoneticPr fontId="16" type="noConversion"/>
  </si>
  <si>
    <t>Fermilab</t>
    <phoneticPr fontId="16" type="noConversion"/>
  </si>
  <si>
    <t>Engineer</t>
    <phoneticPr fontId="16" type="noConversion"/>
  </si>
  <si>
    <t>74.13% Fermilab indirect costs</t>
    <phoneticPr fontId="16" type="noConversion"/>
  </si>
  <si>
    <t>Name</t>
    <phoneticPr fontId="16" type="noConversion"/>
  </si>
  <si>
    <t>Fermilab</t>
    <phoneticPr fontId="16" type="noConversion"/>
  </si>
  <si>
    <t>Trig_Upg</t>
  </si>
  <si>
    <t>Trips to CERN for the engineers for technical discussions with collaborators.</t>
    <phoneticPr fontId="16" type="noConversion"/>
  </si>
  <si>
    <t xml:space="preserve">Estimate includes indirect Fermilab M&amp;S charges of 23.55% </t>
    <phoneticPr fontId="16" type="noConversion"/>
  </si>
  <si>
    <t>The page called Summary does NOT update automatically.  The page called Auto Summary does, but doesn't show much.</t>
  </si>
  <si>
    <t>All costs should be entered in US $, unless it is a cost that will be at CERN.  Then it should be in CHF.</t>
  </si>
  <si>
    <t>Don't type in the colored cells.  They are calculated automatically.</t>
  </si>
  <si>
    <t>If the institution that is paying is CERN TA, the cost will get adjusted from CHF to US $.</t>
  </si>
  <si>
    <t xml:space="preserve">Many columns are pick lists, including Institution, Position, Funding. </t>
  </si>
  <si>
    <t>The development of the associative memory (AM) chip</t>
  </si>
  <si>
    <t>The development of the Pulsar II hardware/firmware, AM-carrying mezzanine and firmware</t>
  </si>
  <si>
    <t xml:space="preserve">continue the development of the Pulsar II / mezzanine card firmware </t>
  </si>
  <si>
    <t>Testing/finalizing protoVIPRAM2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</si>
</sst>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6" formatCode="0.000"/>
    <numFmt numFmtId="167" formatCode="0_);[Red]\(0\)"/>
  </numFmts>
  <fonts count="18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sz val="10"/>
      <name val="Verdana"/>
    </font>
    <font>
      <b/>
      <sz val="10"/>
      <color indexed="8"/>
      <name val="Arial"/>
      <family val="2"/>
    </font>
    <font>
      <sz val="8"/>
      <name val="Verdana"/>
    </font>
    <font>
      <sz val="10"/>
      <color indexed="8"/>
      <name val="Tahoma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40" fontId="0" fillId="0" borderId="0"/>
    <xf numFmtId="43" fontId="8" fillId="0" borderId="0" applyFont="0" applyFill="0" applyBorder="0" applyAlignment="0" applyProtection="0"/>
    <xf numFmtId="164" fontId="8" fillId="0" borderId="0"/>
    <xf numFmtId="164" fontId="5" fillId="0" borderId="0"/>
    <xf numFmtId="164" fontId="4" fillId="0" borderId="0"/>
    <xf numFmtId="164" fontId="3" fillId="0" borderId="0"/>
    <xf numFmtId="164" fontId="10" fillId="0" borderId="0"/>
    <xf numFmtId="164" fontId="2" fillId="0" borderId="0"/>
    <xf numFmtId="164" fontId="8" fillId="0" borderId="0"/>
    <xf numFmtId="164" fontId="13" fillId="0" borderId="0" applyNumberFormat="0" applyFill="0" applyBorder="0" applyAlignment="0" applyProtection="0"/>
    <xf numFmtId="164" fontId="10" fillId="0" borderId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4" fillId="0" borderId="0"/>
    <xf numFmtId="164" fontId="10" fillId="0" borderId="0"/>
    <xf numFmtId="164" fontId="10" fillId="0" borderId="0"/>
    <xf numFmtId="164" fontId="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74">
    <xf numFmtId="40" fontId="0" fillId="0" borderId="0" xfId="0"/>
    <xf numFmtId="40" fontId="17" fillId="0" borderId="0" xfId="0" applyFont="1"/>
    <xf numFmtId="40" fontId="7" fillId="0" borderId="0" xfId="0" applyFont="1"/>
    <xf numFmtId="40" fontId="6" fillId="0" borderId="0" xfId="0" applyFont="1"/>
    <xf numFmtId="40" fontId="0" fillId="0" borderId="0" xfId="0" applyBorder="1"/>
    <xf numFmtId="40" fontId="0" fillId="0" borderId="1" xfId="0" applyBorder="1"/>
    <xf numFmtId="40" fontId="6" fillId="0" borderId="2" xfId="0" applyFont="1" applyBorder="1"/>
    <xf numFmtId="40" fontId="6" fillId="0" borderId="2" xfId="0" applyNumberFormat="1" applyFont="1" applyBorder="1"/>
    <xf numFmtId="40" fontId="0" fillId="0" borderId="0" xfId="0" applyNumberFormat="1"/>
    <xf numFmtId="40" fontId="7" fillId="0" borderId="2" xfId="0" applyFont="1" applyBorder="1"/>
    <xf numFmtId="40" fontId="7" fillId="0" borderId="2" xfId="0" applyFont="1" applyBorder="1" applyAlignment="1">
      <alignment wrapText="1"/>
    </xf>
    <xf numFmtId="40" fontId="7" fillId="0" borderId="2" xfId="0" applyNumberFormat="1" applyFont="1" applyBorder="1"/>
    <xf numFmtId="40" fontId="6" fillId="0" borderId="2" xfId="0" applyFont="1" applyBorder="1" applyAlignment="1">
      <alignment horizontal="center"/>
    </xf>
    <xf numFmtId="38" fontId="0" fillId="0" borderId="0" xfId="0" applyNumberFormat="1" applyAlignment="1">
      <alignment horizontal="center"/>
    </xf>
    <xf numFmtId="40" fontId="0" fillId="0" borderId="0" xfId="0" applyFont="1"/>
    <xf numFmtId="40" fontId="0" fillId="0" borderId="0" xfId="0" applyNumberFormat="1" applyFont="1"/>
    <xf numFmtId="40" fontId="6" fillId="0" borderId="0" xfId="0" applyFont="1" applyFill="1" applyBorder="1"/>
    <xf numFmtId="40" fontId="0" fillId="0" borderId="0" xfId="0" pivotButton="1"/>
    <xf numFmtId="40" fontId="0" fillId="0" borderId="0" xfId="0" applyAlignment="1">
      <alignment horizontal="left"/>
    </xf>
    <xf numFmtId="164" fontId="0" fillId="0" borderId="0" xfId="0" applyNumberFormat="1"/>
    <xf numFmtId="40" fontId="11" fillId="0" borderId="0" xfId="0" applyFont="1"/>
    <xf numFmtId="164" fontId="6" fillId="0" borderId="2" xfId="7" applyFont="1" applyBorder="1"/>
    <xf numFmtId="40" fontId="9" fillId="0" borderId="0" xfId="0" applyNumberFormat="1" applyFont="1"/>
    <xf numFmtId="40" fontId="9" fillId="0" borderId="0" xfId="0" applyFont="1" applyFill="1" applyBorder="1"/>
    <xf numFmtId="3" fontId="0" fillId="0" borderId="0" xfId="0" applyNumberFormat="1" applyAlignment="1">
      <alignment horizontal="left"/>
    </xf>
    <xf numFmtId="3" fontId="0" fillId="0" borderId="0" xfId="0" applyNumberFormat="1"/>
    <xf numFmtId="3" fontId="0" fillId="0" borderId="0" xfId="0" pivotButton="1" applyNumberFormat="1"/>
    <xf numFmtId="40" fontId="0" fillId="0" borderId="0" xfId="0" applyNumberFormat="1" applyFill="1" applyAlignment="1">
      <alignment horizontal="center"/>
    </xf>
    <xf numFmtId="40" fontId="9" fillId="0" borderId="0" xfId="0" applyFont="1"/>
    <xf numFmtId="164" fontId="9" fillId="0" borderId="0" xfId="2" applyFont="1" applyFill="1"/>
    <xf numFmtId="40" fontId="7" fillId="0" borderId="2" xfId="0" applyNumberFormat="1" applyFont="1" applyFill="1" applyBorder="1" applyAlignment="1">
      <alignment horizontal="center"/>
    </xf>
    <xf numFmtId="40" fontId="7" fillId="0" borderId="2" xfId="0" applyNumberFormat="1" applyFont="1" applyBorder="1" applyAlignment="1">
      <alignment wrapText="1"/>
    </xf>
    <xf numFmtId="38" fontId="6" fillId="0" borderId="2" xfId="0" applyNumberFormat="1" applyFont="1" applyBorder="1"/>
    <xf numFmtId="38" fontId="0" fillId="0" borderId="0" xfId="0" applyNumberFormat="1" applyFont="1"/>
    <xf numFmtId="38" fontId="6" fillId="0" borderId="2" xfId="0" applyNumberFormat="1" applyFont="1" applyBorder="1" applyAlignment="1">
      <alignment wrapText="1"/>
    </xf>
    <xf numFmtId="40" fontId="9" fillId="0" borderId="0" xfId="0" applyFont="1" applyFill="1"/>
    <xf numFmtId="164" fontId="9" fillId="0" borderId="0" xfId="5" applyFont="1" applyFill="1"/>
    <xf numFmtId="164" fontId="0" fillId="0" borderId="0" xfId="0" applyNumberFormat="1"/>
    <xf numFmtId="164" fontId="15" fillId="0" borderId="0" xfId="0" applyNumberFormat="1" applyFont="1"/>
    <xf numFmtId="43" fontId="11" fillId="0" borderId="0" xfId="0" applyNumberFormat="1" applyFont="1"/>
    <xf numFmtId="40" fontId="0" fillId="0" borderId="0" xfId="0" applyFont="1" applyAlignment="1">
      <alignment horizontal="center"/>
    </xf>
    <xf numFmtId="0" fontId="15" fillId="0" borderId="2" xfId="10" applyNumberFormat="1" applyFont="1" applyBorder="1"/>
    <xf numFmtId="0" fontId="0" fillId="0" borderId="0" xfId="10" applyNumberFormat="1" applyFont="1"/>
    <xf numFmtId="40" fontId="0" fillId="0" borderId="0" xfId="10" applyNumberFormat="1" applyFont="1"/>
    <xf numFmtId="43" fontId="0" fillId="0" borderId="0" xfId="10" applyNumberFormat="1" applyFont="1"/>
    <xf numFmtId="43" fontId="9" fillId="0" borderId="0" xfId="12" applyFont="1" applyBorder="1"/>
    <xf numFmtId="2" fontId="11" fillId="0" borderId="0" xfId="0" applyNumberFormat="1" applyFont="1"/>
    <xf numFmtId="166" fontId="7" fillId="0" borderId="2" xfId="1" applyNumberFormat="1" applyFont="1" applyBorder="1" applyAlignment="1">
      <alignment horizontal="center"/>
    </xf>
    <xf numFmtId="166" fontId="0" fillId="0" borderId="0" xfId="0" applyNumberFormat="1"/>
    <xf numFmtId="38" fontId="9" fillId="0" borderId="0" xfId="3" applyNumberFormat="1" applyFont="1"/>
    <xf numFmtId="38" fontId="9" fillId="0" borderId="0" xfId="0" applyNumberFormat="1" applyFont="1"/>
    <xf numFmtId="40" fontId="9" fillId="2" borderId="0" xfId="2" applyNumberFormat="1" applyFont="1" applyFill="1"/>
    <xf numFmtId="40" fontId="9" fillId="2" borderId="0" xfId="4" applyNumberFormat="1" applyFont="1" applyFill="1"/>
    <xf numFmtId="40" fontId="9" fillId="0" borderId="0" xfId="0" applyNumberFormat="1" applyFont="1" applyFill="1" applyAlignment="1">
      <alignment horizontal="center"/>
    </xf>
    <xf numFmtId="166" fontId="9" fillId="0" borderId="0" xfId="1" applyNumberFormat="1" applyFont="1" applyFill="1" applyAlignment="1">
      <alignment horizontal="center"/>
    </xf>
    <xf numFmtId="38" fontId="9" fillId="2" borderId="0" xfId="3" applyNumberFormat="1" applyFont="1" applyFill="1"/>
    <xf numFmtId="0" fontId="15" fillId="0" borderId="2" xfId="10" applyNumberFormat="1" applyFont="1" applyFill="1" applyBorder="1"/>
    <xf numFmtId="40" fontId="6" fillId="0" borderId="2" xfId="0" applyNumberFormat="1" applyFont="1" applyBorder="1" applyAlignment="1">
      <alignment wrapText="1"/>
    </xf>
    <xf numFmtId="40" fontId="6" fillId="0" borderId="2" xfId="0" applyFont="1" applyBorder="1" applyAlignment="1">
      <alignment wrapText="1"/>
    </xf>
    <xf numFmtId="40" fontId="8" fillId="0" borderId="0" xfId="2" applyNumberFormat="1"/>
    <xf numFmtId="40" fontId="0" fillId="0" borderId="0" xfId="0" applyAlignment="1">
      <alignment horizontal="center"/>
    </xf>
    <xf numFmtId="40" fontId="12" fillId="0" borderId="0" xfId="17" applyNumberFormat="1" applyAlignment="1" applyProtection="1"/>
    <xf numFmtId="167" fontId="7" fillId="0" borderId="2" xfId="0" applyNumberFormat="1" applyFont="1" applyBorder="1" applyAlignment="1">
      <alignment horizontal="center" wrapText="1"/>
    </xf>
    <xf numFmtId="167" fontId="9" fillId="0" borderId="0" xfId="2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7" fontId="9" fillId="0" borderId="0" xfId="4" applyNumberFormat="1" applyFont="1" applyFill="1" applyAlignment="1">
      <alignment horizontal="center"/>
    </xf>
    <xf numFmtId="167" fontId="0" fillId="0" borderId="0" xfId="0" applyNumberFormat="1" applyFont="1" applyAlignment="1">
      <alignment horizontal="center"/>
    </xf>
    <xf numFmtId="167" fontId="6" fillId="0" borderId="2" xfId="0" applyNumberFormat="1" applyFont="1" applyBorder="1" applyAlignment="1">
      <alignment horizontal="center" wrapText="1"/>
    </xf>
    <xf numFmtId="167" fontId="9" fillId="0" borderId="0" xfId="3" applyNumberFormat="1" applyFont="1" applyFill="1" applyAlignment="1">
      <alignment horizontal="center"/>
    </xf>
    <xf numFmtId="40" fontId="8" fillId="0" borderId="0" xfId="0" applyFont="1"/>
    <xf numFmtId="38" fontId="8" fillId="0" borderId="0" xfId="0" applyNumberFormat="1" applyFont="1"/>
    <xf numFmtId="38" fontId="8" fillId="0" borderId="0" xfId="3" applyNumberFormat="1" applyFont="1"/>
    <xf numFmtId="167" fontId="8" fillId="0" borderId="0" xfId="3" applyNumberFormat="1" applyFont="1" applyAlignment="1">
      <alignment horizontal="center"/>
    </xf>
  </cellXfs>
  <cellStyles count="18">
    <cellStyle name="Comma" xfId="1" builtinId="3"/>
    <cellStyle name="Comma 2" xfId="11"/>
    <cellStyle name="Comma 3" xfId="12"/>
    <cellStyle name="Excel Built-in Normal" xfId="13"/>
    <cellStyle name="Followed Hyperlink" xfId="9" builtinId="9" hidden="1"/>
    <cellStyle name="Hyperlink" xfId="17" builtinId="8" hidden="1"/>
    <cellStyle name="Normal" xfId="0" builtinId="0" customBuiltin="1"/>
    <cellStyle name="Normal 2" xfId="6"/>
    <cellStyle name="Normal 2 2" xfId="14"/>
    <cellStyle name="Normal 2 2 2" xfId="15"/>
    <cellStyle name="Normal 3" xfId="7"/>
    <cellStyle name="Normal 3 2" xfId="16"/>
    <cellStyle name="Normal 4" xfId="8"/>
    <cellStyle name="Normal 5" xfId="10"/>
    <cellStyle name="Normal_FY 2010 (2)" xfId="2"/>
    <cellStyle name="Normal_M&amp;S_1" xfId="5"/>
    <cellStyle name="Normal_M&amp;S_2" xfId="4"/>
    <cellStyle name="Normal_Travel" xfId="3"/>
  </cellStyles>
  <dxfs count="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a Bortoletto" refreshedDate="41194.005752314813" createdVersion="4" refreshedVersion="4" minRefreshableVersion="3" recordCount="32">
  <cacheSource type="worksheet">
    <worksheetSource ref="A1:K2" sheet="M&amp;S"/>
  </cacheSource>
  <cacheFields count="10">
    <cacheField name="Subsystem" numFmtId="164">
      <sharedItems/>
    </cacheField>
    <cacheField name="SubSub" numFmtId="164">
      <sharedItems containsBlank="1" count="12">
        <s v="HCAL_Upg"/>
        <s v="Trig_Upg"/>
        <s v="Pix/Mech"/>
        <s v="Pix/Elec"/>
        <s v="Pix/Sens"/>
        <s v="Pixels"/>
        <s v="Strips"/>
        <m u="1"/>
        <s v="Links" u="1"/>
        <s v="HCAL" u="1"/>
        <s v="Pix/CO2" u="1"/>
        <s v="Trigger" u="1"/>
      </sharedItems>
    </cacheField>
    <cacheField name="Institution" numFmtId="164">
      <sharedItems containsBlank="1" count="21">
        <s v="Fermilab"/>
        <s v="CERN TA"/>
        <s v="Iowa"/>
        <s v="Princeton"/>
        <s v="Notre Dame"/>
        <s v="Minnesota"/>
        <s v="Boston"/>
        <s v="Virginia"/>
        <s v="Maryland"/>
        <s v="Florida"/>
        <s v="Rice"/>
        <s v="Wisconsin"/>
        <s v="Texas A&amp;M"/>
        <s v="Purdue"/>
        <s v="Mississippi"/>
        <s v="Brown"/>
        <m u="1"/>
        <s v="UI Chicago" u="1"/>
        <s v="Rochester" u="1"/>
        <s v="UC Davis" u="1"/>
        <s v="Nebraska" u="1"/>
      </sharedItems>
    </cacheField>
    <cacheField name="DOE/NSF" numFmtId="164">
      <sharedItems/>
    </cacheField>
    <cacheField name="Univ/FNAL/CERN" numFmtId="164">
      <sharedItems/>
    </cacheField>
    <cacheField name="M&amp;S" numFmtId="40">
      <sharedItems containsSemiMixedTypes="0" containsString="0" containsNumber="1" containsInteger="1" minValue="0" maxValue="102000"/>
    </cacheField>
    <cacheField name="M&amp;S Adj" numFmtId="40">
      <sharedItems containsSemiMixedTypes="0" containsString="0" containsNumber="1" minValue="0" maxValue="4499.9999999999991"/>
    </cacheField>
    <cacheField name="M&amp;S $" numFmtId="40">
      <sharedItems containsSemiMixedTypes="0" containsString="0" containsNumber="1" containsInteger="1" minValue="0" maxValue="102000"/>
    </cacheField>
    <cacheField name="Description" numFmtId="164">
      <sharedItems/>
    </cacheField>
    <cacheField name="Comments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niela Bortoletto" refreshedDate="41194.00575358796" createdVersion="4" refreshedVersion="4" minRefreshableVersion="3" recordCount="32">
  <cacheSource type="worksheet">
    <worksheetSource ref="A1:K2" sheet="M&amp;S"/>
  </cacheSource>
  <cacheFields count="10">
    <cacheField name="Subsystem" numFmtId="164">
      <sharedItems/>
    </cacheField>
    <cacheField name="SubSub" numFmtId="164">
      <sharedItems count="11">
        <s v="HCAL_Upg"/>
        <s v="Trig_Upg"/>
        <s v="Pix/Mech"/>
        <s v="Pix/Elec"/>
        <s v="Pix/Sens"/>
        <s v="Pixels"/>
        <s v="Strips"/>
        <s v="Links" u="1"/>
        <s v="HCAL" u="1"/>
        <s v="Pix/CO2" u="1"/>
        <s v="Trigger" u="1"/>
      </sharedItems>
    </cacheField>
    <cacheField name="Institution" numFmtId="164">
      <sharedItems count="19">
        <s v="Fermilab"/>
        <s v="CERN TA"/>
        <s v="Iowa"/>
        <s v="Princeton"/>
        <s v="Notre Dame"/>
        <s v="Minnesota"/>
        <s v="Boston"/>
        <s v="Virginia"/>
        <s v="Maryland"/>
        <s v="Florida"/>
        <s v="Rice"/>
        <s v="Wisconsin"/>
        <s v="Texas A&amp;M"/>
        <s v="Purdue"/>
        <s v="Mississippi"/>
        <s v="Brown"/>
        <s v="UI Chicago" u="1"/>
        <s v="Rochester" u="1"/>
        <s v="Nebraska" u="1"/>
      </sharedItems>
    </cacheField>
    <cacheField name="DOE/NSF" numFmtId="164">
      <sharedItems/>
    </cacheField>
    <cacheField name="Univ/FNAL/CERN" numFmtId="164">
      <sharedItems/>
    </cacheField>
    <cacheField name="M&amp;S" numFmtId="40">
      <sharedItems containsSemiMixedTypes="0" containsString="0" containsNumber="1" containsInteger="1" minValue="0" maxValue="102000"/>
    </cacheField>
    <cacheField name="M&amp;S Adj" numFmtId="40">
      <sharedItems containsSemiMixedTypes="0" containsString="0" containsNumber="1" minValue="0" maxValue="4499.9999999999991"/>
    </cacheField>
    <cacheField name="M&amp;S $" numFmtId="40">
      <sharedItems containsSemiMixedTypes="0" containsString="0" containsNumber="1" containsInteger="1" minValue="0" maxValue="102000"/>
    </cacheField>
    <cacheField name="Description" numFmtId="164">
      <sharedItems/>
    </cacheField>
    <cacheField name="Comments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UpgR&amp;D_Ph1"/>
    <x v="0"/>
    <x v="0"/>
    <s v="DOE"/>
    <s v="FNAL"/>
    <n v="40000"/>
    <n v="0"/>
    <n v="40000"/>
    <s v="HCAL Upgrade R&amp;D FY12 M&amp;S Fermilab"/>
    <s v="QIE10 2 MOSIS submissions HPK with neutron blocker tests"/>
  </r>
  <r>
    <s v="UpgR&amp;D_Ph1"/>
    <x v="0"/>
    <x v="0"/>
    <s v="DOE"/>
    <s v="FNAL"/>
    <n v="25000"/>
    <n v="0"/>
    <n v="25000"/>
    <s v="HCAL Upgrade R&amp;D FY12 M&amp;S Fermilab"/>
    <s v="QIE10 packaging of order 100 chips @ $250/chip including some validation"/>
  </r>
  <r>
    <s v="UpgR&amp;D_Ph1"/>
    <x v="0"/>
    <x v="0"/>
    <s v="DOE"/>
    <s v="FNAL"/>
    <n v="20000"/>
    <n v="0"/>
    <n v="20000"/>
    <s v="HCAL Upgrade R&amp;D FY12 M&amp;S Fermilab"/>
    <s v="QIE Card 2 Prototype prototype plus auxiliary test cards"/>
  </r>
  <r>
    <s v="UpgR&amp;D_Ph1"/>
    <x v="0"/>
    <x v="0"/>
    <s v="DOE"/>
    <s v="FNAL"/>
    <n v="10000"/>
    <n v="0"/>
    <n v="10000"/>
    <s v="HCAL Upgrade R&amp;D FY12 M&amp;S CERN TA"/>
    <s v="Control Card proto"/>
  </r>
  <r>
    <s v="UpgR&amp;D_Ph1"/>
    <x v="0"/>
    <x v="1"/>
    <s v="DOE"/>
    <s v="CERN"/>
    <n v="40500"/>
    <n v="4499.9999999999991"/>
    <n v="45000"/>
    <s v="HCAL Upgrade R&amp;D FY12 M&amp;S CERN TA"/>
    <s v="SiPM arrays HPK with neutron blocker tests"/>
  </r>
  <r>
    <s v="UpgR&amp;D_Ph1"/>
    <x v="0"/>
    <x v="1"/>
    <s v="DOE"/>
    <s v="CERN"/>
    <n v="13500"/>
    <n v="1499.9999999999998"/>
    <n v="15000"/>
    <s v="HCAL Upgrade R&amp;D FY12 M&amp;S CERN TA"/>
    <s v="Radiation Tests"/>
  </r>
  <r>
    <s v="UpgR&amp;D_Ph1"/>
    <x v="0"/>
    <x v="2"/>
    <s v="DOE"/>
    <s v="University"/>
    <n v="5000"/>
    <n v="0"/>
    <n v="5000"/>
    <s v="HCAL Upgrade R&amp;D FY12 M&amp;S Iowa"/>
    <s v="HF front end work at 904"/>
  </r>
  <r>
    <s v="UpgR&amp;D_Ph1"/>
    <x v="0"/>
    <x v="2"/>
    <s v="DOE"/>
    <s v="University"/>
    <n v="2000"/>
    <n v="0"/>
    <n v="2000"/>
    <s v="HCAL Upgrade R&amp;D FY12 M&amp;S Iowa"/>
    <s v="RM mechanics"/>
  </r>
  <r>
    <s v="UpgR&amp;D_Ph1"/>
    <x v="0"/>
    <x v="3"/>
    <s v="NSF"/>
    <s v="University"/>
    <n v="5000"/>
    <n v="0"/>
    <n v="5000"/>
    <s v="HCAL Upgrade R&amp;D FY12 M&amp;S Princeton"/>
    <s v="HF front end work at 904"/>
  </r>
  <r>
    <s v="UpgR&amp;D_Ph1"/>
    <x v="0"/>
    <x v="4"/>
    <s v="NSF"/>
    <s v="University"/>
    <n v="10000"/>
    <n v="0"/>
    <n v="10000"/>
    <s v="HCAL Upgrade R&amp;D FY12  M&amp;S Notre Dame"/>
    <s v="EDU prototype HE-SiPM"/>
  </r>
  <r>
    <s v="UpgR&amp;D_Ph1"/>
    <x v="0"/>
    <x v="5"/>
    <s v="DOE"/>
    <s v="University"/>
    <n v="10000"/>
    <n v="0"/>
    <n v="10000"/>
    <s v="HCAL Upgrade R&amp;D FY12 M&amp;S Minnesota"/>
    <s v="uHTR Shipping, test fixtures, etc"/>
  </r>
  <r>
    <s v="UpgR&amp;D_Ph1"/>
    <x v="0"/>
    <x v="6"/>
    <s v="DOE"/>
    <s v="University"/>
    <n v="15000"/>
    <n v="0"/>
    <n v="15000"/>
    <s v="HCAL Upgrade R&amp;D FY12 M&amp;S Boston"/>
    <s v="DTC AMC13 Prod + lab eeq."/>
  </r>
  <r>
    <s v="UpgR&amp;D_Ph1"/>
    <x v="0"/>
    <x v="7"/>
    <s v="DOE"/>
    <s v="University"/>
    <n v="10000"/>
    <n v="0"/>
    <n v="10000"/>
    <s v="HCAL Upgrade R&amp;D FY12 M&amp;S Iowa"/>
    <s v="ngCCM"/>
  </r>
  <r>
    <s v="UpgR&amp;D_Ph1"/>
    <x v="0"/>
    <x v="8"/>
    <s v="DOE"/>
    <s v="University"/>
    <n v="35000"/>
    <n v="0"/>
    <n v="35000"/>
    <s v="HCAL Upgrade R&amp;D FY12 M&amp;S Maryland"/>
    <s v="ngCCM Prototype GBTx Data Design version+ Purchase of GLIB cards"/>
  </r>
  <r>
    <s v="UpgR&amp;D_Ph1"/>
    <x v="1"/>
    <x v="9"/>
    <s v="DOE"/>
    <s v="University"/>
    <n v="36000"/>
    <n v="0"/>
    <n v="36000"/>
    <s v="Trigger Upgrade R&amp;D FY12 M&amp;S Florida"/>
    <s v="complete the fabrication of trigger upgrade prototype cards, and test a working μTCA demonstrator"/>
  </r>
  <r>
    <s v="UpgR&amp;D_Ph1"/>
    <x v="1"/>
    <x v="10"/>
    <s v="DOE"/>
    <s v="University"/>
    <n v="71600"/>
    <n v="0"/>
    <n v="71600"/>
    <s v="Trigger Upgrade R&amp;D FY12 M&amp;S Rice"/>
    <s v="MPC Prototypes: $20K, procurement of 120 fibers: $51.6K"/>
  </r>
  <r>
    <s v="UpgR&amp;D_Ph1"/>
    <x v="1"/>
    <x v="11"/>
    <s v="DOE"/>
    <s v="University"/>
    <n v="102000"/>
    <n v="0"/>
    <n v="102000"/>
    <s v="Trigger Upgrade R&amp;D FY12 M&amp;S Wisconsin"/>
    <s v="Complete 6 CTP prototypes: $50K, 2 oRSC prototypes $20K, 2 CIO prototypes $20K, 2 Vadatech Crates: $10K, 4 oRM prototypes: $2K"/>
  </r>
  <r>
    <s v="UpgR&amp;D_Ph1"/>
    <x v="1"/>
    <x v="12"/>
    <s v="DOE"/>
    <s v="University"/>
    <n v="3000"/>
    <n v="0"/>
    <n v="3000"/>
    <s v="Trigger Upgrade R&amp;D FY12 M&amp;S Texas A&amp;M"/>
    <s v="a new high power workstation at Texas A&amp;M"/>
  </r>
  <r>
    <s v="UpgR&amp;D_Ph1"/>
    <x v="2"/>
    <x v="0"/>
    <s v="DOE"/>
    <s v="FNAL"/>
    <n v="20000"/>
    <n v="0"/>
    <n v="20000"/>
    <s v="Pixels Upgrade R&amp;D FY12 M&amp;S Fermilab Mech"/>
    <s v=" Port card, DC_DC converter board and CAEN backplane and POH fab for pilot detector"/>
  </r>
  <r>
    <s v="UpgR&amp;D_Ph1"/>
    <x v="2"/>
    <x v="0"/>
    <s v="DOE"/>
    <s v="FNAL"/>
    <n v="15000"/>
    <n v="0"/>
    <n v="15000"/>
    <s v="Pixels Upgrade R&amp;D FY12 M&amp;S Fermilab Mech"/>
    <s v="prototype pipes, ring support, material for HC"/>
  </r>
  <r>
    <s v="UpgR&amp;D_Ph1"/>
    <x v="2"/>
    <x v="0"/>
    <s v="DOE"/>
    <s v="FNAL"/>
    <n v="10000"/>
    <n v="0"/>
    <n v="10000"/>
    <s v="Pixels Upgrade R&amp;D FY12 M&amp;S Fermilab Mech"/>
    <s v="prototype pipes, ring support, material for HC"/>
  </r>
  <r>
    <s v="UpgR&amp;D_Ph1"/>
    <x v="3"/>
    <x v="0"/>
    <s v="DOE"/>
    <s v="FNAL"/>
    <n v="10000"/>
    <n v="0"/>
    <n v="10000"/>
    <s v="Pixels Upgrade R&amp;D FY12 M&amp;S Fermilab Elec"/>
    <s v="FNAL machine shop"/>
  </r>
  <r>
    <s v="UpgR&amp;D_Ph1"/>
    <x v="4"/>
    <x v="0"/>
    <s v="DOE"/>
    <s v="FNAL"/>
    <n v="3000"/>
    <n v="0"/>
    <n v="3000"/>
    <s v="Pixels Upgrade R&amp;D FY12 sensor M&amp;S"/>
    <s v="Tests at SLAC, Fermilab and irradiation test"/>
  </r>
  <r>
    <s v="UpgR&amp;D_Ph1"/>
    <x v="4"/>
    <x v="0"/>
    <s v="DOE"/>
    <s v="FNAL"/>
    <n v="0"/>
    <n v="0"/>
    <n v="0"/>
    <s v="Pixels Upgrade R&amp;D FY12 sensor M&amp;S"/>
    <s v="6&quot; sensor wafer submission"/>
  </r>
  <r>
    <s v="UpgR&amp;D_Ph1"/>
    <x v="4"/>
    <x v="0"/>
    <s v="DOE"/>
    <s v="FNAL"/>
    <n v="0"/>
    <n v="0"/>
    <n v="0"/>
    <s v="Pixels Upgrade R&amp;D FY12 sensor M&amp;S"/>
    <s v="bump bonding for pilot detector"/>
  </r>
  <r>
    <s v="UpgR&amp;D_Ph1"/>
    <x v="5"/>
    <x v="13"/>
    <s v="NSF"/>
    <s v="University"/>
    <n v="16050"/>
    <n v="0"/>
    <n v="16050"/>
    <s v="Pixels Upgrade R&amp;D FY12 M&amp;S Purdue"/>
    <s v="6 inch sensors development PHASE1-High Piority item"/>
  </r>
  <r>
    <s v="UpgR&amp;D_Ph1"/>
    <x v="5"/>
    <x v="13"/>
    <s v="NSF"/>
    <s v="University"/>
    <n v="19450"/>
    <n v="0"/>
    <n v="19450"/>
    <s v="Pixels Upgrade R&amp;D FY12 M&amp;S Purdue"/>
    <s v="M&amp;S module mechanics-High Priority Items"/>
  </r>
  <r>
    <s v="UpgR&amp;D_Ph1"/>
    <x v="5"/>
    <x v="13"/>
    <s v="NSF"/>
    <s v="University"/>
    <n v="0"/>
    <n v="0"/>
    <n v="0"/>
    <s v="Pixels Upgrade R&amp;D FY12 M&amp;S Purdue"/>
    <s v="zeroed because low piority"/>
  </r>
  <r>
    <s v="UpgR&amp;D_Ph1"/>
    <x v="5"/>
    <x v="14"/>
    <s v="NSF"/>
    <s v="University"/>
    <n v="0"/>
    <n v="0"/>
    <n v="0"/>
    <s v="Pixels Upgrade R&amp;D FY12 M&amp;S Purdue"/>
    <s v="zeroead low priority"/>
  </r>
  <r>
    <s v="UpgR&amp;D_Ph1"/>
    <x v="5"/>
    <x v="14"/>
    <s v="NSF"/>
    <s v="University"/>
    <n v="5000"/>
    <n v="0"/>
    <n v="5000"/>
    <s v="Pixels Upgrade  R&amp;D FY12 M&amp;S Mississipi"/>
    <s v="Machining"/>
  </r>
  <r>
    <s v="UpgR&amp;D_Ph2"/>
    <x v="6"/>
    <x v="0"/>
    <s v="DOE"/>
    <s v="FNAL"/>
    <n v="3000"/>
    <n v="0"/>
    <n v="3000"/>
    <s v="Strips upgrade PHASE 2 R&amp;D FY12 M&amp;S Fermilab"/>
    <s v="M&amp;S support for strip testing"/>
  </r>
  <r>
    <s v="UpgR&amp;D_Ph2"/>
    <x v="6"/>
    <x v="15"/>
    <s v="DOE"/>
    <s v="University"/>
    <n v="3000"/>
    <n v="0"/>
    <n v="3000"/>
    <s v="Strips upgrade PHASE 2 R&amp;D FY12 M&amp;S Brown"/>
    <s v="automatization (not clear us needed yet)+ new las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s v="UpgR&amp;D_Ph1"/>
    <x v="0"/>
    <x v="0"/>
    <s v="DOE"/>
    <s v="FNAL"/>
    <n v="40000"/>
    <n v="0"/>
    <n v="40000"/>
    <s v="HCAL Upgrade R&amp;D FY12 M&amp;S Fermilab"/>
    <s v="QIE10 2 MOSIS submissions HPK with neutron blocker tests"/>
  </r>
  <r>
    <s v="UpgR&amp;D_Ph1"/>
    <x v="0"/>
    <x v="0"/>
    <s v="DOE"/>
    <s v="FNAL"/>
    <n v="25000"/>
    <n v="0"/>
    <n v="25000"/>
    <s v="HCAL Upgrade R&amp;D FY12 M&amp;S Fermilab"/>
    <s v="QIE10 packaging of order 100 chips @ $250/chip including some validation"/>
  </r>
  <r>
    <s v="UpgR&amp;D_Ph1"/>
    <x v="0"/>
    <x v="0"/>
    <s v="DOE"/>
    <s v="FNAL"/>
    <n v="20000"/>
    <n v="0"/>
    <n v="20000"/>
    <s v="HCAL Upgrade R&amp;D FY12 M&amp;S Fermilab"/>
    <s v="QIE Card 2 Prototype prototype plus auxiliary test cards"/>
  </r>
  <r>
    <s v="UpgR&amp;D_Ph1"/>
    <x v="0"/>
    <x v="0"/>
    <s v="DOE"/>
    <s v="FNAL"/>
    <n v="10000"/>
    <n v="0"/>
    <n v="10000"/>
    <s v="HCAL Upgrade R&amp;D FY12 M&amp;S CERN TA"/>
    <s v="Control Card proto"/>
  </r>
  <r>
    <s v="UpgR&amp;D_Ph1"/>
    <x v="0"/>
    <x v="1"/>
    <s v="DOE"/>
    <s v="CERN"/>
    <n v="40500"/>
    <n v="4499.9999999999991"/>
    <n v="45000"/>
    <s v="HCAL Upgrade R&amp;D FY12 M&amp;S CERN TA"/>
    <s v="SiPM arrays HPK with neutron blocker tests"/>
  </r>
  <r>
    <s v="UpgR&amp;D_Ph1"/>
    <x v="0"/>
    <x v="1"/>
    <s v="DOE"/>
    <s v="CERN"/>
    <n v="13500"/>
    <n v="1499.9999999999998"/>
    <n v="15000"/>
    <s v="HCAL Upgrade R&amp;D FY12 M&amp;S CERN TA"/>
    <s v="Radiation Tests"/>
  </r>
  <r>
    <s v="UpgR&amp;D_Ph1"/>
    <x v="0"/>
    <x v="2"/>
    <s v="DOE"/>
    <s v="University"/>
    <n v="5000"/>
    <n v="0"/>
    <n v="5000"/>
    <s v="HCAL Upgrade R&amp;D FY12 M&amp;S Iowa"/>
    <s v="HF front end work at 904"/>
  </r>
  <r>
    <s v="UpgR&amp;D_Ph1"/>
    <x v="0"/>
    <x v="2"/>
    <s v="DOE"/>
    <s v="University"/>
    <n v="2000"/>
    <n v="0"/>
    <n v="2000"/>
    <s v="HCAL Upgrade R&amp;D FY12 M&amp;S Iowa"/>
    <s v="RM mechanics"/>
  </r>
  <r>
    <s v="UpgR&amp;D_Ph1"/>
    <x v="0"/>
    <x v="3"/>
    <s v="NSF"/>
    <s v="University"/>
    <n v="5000"/>
    <n v="0"/>
    <n v="5000"/>
    <s v="HCAL Upgrade R&amp;D FY12 M&amp;S Princeton"/>
    <s v="HF front end work at 904"/>
  </r>
  <r>
    <s v="UpgR&amp;D_Ph1"/>
    <x v="0"/>
    <x v="4"/>
    <s v="NSF"/>
    <s v="University"/>
    <n v="10000"/>
    <n v="0"/>
    <n v="10000"/>
    <s v="HCAL Upgrade R&amp;D FY12  M&amp;S Notre Dame"/>
    <s v="EDU prototype HE-SiPM"/>
  </r>
  <r>
    <s v="UpgR&amp;D_Ph1"/>
    <x v="0"/>
    <x v="5"/>
    <s v="DOE"/>
    <s v="University"/>
    <n v="10000"/>
    <n v="0"/>
    <n v="10000"/>
    <s v="HCAL Upgrade R&amp;D FY12 M&amp;S Minnesota"/>
    <s v="uHTR Shipping, test fixtures, etc"/>
  </r>
  <r>
    <s v="UpgR&amp;D_Ph1"/>
    <x v="0"/>
    <x v="6"/>
    <s v="DOE"/>
    <s v="University"/>
    <n v="15000"/>
    <n v="0"/>
    <n v="15000"/>
    <s v="HCAL Upgrade R&amp;D FY12 M&amp;S Boston"/>
    <s v="DTC AMC13 Prod + lab eeq."/>
  </r>
  <r>
    <s v="UpgR&amp;D_Ph1"/>
    <x v="0"/>
    <x v="7"/>
    <s v="DOE"/>
    <s v="University"/>
    <n v="10000"/>
    <n v="0"/>
    <n v="10000"/>
    <s v="HCAL Upgrade R&amp;D FY12 M&amp;S Iowa"/>
    <s v="ngCCM"/>
  </r>
  <r>
    <s v="UpgR&amp;D_Ph1"/>
    <x v="0"/>
    <x v="8"/>
    <s v="DOE"/>
    <s v="University"/>
    <n v="35000"/>
    <n v="0"/>
    <n v="35000"/>
    <s v="HCAL Upgrade R&amp;D FY12 M&amp;S Maryland"/>
    <s v="ngCCM Prototype GBTx Data Design version+ Purchase of GLIB cards"/>
  </r>
  <r>
    <s v="UpgR&amp;D_Ph1"/>
    <x v="1"/>
    <x v="9"/>
    <s v="DOE"/>
    <s v="University"/>
    <n v="36000"/>
    <n v="0"/>
    <n v="36000"/>
    <s v="Trigger Upgrade R&amp;D FY12 M&amp;S Florida"/>
    <s v="complete the fabrication of trigger upgrade prototype cards, and test a working μTCA demonstrator"/>
  </r>
  <r>
    <s v="UpgR&amp;D_Ph1"/>
    <x v="1"/>
    <x v="10"/>
    <s v="DOE"/>
    <s v="University"/>
    <n v="71600"/>
    <n v="0"/>
    <n v="71600"/>
    <s v="Trigger Upgrade R&amp;D FY12 M&amp;S Rice"/>
    <s v="MPC Prototypes: $20K, procurement of 120 fibers: $51.6K"/>
  </r>
  <r>
    <s v="UpgR&amp;D_Ph1"/>
    <x v="1"/>
    <x v="11"/>
    <s v="DOE"/>
    <s v="University"/>
    <n v="102000"/>
    <n v="0"/>
    <n v="102000"/>
    <s v="Trigger Upgrade R&amp;D FY12 M&amp;S Wisconsin"/>
    <s v="Complete 6 CTP prototypes: $50K, 2 oRSC prototypes $20K, 2 CIO prototypes $20K, 2 Vadatech Crates: $10K, 4 oRM prototypes: $2K"/>
  </r>
  <r>
    <s v="UpgR&amp;D_Ph1"/>
    <x v="1"/>
    <x v="12"/>
    <s v="DOE"/>
    <s v="University"/>
    <n v="3000"/>
    <n v="0"/>
    <n v="3000"/>
    <s v="Trigger Upgrade R&amp;D FY12 M&amp;S Texas A&amp;M"/>
    <s v="a new high power workstation at Texas A&amp;M"/>
  </r>
  <r>
    <s v="UpgR&amp;D_Ph1"/>
    <x v="2"/>
    <x v="0"/>
    <s v="DOE"/>
    <s v="FNAL"/>
    <n v="20000"/>
    <n v="0"/>
    <n v="20000"/>
    <s v="Pixels Upgrade R&amp;D FY12 M&amp;S Fermilab Mech"/>
    <s v=" Port card, DC_DC converter board and CAEN backplane and POH fab for pilot detector"/>
  </r>
  <r>
    <s v="UpgR&amp;D_Ph1"/>
    <x v="2"/>
    <x v="0"/>
    <s v="DOE"/>
    <s v="FNAL"/>
    <n v="15000"/>
    <n v="0"/>
    <n v="15000"/>
    <s v="Pixels Upgrade R&amp;D FY12 M&amp;S Fermilab Mech"/>
    <s v="prototype pipes, ring support, material for HC"/>
  </r>
  <r>
    <s v="UpgR&amp;D_Ph1"/>
    <x v="2"/>
    <x v="0"/>
    <s v="DOE"/>
    <s v="FNAL"/>
    <n v="10000"/>
    <n v="0"/>
    <n v="10000"/>
    <s v="Pixels Upgrade R&amp;D FY12 M&amp;S Fermilab Mech"/>
    <s v="prototype pipes, ring support, material for HC"/>
  </r>
  <r>
    <s v="UpgR&amp;D_Ph1"/>
    <x v="3"/>
    <x v="0"/>
    <s v="DOE"/>
    <s v="FNAL"/>
    <n v="10000"/>
    <n v="0"/>
    <n v="10000"/>
    <s v="Pixels Upgrade R&amp;D FY12 M&amp;S Fermilab Elec"/>
    <s v="FNAL machine shop"/>
  </r>
  <r>
    <s v="UpgR&amp;D_Ph1"/>
    <x v="4"/>
    <x v="0"/>
    <s v="DOE"/>
    <s v="FNAL"/>
    <n v="3000"/>
    <n v="0"/>
    <n v="3000"/>
    <s v="Pixels Upgrade R&amp;D FY12 sensor M&amp;S"/>
    <s v="Tests at SLAC, Fermilab and irradiation test"/>
  </r>
  <r>
    <s v="UpgR&amp;D_Ph1"/>
    <x v="4"/>
    <x v="0"/>
    <s v="DOE"/>
    <s v="FNAL"/>
    <n v="0"/>
    <n v="0"/>
    <n v="0"/>
    <s v="Pixels Upgrade R&amp;D FY12 sensor M&amp;S"/>
    <s v="6&quot; sensor wafer submission"/>
  </r>
  <r>
    <s v="UpgR&amp;D_Ph1"/>
    <x v="4"/>
    <x v="0"/>
    <s v="DOE"/>
    <s v="FNAL"/>
    <n v="0"/>
    <n v="0"/>
    <n v="0"/>
    <s v="Pixels Upgrade R&amp;D FY12 sensor M&amp;S"/>
    <s v="bump bonding for pilot detector"/>
  </r>
  <r>
    <s v="UpgR&amp;D_Ph1"/>
    <x v="5"/>
    <x v="13"/>
    <s v="NSF"/>
    <s v="University"/>
    <n v="16050"/>
    <n v="0"/>
    <n v="16050"/>
    <s v="Pixels Upgrade R&amp;D FY12 M&amp;S Purdue"/>
    <s v="6 inch sensors development PHASE1-High Piority item"/>
  </r>
  <r>
    <s v="UpgR&amp;D_Ph1"/>
    <x v="5"/>
    <x v="13"/>
    <s v="NSF"/>
    <s v="University"/>
    <n v="19450"/>
    <n v="0"/>
    <n v="19450"/>
    <s v="Pixels Upgrade R&amp;D FY12 M&amp;S Purdue"/>
    <s v="M&amp;S module mechanics-High Priority Items"/>
  </r>
  <r>
    <s v="UpgR&amp;D_Ph1"/>
    <x v="5"/>
    <x v="13"/>
    <s v="NSF"/>
    <s v="University"/>
    <n v="0"/>
    <n v="0"/>
    <n v="0"/>
    <s v="Pixels Upgrade R&amp;D FY12 M&amp;S Purdue"/>
    <s v="zeroed because low piority"/>
  </r>
  <r>
    <s v="UpgR&amp;D_Ph1"/>
    <x v="5"/>
    <x v="14"/>
    <s v="NSF"/>
    <s v="University"/>
    <n v="0"/>
    <n v="0"/>
    <n v="0"/>
    <s v="Pixels Upgrade R&amp;D FY12 M&amp;S Purdue"/>
    <s v="zeroead low priority"/>
  </r>
  <r>
    <s v="UpgR&amp;D_Ph1"/>
    <x v="5"/>
    <x v="14"/>
    <s v="NSF"/>
    <s v="University"/>
    <n v="5000"/>
    <n v="0"/>
    <n v="5000"/>
    <s v="Pixels Upgrade  R&amp;D FY12 M&amp;S Mississipi"/>
    <s v="Machining"/>
  </r>
  <r>
    <s v="UpgR&amp;D_Ph2"/>
    <x v="6"/>
    <x v="0"/>
    <s v="DOE"/>
    <s v="FNAL"/>
    <n v="3000"/>
    <n v="0"/>
    <n v="3000"/>
    <s v="Strips upgrade PHASE 2 R&amp;D FY12 M&amp;S Fermilab"/>
    <s v="M&amp;S support for strip testing"/>
  </r>
  <r>
    <s v="UpgR&amp;D_Ph2"/>
    <x v="6"/>
    <x v="15"/>
    <s v="DOE"/>
    <s v="University"/>
    <n v="3000"/>
    <n v="0"/>
    <n v="3000"/>
    <s v="Strips upgrade PHASE 2 R&amp;D FY12 M&amp;S Brown"/>
    <s v="automatization (not clear us needed yet)+ new las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9:I37" firstHeaderRow="1" firstDataRow="2" firstDataCol="1"/>
  <pivotFields count="10">
    <pivotField numFmtId="164" showAll="0"/>
    <pivotField axis="axisCol" numFmtId="164" showAll="0">
      <items count="13">
        <item m="1" x="9"/>
        <item m="1" x="8"/>
        <item m="1" x="10"/>
        <item x="3"/>
        <item x="2"/>
        <item x="5"/>
        <item x="6"/>
        <item m="1" x="11"/>
        <item m="1" x="7"/>
        <item x="4"/>
        <item x="0"/>
        <item x="1"/>
        <item t="default"/>
      </items>
    </pivotField>
    <pivotField axis="axisRow" numFmtId="164" showAll="0">
      <items count="22">
        <item x="6"/>
        <item x="15"/>
        <item x="1"/>
        <item x="0"/>
        <item x="9"/>
        <item x="8"/>
        <item x="5"/>
        <item m="1" x="20"/>
        <item x="4"/>
        <item x="3"/>
        <item x="13"/>
        <item x="10"/>
        <item m="1" x="18"/>
        <item x="12"/>
        <item m="1" x="17"/>
        <item x="7"/>
        <item x="11"/>
        <item m="1" x="16"/>
        <item x="2"/>
        <item m="1" x="19"/>
        <item x="14"/>
        <item t="default"/>
      </items>
    </pivotField>
    <pivotField numFmtId="164" showAll="0" defaultSubtotal="0"/>
    <pivotField numFmtId="164" showAll="0"/>
    <pivotField numFmtId="40" showAll="0" defaultSubtotal="0"/>
    <pivotField numFmtId="40" showAll="0" defaultSubtotal="0"/>
    <pivotField dataField="1" numFmtId="164" showAll="0"/>
    <pivotField numFmtId="164" showAll="0"/>
    <pivotField numFmtId="164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3"/>
    </i>
    <i>
      <x v="15"/>
    </i>
    <i>
      <x v="16"/>
    </i>
    <i>
      <x v="18"/>
    </i>
    <i>
      <x v="20"/>
    </i>
    <i t="grand">
      <x/>
    </i>
  </rowItems>
  <colFields count="1">
    <field x="1"/>
  </colFields>
  <colItems count="8">
    <i>
      <x v="3"/>
    </i>
    <i>
      <x v="4"/>
    </i>
    <i>
      <x v="5"/>
    </i>
    <i>
      <x v="6"/>
    </i>
    <i>
      <x v="9"/>
    </i>
    <i>
      <x v="10"/>
    </i>
    <i>
      <x v="11"/>
    </i>
    <i t="grand">
      <x/>
    </i>
  </colItems>
  <dataFields count="1">
    <dataField name="Sum of M&amp;S $" fld="7" baseField="2" baseItem="0" numFmtId="3"/>
  </dataFields>
  <formats count="4">
    <format dxfId="3">
      <pivotArea field="2" dataOnly="0" grandRow="1" axis="axisRow" fieldPosition="0">
        <references count="1">
          <reference field="2" count="0"/>
        </references>
      </pivotArea>
    </format>
    <format dxfId="2">
      <pivotArea outline="0" collapsedLevelsAreSubtotals="1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3:B12" firstHeaderRow="2" firstDataRow="2" firstDataCol="1" rowPageCount="1" colPageCount="1"/>
  <pivotFields count="10">
    <pivotField numFmtId="164" showAll="0"/>
    <pivotField axis="axisRow" numFmtId="164" showAll="0">
      <items count="12">
        <item m="1" x="8"/>
        <item m="1" x="7"/>
        <item m="1" x="9"/>
        <item x="3"/>
        <item x="2"/>
        <item x="5"/>
        <item m="1" x="10"/>
        <item x="6"/>
        <item x="0"/>
        <item x="1"/>
        <item x="4"/>
        <item t="default"/>
      </items>
    </pivotField>
    <pivotField axis="axisPage" numFmtId="164" showAll="0">
      <items count="20">
        <item x="6"/>
        <item x="1"/>
        <item x="0"/>
        <item x="9"/>
        <item x="8"/>
        <item x="5"/>
        <item x="4"/>
        <item x="3"/>
        <item x="13"/>
        <item x="10"/>
        <item x="11"/>
        <item x="12"/>
        <item m="1" x="18"/>
        <item m="1" x="16"/>
        <item m="1" x="17"/>
        <item x="7"/>
        <item x="15"/>
        <item x="2"/>
        <item x="14"/>
        <item t="default"/>
      </items>
    </pivotField>
    <pivotField numFmtId="164" showAll="0" defaultSubtotal="0"/>
    <pivotField numFmtId="164" showAll="0" defaultSubtotal="0"/>
    <pivotField numFmtId="40" showAll="0" defaultSubtotal="0"/>
    <pivotField numFmtId="40" showAll="0" defaultSubtotal="0"/>
    <pivotField dataField="1" numFmtId="40" showAll="0"/>
    <pivotField numFmtId="164" showAll="0"/>
    <pivotField numFmtId="164" showAll="0"/>
  </pivotFields>
  <rowFields count="1">
    <field x="1"/>
  </rowFields>
  <rowItems count="8"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2" hier="-1"/>
  </pageFields>
  <dataFields count="1">
    <dataField name="Sum of M&amp;S $" fld="7" baseField="0" baseItem="0" numFmtId="164"/>
  </dataFields>
  <formats count="2">
    <format dxfId="5">
      <pivotArea field="2" type="button" dataOnly="0" labelOnly="1" outline="0" axis="axisPage" fieldPosition="0"/>
    </format>
    <format dxfId="4">
      <pivotArea field="1" type="button" dataOnly="0" labelOnly="1" outline="0" axis="axisRow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th@fnal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2:D23"/>
  <sheetViews>
    <sheetView workbookViewId="0">
      <selection activeCell="D29" sqref="D29"/>
    </sheetView>
  </sheetViews>
  <sheetFormatPr baseColWidth="10" defaultColWidth="8.83203125" defaultRowHeight="12" x14ac:dyDescent="0"/>
  <sheetData>
    <row r="2" spans="1:2">
      <c r="A2" t="s">
        <v>159</v>
      </c>
    </row>
    <row r="3" spans="1:2">
      <c r="B3" t="s">
        <v>68</v>
      </c>
    </row>
    <row r="4" spans="1:2">
      <c r="B4" t="s">
        <v>170</v>
      </c>
    </row>
    <row r="5" spans="1:2">
      <c r="B5" t="s">
        <v>171</v>
      </c>
    </row>
    <row r="6" spans="1:2">
      <c r="A6" t="s">
        <v>59</v>
      </c>
    </row>
    <row r="7" spans="1:2">
      <c r="A7" t="s">
        <v>184</v>
      </c>
    </row>
    <row r="8" spans="1:2">
      <c r="B8" t="s">
        <v>69</v>
      </c>
    </row>
    <row r="9" spans="1:2">
      <c r="A9" t="s">
        <v>185</v>
      </c>
    </row>
    <row r="10" spans="1:2">
      <c r="B10" t="s">
        <v>186</v>
      </c>
    </row>
    <row r="11" spans="1:2">
      <c r="B11" t="s">
        <v>187</v>
      </c>
    </row>
    <row r="12" spans="1:2">
      <c r="A12" t="s">
        <v>188</v>
      </c>
    </row>
    <row r="13" spans="1:2">
      <c r="B13" t="s">
        <v>64</v>
      </c>
    </row>
    <row r="14" spans="1:2">
      <c r="A14" t="s">
        <v>65</v>
      </c>
    </row>
    <row r="15" spans="1:2">
      <c r="A15" t="s">
        <v>66</v>
      </c>
    </row>
    <row r="16" spans="1:2">
      <c r="A16" t="s">
        <v>67</v>
      </c>
    </row>
    <row r="17" spans="1:4">
      <c r="A17" t="s">
        <v>167</v>
      </c>
    </row>
    <row r="18" spans="1:4">
      <c r="B18" t="s">
        <v>168</v>
      </c>
    </row>
    <row r="19" spans="1:4">
      <c r="A19" t="s">
        <v>160</v>
      </c>
    </row>
    <row r="20" spans="1:4">
      <c r="B20" t="s">
        <v>161</v>
      </c>
    </row>
    <row r="21" spans="1:4">
      <c r="B21" t="s">
        <v>162</v>
      </c>
    </row>
    <row r="23" spans="1:4">
      <c r="A23" t="s">
        <v>164</v>
      </c>
      <c r="B23" s="61" t="s">
        <v>165</v>
      </c>
      <c r="D23" t="s">
        <v>166</v>
      </c>
    </row>
  </sheetData>
  <phoneticPr fontId="16" type="noConversion"/>
  <hyperlinks>
    <hyperlink ref="B2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P9"/>
  <sheetViews>
    <sheetView tabSelected="1" topLeftCell="D1" zoomScale="90" zoomScaleNormal="90" zoomScalePageLayoutView="90" workbookViewId="0">
      <selection activeCell="N4" sqref="N4"/>
    </sheetView>
  </sheetViews>
  <sheetFormatPr baseColWidth="10" defaultColWidth="8.83203125" defaultRowHeight="12" x14ac:dyDescent="0"/>
  <cols>
    <col min="1" max="1" width="13.5" bestFit="1" customWidth="1"/>
    <col min="2" max="2" width="10.5" bestFit="1" customWidth="1"/>
    <col min="3" max="3" width="24" bestFit="1" customWidth="1"/>
    <col min="4" max="4" width="14.5" bestFit="1" customWidth="1"/>
    <col min="5" max="5" width="11.5" customWidth="1"/>
    <col min="6" max="6" width="14.5" customWidth="1"/>
    <col min="7" max="7" width="16.33203125" customWidth="1"/>
    <col min="8" max="8" width="9.1640625" style="27" customWidth="1"/>
    <col min="9" max="9" width="10.1640625" style="48" bestFit="1" customWidth="1"/>
    <col min="10" max="10" width="13.5" style="8" bestFit="1" customWidth="1"/>
    <col min="11" max="11" width="12.33203125" style="8" customWidth="1"/>
    <col min="12" max="12" width="13.1640625" style="8" bestFit="1" customWidth="1"/>
    <col min="13" max="13" width="13.1640625" style="64" customWidth="1"/>
    <col min="14" max="14" width="54" customWidth="1"/>
    <col min="15" max="15" width="53.83203125" customWidth="1"/>
    <col min="16" max="16" width="11.6640625" bestFit="1" customWidth="1"/>
    <col min="17" max="17" width="12.5" customWidth="1"/>
  </cols>
  <sheetData>
    <row r="1" spans="1:16" ht="24">
      <c r="A1" s="9" t="s">
        <v>144</v>
      </c>
      <c r="B1" s="9" t="s">
        <v>6</v>
      </c>
      <c r="C1" s="9" t="s">
        <v>179</v>
      </c>
      <c r="D1" s="9" t="s">
        <v>85</v>
      </c>
      <c r="E1" s="9" t="s">
        <v>32</v>
      </c>
      <c r="F1" s="21" t="s">
        <v>29</v>
      </c>
      <c r="G1" s="10" t="s">
        <v>72</v>
      </c>
      <c r="H1" s="30" t="s">
        <v>7</v>
      </c>
      <c r="I1" s="47" t="s">
        <v>8</v>
      </c>
      <c r="J1" s="11" t="s">
        <v>18</v>
      </c>
      <c r="K1" s="11" t="s">
        <v>37</v>
      </c>
      <c r="L1" s="31" t="s">
        <v>38</v>
      </c>
      <c r="M1" s="62" t="s">
        <v>169</v>
      </c>
      <c r="N1" s="6" t="s">
        <v>5</v>
      </c>
      <c r="O1" s="46" t="e">
        <f>#REF!</f>
        <v>#REF!</v>
      </c>
      <c r="P1" s="20" t="e">
        <f>#REF!</f>
        <v>#REF!</v>
      </c>
    </row>
    <row r="2" spans="1:16" s="28" customFormat="1">
      <c r="A2" s="35" t="s">
        <v>52</v>
      </c>
      <c r="B2" s="28" t="s">
        <v>175</v>
      </c>
      <c r="C2" s="29" t="s">
        <v>105</v>
      </c>
      <c r="D2" s="28" t="s">
        <v>176</v>
      </c>
      <c r="E2" s="28" t="s">
        <v>33</v>
      </c>
      <c r="F2" s="23" t="s">
        <v>35</v>
      </c>
      <c r="G2" s="35" t="s">
        <v>177</v>
      </c>
      <c r="H2" s="53">
        <v>124.33</v>
      </c>
      <c r="I2" s="54">
        <v>1</v>
      </c>
      <c r="J2" s="22">
        <f>I2*2000*H2</f>
        <v>248660</v>
      </c>
      <c r="K2" s="51">
        <f t="shared" ref="K2:K3" si="0">IF(D2="CERN TA",J2*(1-$O$1)/$O$1,0)</f>
        <v>0</v>
      </c>
      <c r="L2" s="51">
        <f t="shared" ref="L2:L3" si="1">SUM(J2:K2)</f>
        <v>248660</v>
      </c>
      <c r="M2" s="63">
        <v>2014</v>
      </c>
      <c r="N2" s="28" t="s">
        <v>190</v>
      </c>
      <c r="O2" s="28" t="s">
        <v>178</v>
      </c>
    </row>
    <row r="3" spans="1:16" s="28" customFormat="1">
      <c r="A3" s="35" t="s">
        <v>52</v>
      </c>
      <c r="B3" s="28" t="s">
        <v>54</v>
      </c>
      <c r="C3" s="29" t="s">
        <v>104</v>
      </c>
      <c r="D3" s="28" t="s">
        <v>180</v>
      </c>
      <c r="E3" s="28" t="s">
        <v>33</v>
      </c>
      <c r="F3" s="23" t="s">
        <v>35</v>
      </c>
      <c r="G3" s="35" t="s">
        <v>78</v>
      </c>
      <c r="H3" s="53">
        <v>124.33</v>
      </c>
      <c r="I3" s="54">
        <v>1</v>
      </c>
      <c r="J3" s="22">
        <f>I3*2000*H3+0.86</f>
        <v>248660.86</v>
      </c>
      <c r="K3" s="51">
        <f t="shared" si="0"/>
        <v>0</v>
      </c>
      <c r="L3" s="51">
        <f t="shared" si="1"/>
        <v>248660.86</v>
      </c>
      <c r="M3" s="63">
        <v>2014</v>
      </c>
      <c r="N3" s="28" t="s">
        <v>189</v>
      </c>
      <c r="O3" s="28" t="s">
        <v>178</v>
      </c>
    </row>
    <row r="4" spans="1:16" s="28" customFormat="1">
      <c r="A4" s="35" t="s">
        <v>52</v>
      </c>
      <c r="B4" s="28" t="s">
        <v>175</v>
      </c>
      <c r="C4" s="29" t="s">
        <v>105</v>
      </c>
      <c r="D4" s="28" t="s">
        <v>176</v>
      </c>
      <c r="E4" s="28" t="s">
        <v>33</v>
      </c>
      <c r="F4" s="23" t="s">
        <v>35</v>
      </c>
      <c r="G4" s="35" t="s">
        <v>177</v>
      </c>
      <c r="H4" s="53">
        <v>128.06</v>
      </c>
      <c r="I4" s="54">
        <v>1.5</v>
      </c>
      <c r="J4" s="22">
        <f>I4*2000*H4</f>
        <v>384180</v>
      </c>
      <c r="K4" s="51">
        <f t="shared" ref="K4:K5" si="2">IF(D4="CERN TA",J4*(1-$O$1)/$O$1,0)</f>
        <v>0</v>
      </c>
      <c r="L4" s="51">
        <f t="shared" ref="L4:L5" si="3">SUM(J4:K4)</f>
        <v>384180</v>
      </c>
      <c r="M4" s="63">
        <v>2015</v>
      </c>
      <c r="N4" s="28" t="s">
        <v>191</v>
      </c>
      <c r="O4" s="28" t="s">
        <v>178</v>
      </c>
    </row>
    <row r="5" spans="1:16" s="28" customFormat="1">
      <c r="A5" s="35" t="s">
        <v>52</v>
      </c>
      <c r="B5" s="28" t="s">
        <v>54</v>
      </c>
      <c r="C5" s="29" t="s">
        <v>104</v>
      </c>
      <c r="D5" s="28" t="s">
        <v>180</v>
      </c>
      <c r="E5" s="28" t="s">
        <v>33</v>
      </c>
      <c r="F5" s="23" t="s">
        <v>35</v>
      </c>
      <c r="G5" s="35" t="s">
        <v>78</v>
      </c>
      <c r="H5" s="53">
        <v>128.06</v>
      </c>
      <c r="I5" s="54">
        <v>0.5</v>
      </c>
      <c r="J5" s="22">
        <f>I5*2000*H5+0.86</f>
        <v>128060.86</v>
      </c>
      <c r="K5" s="51">
        <f t="shared" si="2"/>
        <v>0</v>
      </c>
      <c r="L5" s="51">
        <f t="shared" si="3"/>
        <v>128060.86</v>
      </c>
      <c r="M5" s="63">
        <v>2015</v>
      </c>
      <c r="N5" s="28" t="s">
        <v>192</v>
      </c>
      <c r="O5" s="28" t="s">
        <v>178</v>
      </c>
    </row>
    <row r="6" spans="1:16" s="28" customFormat="1">
      <c r="A6" s="35"/>
      <c r="C6" s="29"/>
      <c r="F6" s="23"/>
      <c r="G6" s="35"/>
      <c r="H6" s="53"/>
      <c r="I6" s="54"/>
      <c r="J6" s="22"/>
      <c r="K6" s="51"/>
      <c r="L6" s="51"/>
      <c r="M6" s="63"/>
    </row>
    <row r="7" spans="1:16">
      <c r="G7" s="20"/>
      <c r="I7" s="48" t="s">
        <v>31</v>
      </c>
      <c r="J7" s="8">
        <f>SUM(J2:J5)</f>
        <v>1009561.72</v>
      </c>
      <c r="K7" s="8">
        <f>SUM(K2:K3)</f>
        <v>0</v>
      </c>
      <c r="L7" s="8">
        <f>SUM(L2:L5)</f>
        <v>1009561.72</v>
      </c>
      <c r="N7" s="8"/>
      <c r="O7" s="39"/>
    </row>
    <row r="8" spans="1:16">
      <c r="I8" s="48" t="s">
        <v>172</v>
      </c>
      <c r="J8" s="8">
        <f>SUMIF($M$2:$M$3,"=2014",J$2:J$3)</f>
        <v>497320.86</v>
      </c>
      <c r="K8" s="8">
        <f>SUMIF($M$2:$M$3,"=2014",K$2:K$3)</f>
        <v>0</v>
      </c>
      <c r="L8" s="8">
        <f>SUMIF($M$2:$M$3,"=2014",L$2:L$3)</f>
        <v>497320.86</v>
      </c>
    </row>
    <row r="9" spans="1:16">
      <c r="I9" s="48" t="s">
        <v>173</v>
      </c>
      <c r="J9" s="8">
        <f ca="1">SUMIF($M$2:$M$5,"=2015",J$2:J$3)</f>
        <v>512240.86</v>
      </c>
      <c r="K9" s="8">
        <f>SUMIF($M$2:$M$3,"=2015",K$2:K$3)</f>
        <v>0</v>
      </c>
      <c r="L9" s="8">
        <f ca="1">SUMIF($M$2:$M$5,"=2015",L$2:L$3)</f>
        <v>512240.86</v>
      </c>
    </row>
  </sheetData>
  <autoFilter ref="B1:J3"/>
  <sortState ref="A2:P69">
    <sortCondition ref="A2:A69"/>
    <sortCondition ref="B2:B69"/>
    <sortCondition ref="D2:D69"/>
  </sortState>
  <phoneticPr fontId="16" type="noConversion"/>
  <dataValidations count="6">
    <dataValidation type="list" allowBlank="1" showInputMessage="1" showErrorMessage="1" sqref="D2:D6">
      <formula1>Institution</formula1>
    </dataValidation>
    <dataValidation type="list" allowBlank="1" showInputMessage="1" showErrorMessage="1" sqref="G2:G7">
      <formula1>Position</formula1>
    </dataValidation>
    <dataValidation type="list" allowBlank="1" showInputMessage="1" showErrorMessage="1" sqref="A2:A6">
      <formula1>Subsystem</formula1>
    </dataValidation>
    <dataValidation type="list" allowBlank="1" showInputMessage="1" showErrorMessage="1" sqref="B2:B6">
      <formula1>UpgRDSub</formula1>
    </dataValidation>
    <dataValidation type="list" allowBlank="1" showInputMessage="1" showErrorMessage="1" sqref="E2:E6">
      <formula1>Funding</formula1>
    </dataValidation>
    <dataValidation type="list" allowBlank="1" showInputMessage="1" showErrorMessage="1" sqref="F2:F6">
      <formula1>UnivFNAL</formula1>
    </dataValidation>
  </dataValidations>
  <pageMargins left="0.7" right="0.7" top="0.75" bottom="0.75" header="0.3" footer="0.3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P6"/>
  <sheetViews>
    <sheetView workbookViewId="0">
      <selection activeCell="E4" sqref="E4"/>
    </sheetView>
  </sheetViews>
  <sheetFormatPr baseColWidth="10" defaultColWidth="8.83203125" defaultRowHeight="12" x14ac:dyDescent="0"/>
  <cols>
    <col min="1" max="1" width="13" style="14" bestFit="1" customWidth="1"/>
    <col min="2" max="2" width="10.6640625" style="14" customWidth="1"/>
    <col min="3" max="3" width="14.5" style="14" bestFit="1" customWidth="1"/>
    <col min="4" max="4" width="9.5" style="14" customWidth="1"/>
    <col min="5" max="5" width="18.5" style="14" bestFit="1" customWidth="1"/>
    <col min="6" max="7" width="14.5" style="14" customWidth="1"/>
    <col min="8" max="8" width="13.33203125" style="15" bestFit="1" customWidth="1"/>
    <col min="9" max="9" width="13.33203125" style="67" customWidth="1"/>
    <col min="10" max="10" width="43.1640625" style="14" bestFit="1" customWidth="1"/>
    <col min="11" max="11" width="31.33203125" style="14" customWidth="1"/>
    <col min="12" max="12" width="60.5" style="14" customWidth="1"/>
    <col min="13" max="13" width="16.33203125" style="14" customWidth="1"/>
    <col min="14" max="14" width="10.1640625" style="14" bestFit="1" customWidth="1"/>
    <col min="15" max="16384" width="8.83203125" style="14"/>
  </cols>
  <sheetData>
    <row r="1" spans="1:16">
      <c r="A1" s="6" t="s">
        <v>144</v>
      </c>
      <c r="B1" s="6" t="s">
        <v>6</v>
      </c>
      <c r="C1" s="6" t="s">
        <v>85</v>
      </c>
      <c r="D1" s="6" t="s">
        <v>32</v>
      </c>
      <c r="E1" s="21" t="s">
        <v>29</v>
      </c>
      <c r="F1" s="21" t="s">
        <v>27</v>
      </c>
      <c r="G1" s="21" t="s">
        <v>39</v>
      </c>
      <c r="H1" s="7" t="s">
        <v>4</v>
      </c>
      <c r="I1" s="65" t="s">
        <v>169</v>
      </c>
      <c r="J1" s="6" t="s">
        <v>5</v>
      </c>
      <c r="K1" s="16" t="s">
        <v>17</v>
      </c>
      <c r="O1" s="20" t="e">
        <f>#REF!</f>
        <v>#REF!</v>
      </c>
      <c r="P1" s="20" t="e">
        <f>#REF!</f>
        <v>#REF!</v>
      </c>
    </row>
    <row r="2" spans="1:16" s="28" customFormat="1" ht="13">
      <c r="A2" s="28" t="s">
        <v>52</v>
      </c>
      <c r="B2" s="28" t="s">
        <v>106</v>
      </c>
      <c r="C2" s="28" t="s">
        <v>97</v>
      </c>
      <c r="D2" s="28" t="s">
        <v>33</v>
      </c>
      <c r="E2" s="45" t="s">
        <v>108</v>
      </c>
      <c r="F2" s="22">
        <v>123550</v>
      </c>
      <c r="G2" s="51">
        <f>IF(C2="CERN TA",F2*(1-$O$1)/$O$1,0)</f>
        <v>0</v>
      </c>
      <c r="H2" s="52">
        <f>SUM(F2:G2)</f>
        <v>123550</v>
      </c>
      <c r="I2" s="66">
        <v>2014</v>
      </c>
      <c r="J2" s="36" t="s">
        <v>103</v>
      </c>
      <c r="K2" s="1" t="s">
        <v>183</v>
      </c>
    </row>
    <row r="3" spans="1:16" s="28" customFormat="1" ht="13">
      <c r="A3" s="28" t="s">
        <v>52</v>
      </c>
      <c r="B3" s="28" t="s">
        <v>106</v>
      </c>
      <c r="C3" s="28" t="s">
        <v>97</v>
      </c>
      <c r="D3" s="28" t="s">
        <v>33</v>
      </c>
      <c r="E3" s="45" t="s">
        <v>108</v>
      </c>
      <c r="F3" s="22">
        <v>127256</v>
      </c>
      <c r="G3" s="51">
        <f>IF(C3="CERN TA",F3*(1-$O$1)/$O$1,0)</f>
        <v>0</v>
      </c>
      <c r="H3" s="52">
        <f>SUM(F3:G3)</f>
        <v>127256</v>
      </c>
      <c r="I3" s="66">
        <v>2015</v>
      </c>
      <c r="J3" s="36" t="s">
        <v>60</v>
      </c>
      <c r="K3" s="1" t="s">
        <v>183</v>
      </c>
    </row>
    <row r="4" spans="1:16">
      <c r="E4" s="48" t="s">
        <v>31</v>
      </c>
      <c r="F4" s="8">
        <f>SUM(F2:F3)</f>
        <v>250806</v>
      </c>
      <c r="G4" s="15">
        <f>SUM(G2:G3)</f>
        <v>0</v>
      </c>
      <c r="H4" s="15">
        <f>SUM(H2:H3)</f>
        <v>250806</v>
      </c>
      <c r="K4" s="15"/>
    </row>
    <row r="5" spans="1:16">
      <c r="E5" s="48" t="s">
        <v>172</v>
      </c>
      <c r="F5" s="8">
        <f>SUMIF($I$2:$I$2,"=2014",F$2:F$2)</f>
        <v>123550</v>
      </c>
      <c r="G5" s="8">
        <f>SUMIF($I$2:$I$2,"=2014",G$2:G$2)</f>
        <v>0</v>
      </c>
      <c r="H5" s="8">
        <f>SUMIF($I$2:$I$2,"=2014",H$2:H$2)</f>
        <v>123550</v>
      </c>
    </row>
    <row r="6" spans="1:16">
      <c r="E6" s="48" t="s">
        <v>173</v>
      </c>
      <c r="F6" s="8">
        <f>SUMIF($I$2:$I$3,"=2015",F$2:F$3)</f>
        <v>127256</v>
      </c>
      <c r="G6" s="8">
        <f>SUMIF($I$2:$I$2,"=2015",G$2:G$2)</f>
        <v>0</v>
      </c>
      <c r="H6" s="8">
        <f>SUMIF($I$2:$I$3,"=2015",H$2:H$3)</f>
        <v>127256</v>
      </c>
    </row>
  </sheetData>
  <autoFilter ref="A1:E4"/>
  <phoneticPr fontId="16" type="noConversion"/>
  <dataValidations count="4">
    <dataValidation type="list" allowBlank="1" showInputMessage="1" showErrorMessage="1" sqref="E2:E3">
      <formula1>UnivFNAL</formula1>
    </dataValidation>
    <dataValidation type="list" allowBlank="1" showInputMessage="1" showErrorMessage="1" sqref="C2:C3">
      <formula1>Institution</formula1>
    </dataValidation>
    <dataValidation type="list" allowBlank="1" showInputMessage="1" showErrorMessage="1" sqref="A2:A3">
      <formula1>Subsystem</formula1>
    </dataValidation>
    <dataValidation type="list" allowBlank="1" showInputMessage="1" showErrorMessage="1" sqref="B2:B3">
      <formula1>UpgRDSub</formula1>
    </dataValidation>
  </dataValidations>
  <pageMargins left="0.7" right="0.7" top="0.75" bottom="0.75" header="0.3" footer="0.3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S10"/>
  <sheetViews>
    <sheetView topLeftCell="H1" workbookViewId="0">
      <selection activeCell="N5" sqref="N5"/>
    </sheetView>
  </sheetViews>
  <sheetFormatPr baseColWidth="10" defaultColWidth="8.83203125" defaultRowHeight="12" x14ac:dyDescent="0"/>
  <cols>
    <col min="1" max="1" width="13" style="14" bestFit="1" customWidth="1"/>
    <col min="2" max="2" width="10.6640625" style="14" customWidth="1"/>
    <col min="3" max="3" width="17.5" style="14" customWidth="1"/>
    <col min="4" max="4" width="13.6640625" style="14" customWidth="1"/>
    <col min="5" max="5" width="9.5" style="40" customWidth="1"/>
    <col min="6" max="6" width="10" style="14" customWidth="1"/>
    <col min="7" max="7" width="12" style="14" bestFit="1" customWidth="1"/>
    <col min="8" max="8" width="12" style="14" customWidth="1"/>
    <col min="9" max="9" width="11.1640625" style="14" bestFit="1" customWidth="1"/>
    <col min="10" max="10" width="9.6640625" style="33" bestFit="1" customWidth="1"/>
    <col min="11" max="11" width="9.83203125" style="33" customWidth="1"/>
    <col min="12" max="12" width="12" style="33" bestFit="1" customWidth="1"/>
    <col min="13" max="13" width="12" style="33" customWidth="1"/>
    <col min="14" max="14" width="12.33203125" style="33" customWidth="1"/>
    <col min="15" max="15" width="12.33203125" style="67" customWidth="1"/>
    <col min="16" max="16" width="24.6640625" style="14" customWidth="1"/>
    <col min="17" max="17" width="10.6640625" style="14" bestFit="1" customWidth="1"/>
    <col min="18" max="18" width="14.5" style="14" bestFit="1" customWidth="1"/>
    <col min="19" max="19" width="10.6640625" style="14" bestFit="1" customWidth="1"/>
    <col min="20" max="16384" width="8.83203125" style="14"/>
  </cols>
  <sheetData>
    <row r="1" spans="1:19" ht="24">
      <c r="A1" s="6" t="s">
        <v>144</v>
      </c>
      <c r="B1" s="6" t="s">
        <v>6</v>
      </c>
      <c r="C1" s="6" t="s">
        <v>153</v>
      </c>
      <c r="D1" s="6" t="s">
        <v>85</v>
      </c>
      <c r="E1" s="12" t="s">
        <v>48</v>
      </c>
      <c r="F1" s="21" t="s">
        <v>29</v>
      </c>
      <c r="G1" s="6" t="s">
        <v>72</v>
      </c>
      <c r="H1" s="6" t="s">
        <v>71</v>
      </c>
      <c r="I1" s="6" t="s">
        <v>0</v>
      </c>
      <c r="J1" s="32" t="s">
        <v>1</v>
      </c>
      <c r="K1" s="32" t="s">
        <v>2</v>
      </c>
      <c r="L1" s="32" t="s">
        <v>40</v>
      </c>
      <c r="M1" s="32" t="s">
        <v>41</v>
      </c>
      <c r="N1" s="34" t="s">
        <v>42</v>
      </c>
      <c r="O1" s="68" t="s">
        <v>169</v>
      </c>
      <c r="P1" s="6" t="s">
        <v>3</v>
      </c>
      <c r="Q1" s="6"/>
      <c r="R1" s="46" t="e">
        <f>#REF!</f>
        <v>#REF!</v>
      </c>
      <c r="S1" s="20" t="e">
        <f>#REF!</f>
        <v>#REF!</v>
      </c>
    </row>
    <row r="2" spans="1:19" s="28" customFormat="1">
      <c r="A2" s="28" t="s">
        <v>52</v>
      </c>
      <c r="B2" s="28" t="s">
        <v>175</v>
      </c>
      <c r="C2" s="28" t="s">
        <v>109</v>
      </c>
      <c r="D2" s="28" t="s">
        <v>176</v>
      </c>
      <c r="E2" s="28" t="s">
        <v>33</v>
      </c>
      <c r="F2" s="28" t="s">
        <v>107</v>
      </c>
      <c r="G2" s="28" t="s">
        <v>177</v>
      </c>
      <c r="H2" s="28" t="s">
        <v>97</v>
      </c>
      <c r="I2" s="28" t="s">
        <v>110</v>
      </c>
      <c r="J2" s="50">
        <v>3723</v>
      </c>
      <c r="K2" s="50">
        <v>4</v>
      </c>
      <c r="L2" s="49">
        <f t="shared" ref="L2" si="0">K2*J2</f>
        <v>14892</v>
      </c>
      <c r="M2" s="55">
        <f>IF(D2="CERN TA",L2*(1-$R$1)/$R$1,0)</f>
        <v>0</v>
      </c>
      <c r="N2" s="55">
        <f>SUM(L2:M2)</f>
        <v>14892</v>
      </c>
      <c r="O2" s="69">
        <v>2014</v>
      </c>
      <c r="P2" s="28" t="s">
        <v>182</v>
      </c>
    </row>
    <row r="3" spans="1:19" s="20" customFormat="1">
      <c r="H3" s="70" t="s">
        <v>61</v>
      </c>
      <c r="I3" s="70" t="s">
        <v>62</v>
      </c>
      <c r="J3" s="71">
        <v>3834</v>
      </c>
      <c r="K3" s="71">
        <v>4</v>
      </c>
      <c r="L3" s="72">
        <v>15339</v>
      </c>
      <c r="M3" s="72">
        <v>0</v>
      </c>
      <c r="N3" s="72">
        <v>15339</v>
      </c>
      <c r="O3" s="73">
        <v>2015</v>
      </c>
      <c r="P3" s="70" t="s">
        <v>63</v>
      </c>
    </row>
    <row r="4" spans="1:19">
      <c r="E4" s="14"/>
      <c r="K4" s="48" t="s">
        <v>31</v>
      </c>
      <c r="L4" s="8">
        <f>SUM(L1:L3)</f>
        <v>30231</v>
      </c>
      <c r="M4" s="33">
        <f>SUM(M2:M2)</f>
        <v>0</v>
      </c>
      <c r="N4" s="33">
        <f>SUM(N2:N3)</f>
        <v>30231</v>
      </c>
    </row>
    <row r="5" spans="1:19">
      <c r="E5" s="14"/>
      <c r="K5" s="48" t="s">
        <v>172</v>
      </c>
      <c r="L5" s="8">
        <f>SUMIF($O$2:$O$3,"=2014",L$2:L$3)</f>
        <v>14892</v>
      </c>
      <c r="M5" s="8">
        <f>SUMIF($O$2:$O$3,"=2014",M$2:M$3)</f>
        <v>0</v>
      </c>
      <c r="N5" s="8">
        <f>SUMIF($O$2:$O$3,"=2014",N$2:N$3)</f>
        <v>14892</v>
      </c>
    </row>
    <row r="6" spans="1:19">
      <c r="E6" s="14"/>
      <c r="K6" s="48" t="s">
        <v>173</v>
      </c>
      <c r="L6" s="8">
        <f>SUMIF($O$2:$O$3,"=2015",L$2:L$3)</f>
        <v>15339</v>
      </c>
      <c r="M6" s="8">
        <f>SUMIF($O$2:$O$3,"=2015",M$2:M$3)</f>
        <v>0</v>
      </c>
      <c r="N6" s="8">
        <f>SUMIF($O$2:$O$3,"=2015",N$2:N$3)</f>
        <v>15339</v>
      </c>
    </row>
    <row r="7" spans="1:19">
      <c r="E7" s="14"/>
    </row>
    <row r="8" spans="1:19">
      <c r="E8" s="14"/>
    </row>
    <row r="9" spans="1:19">
      <c r="E9" s="14"/>
    </row>
    <row r="10" spans="1:19">
      <c r="E10" s="14"/>
    </row>
  </sheetData>
  <autoFilter ref="A1:P10"/>
  <phoneticPr fontId="16" type="noConversion"/>
  <dataValidations disablePrompts="1" count="5">
    <dataValidation type="list" allowBlank="1" showInputMessage="1" showErrorMessage="1" sqref="E1:E1048576">
      <formula1>Funding</formula1>
    </dataValidation>
    <dataValidation type="list" allowBlank="1" showInputMessage="1" showErrorMessage="1" sqref="B2">
      <formula1>UpgRDSub</formula1>
    </dataValidation>
    <dataValidation type="list" allowBlank="1" showInputMessage="1" showErrorMessage="1" sqref="A2:A3">
      <formula1>Subsystem</formula1>
    </dataValidation>
    <dataValidation type="list" allowBlank="1" showInputMessage="1" showErrorMessage="1" sqref="D2:D18 H2:H21">
      <formula1>Institution</formula1>
    </dataValidation>
    <dataValidation type="list" allowBlank="1" showInputMessage="1" showErrorMessage="1" sqref="G2:G23 H22:H23">
      <formula1>Position</formula1>
    </dataValidation>
  </dataValidations>
  <pageMargins left="0.7" right="0.7" top="0.75" bottom="0.75" header="0.3" footer="0.3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E1" workbookViewId="0">
      <selection activeCell="I22" sqref="I22"/>
    </sheetView>
  </sheetViews>
  <sheetFormatPr baseColWidth="10" defaultColWidth="8.83203125" defaultRowHeight="12" x14ac:dyDescent="0"/>
  <cols>
    <col min="1" max="1" width="12.5" bestFit="1" customWidth="1"/>
    <col min="2" max="3" width="10.6640625" customWidth="1"/>
    <col min="4" max="4" width="21.5" bestFit="1" customWidth="1"/>
    <col min="5" max="5" width="15" bestFit="1" customWidth="1"/>
    <col min="6" max="7" width="15" customWidth="1"/>
    <col min="8" max="8" width="12" customWidth="1"/>
    <col min="9" max="9" width="12.5" customWidth="1"/>
    <col min="10" max="10" width="13.1640625" style="8" customWidth="1"/>
    <col min="11" max="11" width="9.5" style="60" bestFit="1" customWidth="1"/>
    <col min="12" max="14" width="11.1640625" customWidth="1"/>
    <col min="15" max="15" width="11.1640625" style="64" customWidth="1"/>
    <col min="17" max="17" width="24.83203125" customWidth="1"/>
  </cols>
  <sheetData>
    <row r="1" spans="1:23" ht="24">
      <c r="A1" s="6" t="s">
        <v>144</v>
      </c>
      <c r="B1" s="6" t="s">
        <v>6</v>
      </c>
      <c r="C1" s="6" t="s">
        <v>70</v>
      </c>
      <c r="D1" s="6" t="s">
        <v>153</v>
      </c>
      <c r="E1" s="6" t="s">
        <v>85</v>
      </c>
      <c r="F1" s="6" t="s">
        <v>48</v>
      </c>
      <c r="G1" s="6" t="s">
        <v>29</v>
      </c>
      <c r="H1" s="6" t="s">
        <v>72</v>
      </c>
      <c r="I1" s="6" t="s">
        <v>71</v>
      </c>
      <c r="J1" s="57" t="s">
        <v>154</v>
      </c>
      <c r="K1" s="12" t="s">
        <v>155</v>
      </c>
      <c r="L1" s="58" t="s">
        <v>156</v>
      </c>
      <c r="M1" s="58" t="s">
        <v>157</v>
      </c>
      <c r="N1" s="58" t="s">
        <v>158</v>
      </c>
      <c r="O1" s="68" t="s">
        <v>169</v>
      </c>
      <c r="P1" s="6" t="s">
        <v>174</v>
      </c>
      <c r="Q1" s="6"/>
      <c r="R1" s="46" t="e">
        <f>#REF!</f>
        <v>#REF!</v>
      </c>
      <c r="S1" s="46" t="e">
        <f>#REF!</f>
        <v>#REF!</v>
      </c>
    </row>
    <row r="2" spans="1:23">
      <c r="D2" s="14"/>
      <c r="J2" s="13"/>
      <c r="K2" s="13"/>
      <c r="L2" s="8"/>
      <c r="M2" s="59"/>
      <c r="N2" s="8"/>
    </row>
    <row r="3" spans="1:23">
      <c r="J3" s="13"/>
      <c r="K3" s="48" t="s">
        <v>31</v>
      </c>
      <c r="L3" s="8">
        <f>SUM(L2:L2)</f>
        <v>0</v>
      </c>
      <c r="M3" s="8">
        <f>SUM(M2:M2)</f>
        <v>0</v>
      </c>
      <c r="N3" s="8">
        <f>SUM(N2:N2)</f>
        <v>0</v>
      </c>
    </row>
    <row r="4" spans="1:23">
      <c r="J4" s="13"/>
      <c r="K4" s="48" t="s">
        <v>172</v>
      </c>
      <c r="L4" s="8">
        <f>SUMIF($O$2:$O$3,"=2014",L$2:L$3)</f>
        <v>0</v>
      </c>
      <c r="M4" s="8">
        <f>SUMIF($O$2:$O$3,"=2014",M$2:M$3)</f>
        <v>0</v>
      </c>
      <c r="N4" s="8">
        <f>SUMIF($O$2:$O$3,"=2014",N$2:N$3)</f>
        <v>0</v>
      </c>
      <c r="W4" s="60"/>
    </row>
    <row r="5" spans="1:23">
      <c r="J5" s="13"/>
      <c r="K5" s="48" t="s">
        <v>173</v>
      </c>
      <c r="L5" s="8">
        <f>SUMIF($O$2:$O$3,"=2015",L$2:L$3)</f>
        <v>0</v>
      </c>
      <c r="M5" s="8">
        <f>SUMIF($O$2:$O$3,"=2015",M$2:M$3)</f>
        <v>0</v>
      </c>
      <c r="N5" s="8">
        <f>SUMIF($O$2:$O$3,"=2015",N$2:N$3)</f>
        <v>0</v>
      </c>
      <c r="W5" s="60"/>
    </row>
    <row r="6" spans="1:23">
      <c r="J6" s="13"/>
      <c r="K6" s="13"/>
      <c r="L6" s="8"/>
      <c r="M6" s="8"/>
      <c r="N6" s="8"/>
    </row>
    <row r="7" spans="1:23">
      <c r="J7" s="13"/>
      <c r="K7" s="13"/>
      <c r="L7" s="8"/>
      <c r="M7" s="8"/>
      <c r="N7" s="8"/>
    </row>
    <row r="8" spans="1:23">
      <c r="J8" s="13"/>
      <c r="K8" s="13"/>
      <c r="L8" s="8"/>
      <c r="M8" s="8"/>
      <c r="N8" s="8"/>
    </row>
    <row r="9" spans="1:23">
      <c r="J9" s="13"/>
      <c r="K9" s="13"/>
      <c r="L9" s="8"/>
      <c r="M9" s="8"/>
      <c r="N9" s="8"/>
    </row>
    <row r="10" spans="1:23">
      <c r="J10" s="13"/>
      <c r="K10" s="13"/>
      <c r="L10" s="8"/>
      <c r="M10" s="8"/>
      <c r="N10" s="8"/>
    </row>
    <row r="11" spans="1:23">
      <c r="J11" s="13"/>
      <c r="K11" s="13"/>
      <c r="L11" s="8"/>
      <c r="M11" s="8"/>
      <c r="N11" s="8"/>
    </row>
    <row r="12" spans="1:23">
      <c r="J12" s="13"/>
      <c r="K12" s="13"/>
      <c r="L12" s="8"/>
      <c r="M12" s="8"/>
      <c r="N12" s="8"/>
    </row>
    <row r="13" spans="1:23">
      <c r="J13" s="13"/>
      <c r="K13" s="13"/>
      <c r="L13" s="8"/>
      <c r="M13" s="8"/>
      <c r="N13" s="8"/>
    </row>
    <row r="14" spans="1:23">
      <c r="J14" s="13"/>
      <c r="K14" s="13"/>
      <c r="L14" s="8"/>
      <c r="M14" s="8"/>
      <c r="N14" s="8"/>
    </row>
    <row r="15" spans="1:23">
      <c r="J15" s="13"/>
      <c r="K15" s="13"/>
      <c r="L15" s="8"/>
      <c r="M15" s="8"/>
      <c r="N15" s="8"/>
    </row>
    <row r="16" spans="1:23">
      <c r="J16" s="13"/>
      <c r="K16" s="13"/>
      <c r="L16" s="8"/>
      <c r="M16" s="8"/>
      <c r="N16" s="8"/>
    </row>
    <row r="17" spans="10:14">
      <c r="J17" s="13"/>
      <c r="K17" s="13"/>
      <c r="L17" s="8"/>
      <c r="M17" s="8"/>
      <c r="N17" s="8"/>
    </row>
    <row r="18" spans="10:14">
      <c r="J18" s="13"/>
      <c r="K18" s="13"/>
      <c r="L18" s="8"/>
      <c r="M18" s="8"/>
      <c r="N18" s="8"/>
    </row>
    <row r="19" spans="10:14">
      <c r="J19" s="13"/>
      <c r="K19" s="13"/>
      <c r="L19" s="8"/>
      <c r="M19" s="8"/>
      <c r="N19" s="8"/>
    </row>
    <row r="20" spans="10:14">
      <c r="J20" s="13"/>
      <c r="K20" s="13"/>
      <c r="L20" s="8"/>
      <c r="M20" s="8"/>
      <c r="N20" s="8"/>
    </row>
  </sheetData>
  <phoneticPr fontId="16" type="noConversion"/>
  <dataValidations count="6">
    <dataValidation type="list" allowBlank="1" showInputMessage="1" showErrorMessage="1" sqref="B1:B1048576">
      <formula1>UpgRDSub</formula1>
    </dataValidation>
    <dataValidation type="list" allowBlank="1" showInputMessage="1" showErrorMessage="1" sqref="F1:F1048576">
      <formula1>Funding</formula1>
    </dataValidation>
    <dataValidation type="list" allowBlank="1" showInputMessage="1" showErrorMessage="1" sqref="G1:G1048576">
      <formula1>UnivFNAL</formula1>
    </dataValidation>
    <dataValidation type="list" allowBlank="1" showInputMessage="1" showErrorMessage="1" sqref="I2:I20 E2:E20">
      <formula1>Institution</formula1>
    </dataValidation>
    <dataValidation type="list" allowBlank="1" showInputMessage="1" showErrorMessage="1" sqref="H2:H20">
      <formula1>Position</formula1>
    </dataValidation>
    <dataValidation type="list" allowBlank="1" showInputMessage="1" showErrorMessage="1" sqref="A2:A20">
      <formula1>Subsystem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/>
  <dimension ref="A1:F7"/>
  <sheetViews>
    <sheetView workbookViewId="0">
      <selection activeCell="E23" sqref="E23"/>
    </sheetView>
  </sheetViews>
  <sheetFormatPr baseColWidth="10" defaultColWidth="8.83203125" defaultRowHeight="12" x14ac:dyDescent="0"/>
  <cols>
    <col min="1" max="1" width="12.5" bestFit="1" customWidth="1"/>
    <col min="4" max="4" width="12.33203125" bestFit="1" customWidth="1"/>
    <col min="6" max="6" width="11.6640625" bestFit="1" customWidth="1"/>
  </cols>
  <sheetData>
    <row r="1" spans="1:6">
      <c r="A1" s="41" t="s">
        <v>144</v>
      </c>
      <c r="B1" s="41" t="s">
        <v>6</v>
      </c>
      <c r="C1" s="41" t="s">
        <v>28</v>
      </c>
      <c r="D1" s="41" t="s">
        <v>43</v>
      </c>
      <c r="E1" s="56" t="s">
        <v>44</v>
      </c>
      <c r="F1" s="56" t="s">
        <v>45</v>
      </c>
    </row>
    <row r="2" spans="1:6">
      <c r="A2" t="s">
        <v>52</v>
      </c>
      <c r="B2" s="42"/>
      <c r="C2" s="42" t="s">
        <v>26</v>
      </c>
      <c r="D2" s="43">
        <f>Labor!J7</f>
        <v>1009561.72</v>
      </c>
      <c r="E2" s="43">
        <f>Labor!K7</f>
        <v>0</v>
      </c>
      <c r="F2" s="43">
        <f ca="1">Labor!L8+Labor!L9</f>
        <v>1009561.72</v>
      </c>
    </row>
    <row r="3" spans="1:6">
      <c r="A3" t="s">
        <v>52</v>
      </c>
      <c r="B3" s="42"/>
      <c r="C3" s="42" t="s">
        <v>27</v>
      </c>
      <c r="D3" s="43">
        <f>'M&amp;S'!F4</f>
        <v>250806</v>
      </c>
      <c r="E3" s="43">
        <f>'M&amp;S'!G4</f>
        <v>0</v>
      </c>
      <c r="F3" s="43">
        <f>'M&amp;S'!H4</f>
        <v>250806</v>
      </c>
    </row>
    <row r="4" spans="1:6">
      <c r="A4" t="s">
        <v>52</v>
      </c>
      <c r="B4" s="42"/>
      <c r="C4" s="42" t="s">
        <v>25</v>
      </c>
      <c r="D4" s="44">
        <f>Travel!L4</f>
        <v>30231</v>
      </c>
      <c r="E4" s="44">
        <f>Travel!M4</f>
        <v>0</v>
      </c>
      <c r="F4" s="44">
        <f>Travel!N4</f>
        <v>30231</v>
      </c>
    </row>
    <row r="5" spans="1:6">
      <c r="A5" t="s">
        <v>52</v>
      </c>
      <c r="B5" s="42"/>
      <c r="C5" s="42" t="s">
        <v>163</v>
      </c>
      <c r="D5" s="44">
        <f>COLA!L3</f>
        <v>0</v>
      </c>
      <c r="E5" s="44">
        <f>COLA!M3</f>
        <v>0</v>
      </c>
      <c r="F5" s="44">
        <f>COLA!N3</f>
        <v>0</v>
      </c>
    </row>
    <row r="6" spans="1:6">
      <c r="A6" s="42"/>
      <c r="B6" s="42"/>
      <c r="C6" s="42"/>
      <c r="D6" s="42"/>
    </row>
    <row r="7" spans="1:6">
      <c r="A7" s="42"/>
      <c r="B7" s="42"/>
      <c r="C7" s="42" t="s">
        <v>31</v>
      </c>
      <c r="D7" s="43">
        <f>SUM(D2:D6)</f>
        <v>1290598.72</v>
      </c>
      <c r="E7" s="43">
        <f t="shared" ref="E7:F7" si="0">SUM(E2:E6)</f>
        <v>0</v>
      </c>
      <c r="F7" s="43">
        <f t="shared" ca="1" si="0"/>
        <v>1290598.72</v>
      </c>
    </row>
  </sheetData>
  <phoneticPr fontId="16" type="noConversion"/>
  <dataValidations disablePrompts="1" count="1">
    <dataValidation type="list" allowBlank="1" showInputMessage="1" showErrorMessage="1" sqref="A2:A5">
      <formula1>Subsystem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I37"/>
  <sheetViews>
    <sheetView topLeftCell="A20" workbookViewId="0">
      <selection activeCell="B20" sqref="B20"/>
    </sheetView>
  </sheetViews>
  <sheetFormatPr baseColWidth="10" defaultColWidth="8.83203125" defaultRowHeight="12" x14ac:dyDescent="0"/>
  <cols>
    <col min="1" max="1" width="13.1640625" customWidth="1"/>
    <col min="2" max="2" width="7.1640625" customWidth="1"/>
    <col min="3" max="3" width="8.5" customWidth="1"/>
    <col min="4" max="4" width="6.33203125" customWidth="1"/>
    <col min="5" max="5" width="6" customWidth="1"/>
    <col min="6" max="6" width="8.1640625" customWidth="1"/>
    <col min="7" max="7" width="10.1640625" customWidth="1"/>
    <col min="8" max="8" width="8.5" customWidth="1"/>
    <col min="9" max="9" width="10.5" customWidth="1"/>
    <col min="10" max="10" width="9.1640625" customWidth="1"/>
    <col min="11" max="11" width="11.6640625" customWidth="1"/>
  </cols>
  <sheetData>
    <row r="1" spans="1:2">
      <c r="A1" s="26" t="s">
        <v>85</v>
      </c>
      <c r="B1" t="s">
        <v>22</v>
      </c>
    </row>
    <row r="3" spans="1:2" ht="12" customHeight="1">
      <c r="A3" s="17" t="s">
        <v>23</v>
      </c>
    </row>
    <row r="4" spans="1:2">
      <c r="A4" s="26" t="s">
        <v>20</v>
      </c>
      <c r="B4" t="s">
        <v>31</v>
      </c>
    </row>
    <row r="5" spans="1:2">
      <c r="A5" s="18" t="s">
        <v>15</v>
      </c>
      <c r="B5" s="19">
        <v>10000</v>
      </c>
    </row>
    <row r="6" spans="1:2">
      <c r="A6" s="18" t="s">
        <v>14</v>
      </c>
      <c r="B6" s="19">
        <v>45000</v>
      </c>
    </row>
    <row r="7" spans="1:2">
      <c r="A7" s="18" t="s">
        <v>12</v>
      </c>
      <c r="B7" s="19">
        <v>40500</v>
      </c>
    </row>
    <row r="8" spans="1:2">
      <c r="A8" s="18" t="s">
        <v>13</v>
      </c>
      <c r="B8" s="19">
        <v>6000</v>
      </c>
    </row>
    <row r="9" spans="1:2">
      <c r="A9" s="18" t="s">
        <v>50</v>
      </c>
      <c r="B9" s="19">
        <v>247000</v>
      </c>
    </row>
    <row r="10" spans="1:2">
      <c r="A10" s="18" t="s">
        <v>181</v>
      </c>
      <c r="B10" s="19">
        <v>212600</v>
      </c>
    </row>
    <row r="11" spans="1:2">
      <c r="A11" s="18" t="s">
        <v>46</v>
      </c>
      <c r="B11" s="19">
        <v>3000</v>
      </c>
    </row>
    <row r="12" spans="1:2">
      <c r="A12" s="18" t="s">
        <v>21</v>
      </c>
      <c r="B12" s="19">
        <v>564100</v>
      </c>
    </row>
    <row r="19" spans="1:9">
      <c r="A19" s="17" t="s">
        <v>23</v>
      </c>
      <c r="B19" s="17" t="s">
        <v>19</v>
      </c>
    </row>
    <row r="20" spans="1:9">
      <c r="A20" s="17" t="s">
        <v>20</v>
      </c>
      <c r="B20" t="s">
        <v>15</v>
      </c>
      <c r="C20" t="s">
        <v>14</v>
      </c>
      <c r="D20" t="s">
        <v>12</v>
      </c>
      <c r="E20" t="s">
        <v>13</v>
      </c>
      <c r="F20" t="s">
        <v>46</v>
      </c>
      <c r="G20" t="s">
        <v>50</v>
      </c>
      <c r="H20" t="s">
        <v>181</v>
      </c>
      <c r="I20" t="s">
        <v>21</v>
      </c>
    </row>
    <row r="21" spans="1:9">
      <c r="A21" s="24" t="s">
        <v>87</v>
      </c>
      <c r="B21" s="25"/>
      <c r="C21" s="25"/>
      <c r="D21" s="25"/>
      <c r="E21" s="25"/>
      <c r="F21" s="25"/>
      <c r="G21" s="25">
        <v>15000</v>
      </c>
      <c r="H21" s="25"/>
      <c r="I21" s="25">
        <v>15000</v>
      </c>
    </row>
    <row r="22" spans="1:9">
      <c r="A22" s="24" t="s">
        <v>88</v>
      </c>
      <c r="B22" s="25"/>
      <c r="C22" s="25"/>
      <c r="D22" s="25"/>
      <c r="E22" s="25">
        <v>3000</v>
      </c>
      <c r="F22" s="25"/>
      <c r="G22" s="25"/>
      <c r="H22" s="25"/>
      <c r="I22" s="25">
        <v>3000</v>
      </c>
    </row>
    <row r="23" spans="1:9">
      <c r="A23" s="24" t="s">
        <v>86</v>
      </c>
      <c r="B23" s="25"/>
      <c r="C23" s="25"/>
      <c r="D23" s="25"/>
      <c r="E23" s="25"/>
      <c r="F23" s="25"/>
      <c r="G23" s="25">
        <v>60000</v>
      </c>
      <c r="H23" s="25"/>
      <c r="I23" s="25">
        <v>60000</v>
      </c>
    </row>
    <row r="24" spans="1:9">
      <c r="A24" s="24" t="s">
        <v>97</v>
      </c>
      <c r="B24" s="25">
        <v>10000</v>
      </c>
      <c r="C24" s="25">
        <v>45000</v>
      </c>
      <c r="D24" s="25"/>
      <c r="E24" s="25">
        <v>3000</v>
      </c>
      <c r="F24" s="25">
        <v>3000</v>
      </c>
      <c r="G24" s="25">
        <v>95000</v>
      </c>
      <c r="H24" s="25"/>
      <c r="I24" s="25">
        <v>156000</v>
      </c>
    </row>
    <row r="25" spans="1:9">
      <c r="A25" s="24" t="s">
        <v>96</v>
      </c>
      <c r="B25" s="25"/>
      <c r="C25" s="25"/>
      <c r="D25" s="25"/>
      <c r="E25" s="25"/>
      <c r="F25" s="25"/>
      <c r="G25" s="25"/>
      <c r="H25" s="25">
        <v>36000</v>
      </c>
      <c r="I25" s="25">
        <v>36000</v>
      </c>
    </row>
    <row r="26" spans="1:9">
      <c r="A26" s="24" t="s">
        <v>112</v>
      </c>
      <c r="B26" s="25"/>
      <c r="C26" s="25"/>
      <c r="D26" s="25"/>
      <c r="E26" s="25"/>
      <c r="F26" s="25"/>
      <c r="G26" s="25">
        <v>35000</v>
      </c>
      <c r="H26" s="25"/>
      <c r="I26" s="25">
        <v>35000</v>
      </c>
    </row>
    <row r="27" spans="1:9">
      <c r="A27" s="24" t="s">
        <v>113</v>
      </c>
      <c r="B27" s="25"/>
      <c r="C27" s="25"/>
      <c r="D27" s="25"/>
      <c r="E27" s="25"/>
      <c r="F27" s="25"/>
      <c r="G27" s="25">
        <v>10000</v>
      </c>
      <c r="H27" s="25"/>
      <c r="I27" s="25">
        <v>10000</v>
      </c>
    </row>
    <row r="28" spans="1:9">
      <c r="A28" s="24" t="s">
        <v>119</v>
      </c>
      <c r="B28" s="25"/>
      <c r="C28" s="25"/>
      <c r="D28" s="25"/>
      <c r="E28" s="25"/>
      <c r="F28" s="25"/>
      <c r="G28" s="25">
        <v>10000</v>
      </c>
      <c r="H28" s="25"/>
      <c r="I28" s="25">
        <v>10000</v>
      </c>
    </row>
    <row r="29" spans="1:9">
      <c r="A29" s="24" t="s">
        <v>121</v>
      </c>
      <c r="B29" s="25"/>
      <c r="C29" s="25"/>
      <c r="D29" s="25"/>
      <c r="E29" s="25"/>
      <c r="F29" s="25"/>
      <c r="G29" s="25">
        <v>5000</v>
      </c>
      <c r="H29" s="25"/>
      <c r="I29" s="25">
        <v>5000</v>
      </c>
    </row>
    <row r="30" spans="1:9">
      <c r="A30" s="24" t="s">
        <v>123</v>
      </c>
      <c r="B30" s="25"/>
      <c r="C30" s="25"/>
      <c r="D30" s="25">
        <v>35500</v>
      </c>
      <c r="E30" s="25"/>
      <c r="F30" s="25"/>
      <c r="G30" s="25"/>
      <c r="H30" s="25"/>
      <c r="I30" s="25">
        <v>35500</v>
      </c>
    </row>
    <row r="31" spans="1:9">
      <c r="A31" s="24" t="s">
        <v>125</v>
      </c>
      <c r="B31" s="25"/>
      <c r="C31" s="25"/>
      <c r="D31" s="25"/>
      <c r="E31" s="25"/>
      <c r="F31" s="25"/>
      <c r="G31" s="25"/>
      <c r="H31" s="25">
        <v>71600</v>
      </c>
      <c r="I31" s="25">
        <v>71600</v>
      </c>
    </row>
    <row r="32" spans="1:9">
      <c r="A32" s="24" t="s">
        <v>131</v>
      </c>
      <c r="B32" s="25"/>
      <c r="C32" s="25"/>
      <c r="D32" s="25"/>
      <c r="E32" s="25"/>
      <c r="F32" s="25"/>
      <c r="G32" s="25"/>
      <c r="H32" s="25">
        <v>3000</v>
      </c>
      <c r="I32" s="25">
        <v>3000</v>
      </c>
    </row>
    <row r="33" spans="1:9">
      <c r="A33" s="24" t="s">
        <v>140</v>
      </c>
      <c r="B33" s="25"/>
      <c r="C33" s="25"/>
      <c r="D33" s="25"/>
      <c r="E33" s="25"/>
      <c r="F33" s="25"/>
      <c r="G33" s="25">
        <v>10000</v>
      </c>
      <c r="H33" s="25"/>
      <c r="I33" s="25">
        <v>10000</v>
      </c>
    </row>
    <row r="34" spans="1:9">
      <c r="A34" s="24" t="s">
        <v>142</v>
      </c>
      <c r="B34" s="25"/>
      <c r="C34" s="25"/>
      <c r="D34" s="25"/>
      <c r="E34" s="25"/>
      <c r="F34" s="25"/>
      <c r="G34" s="25"/>
      <c r="H34" s="25">
        <v>102000</v>
      </c>
      <c r="I34" s="25">
        <v>102000</v>
      </c>
    </row>
    <row r="35" spans="1:9">
      <c r="A35" s="24" t="s">
        <v>99</v>
      </c>
      <c r="B35" s="25"/>
      <c r="C35" s="25"/>
      <c r="D35" s="25"/>
      <c r="E35" s="25"/>
      <c r="F35" s="25"/>
      <c r="G35" s="25">
        <v>7000</v>
      </c>
      <c r="H35" s="25"/>
      <c r="I35" s="25">
        <v>7000</v>
      </c>
    </row>
    <row r="36" spans="1:9">
      <c r="A36" s="24" t="s">
        <v>114</v>
      </c>
      <c r="B36" s="25"/>
      <c r="C36" s="25"/>
      <c r="D36" s="25">
        <v>5000</v>
      </c>
      <c r="E36" s="25"/>
      <c r="F36" s="25"/>
      <c r="G36" s="25"/>
      <c r="H36" s="25"/>
      <c r="I36" s="25">
        <v>5000</v>
      </c>
    </row>
    <row r="37" spans="1:9">
      <c r="A37" s="24" t="s">
        <v>21</v>
      </c>
      <c r="B37" s="25">
        <v>10000</v>
      </c>
      <c r="C37" s="25">
        <v>45000</v>
      </c>
      <c r="D37" s="25">
        <v>40500</v>
      </c>
      <c r="E37" s="25">
        <v>6000</v>
      </c>
      <c r="F37" s="25">
        <v>3000</v>
      </c>
      <c r="G37" s="25">
        <v>247000</v>
      </c>
      <c r="H37" s="25">
        <v>212600</v>
      </c>
      <c r="I37" s="25">
        <v>564100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B2:H52"/>
  <sheetViews>
    <sheetView workbookViewId="0">
      <selection activeCell="H5" sqref="H5"/>
    </sheetView>
  </sheetViews>
  <sheetFormatPr baseColWidth="10" defaultColWidth="8.83203125" defaultRowHeight="12" x14ac:dyDescent="0"/>
  <cols>
    <col min="6" max="6" width="13.33203125" bestFit="1" customWidth="1"/>
  </cols>
  <sheetData>
    <row r="2" spans="2:8">
      <c r="B2" s="2" t="s">
        <v>72</v>
      </c>
      <c r="D2" s="3" t="s">
        <v>85</v>
      </c>
      <c r="F2" s="3" t="s">
        <v>144</v>
      </c>
      <c r="H2" s="38" t="s">
        <v>48</v>
      </c>
    </row>
    <row r="3" spans="2:8">
      <c r="B3" t="s">
        <v>82</v>
      </c>
      <c r="D3" s="4" t="s">
        <v>86</v>
      </c>
      <c r="F3" t="s">
        <v>145</v>
      </c>
      <c r="H3" s="37" t="s">
        <v>33</v>
      </c>
    </row>
    <row r="4" spans="2:8">
      <c r="B4" t="s">
        <v>79</v>
      </c>
      <c r="D4" t="s">
        <v>87</v>
      </c>
      <c r="F4" t="s">
        <v>146</v>
      </c>
      <c r="H4" s="37" t="s">
        <v>34</v>
      </c>
    </row>
    <row r="5" spans="2:8">
      <c r="B5" t="s">
        <v>80</v>
      </c>
      <c r="D5" t="s">
        <v>88</v>
      </c>
      <c r="F5" t="s">
        <v>147</v>
      </c>
      <c r="H5" s="37" t="s">
        <v>47</v>
      </c>
    </row>
    <row r="6" spans="2:8">
      <c r="B6" t="s">
        <v>78</v>
      </c>
      <c r="D6" t="s">
        <v>89</v>
      </c>
      <c r="F6" t="s">
        <v>148</v>
      </c>
      <c r="H6" s="37"/>
    </row>
    <row r="7" spans="2:8">
      <c r="B7" t="s">
        <v>76</v>
      </c>
      <c r="D7" t="s">
        <v>90</v>
      </c>
      <c r="F7" t="s">
        <v>149</v>
      </c>
      <c r="H7" s="38" t="s">
        <v>58</v>
      </c>
    </row>
    <row r="8" spans="2:8">
      <c r="B8" t="s">
        <v>73</v>
      </c>
      <c r="D8" s="5" t="s">
        <v>91</v>
      </c>
      <c r="F8" t="s">
        <v>150</v>
      </c>
      <c r="H8" s="37" t="s">
        <v>30</v>
      </c>
    </row>
    <row r="9" spans="2:8">
      <c r="B9" t="s">
        <v>74</v>
      </c>
      <c r="D9" t="s">
        <v>92</v>
      </c>
      <c r="F9" t="s">
        <v>151</v>
      </c>
      <c r="H9" s="37" t="s">
        <v>36</v>
      </c>
    </row>
    <row r="10" spans="2:8">
      <c r="B10" t="s">
        <v>77</v>
      </c>
      <c r="D10" s="5" t="s">
        <v>93</v>
      </c>
      <c r="F10" t="s">
        <v>152</v>
      </c>
      <c r="H10" s="37" t="s">
        <v>35</v>
      </c>
    </row>
    <row r="11" spans="2:8">
      <c r="B11" t="s">
        <v>75</v>
      </c>
      <c r="D11" t="s">
        <v>94</v>
      </c>
      <c r="F11" t="s">
        <v>51</v>
      </c>
      <c r="H11" s="37" t="s">
        <v>56</v>
      </c>
    </row>
    <row r="12" spans="2:8">
      <c r="B12" t="s">
        <v>81</v>
      </c>
      <c r="D12" t="s">
        <v>95</v>
      </c>
      <c r="F12" t="s">
        <v>52</v>
      </c>
      <c r="H12" s="37" t="s">
        <v>57</v>
      </c>
    </row>
    <row r="13" spans="2:8">
      <c r="B13" t="s">
        <v>84</v>
      </c>
      <c r="D13" t="s">
        <v>96</v>
      </c>
      <c r="H13" s="37" t="s">
        <v>24</v>
      </c>
    </row>
    <row r="14" spans="2:8">
      <c r="B14" t="s">
        <v>83</v>
      </c>
      <c r="D14" t="s">
        <v>97</v>
      </c>
    </row>
    <row r="15" spans="2:8">
      <c r="D15" t="s">
        <v>98</v>
      </c>
    </row>
    <row r="16" spans="2:8">
      <c r="D16" t="s">
        <v>99</v>
      </c>
      <c r="F16" s="3" t="s">
        <v>9</v>
      </c>
    </row>
    <row r="17" spans="4:6">
      <c r="D17" t="s">
        <v>100</v>
      </c>
      <c r="F17" s="37" t="s">
        <v>49</v>
      </c>
    </row>
    <row r="18" spans="4:6">
      <c r="D18" t="s">
        <v>101</v>
      </c>
      <c r="F18" s="37" t="s">
        <v>50</v>
      </c>
    </row>
    <row r="19" spans="4:6">
      <c r="D19" t="s">
        <v>102</v>
      </c>
      <c r="F19" s="37" t="s">
        <v>10</v>
      </c>
    </row>
    <row r="20" spans="4:6">
      <c r="D20" s="5" t="s">
        <v>111</v>
      </c>
      <c r="F20" s="37" t="s">
        <v>16</v>
      </c>
    </row>
    <row r="21" spans="4:6">
      <c r="D21" t="s">
        <v>112</v>
      </c>
      <c r="F21" s="37" t="s">
        <v>15</v>
      </c>
    </row>
    <row r="22" spans="4:6">
      <c r="D22" t="s">
        <v>113</v>
      </c>
      <c r="F22" s="37" t="s">
        <v>14</v>
      </c>
    </row>
    <row r="23" spans="4:6">
      <c r="D23" t="s">
        <v>114</v>
      </c>
      <c r="F23" s="37" t="s">
        <v>46</v>
      </c>
    </row>
    <row r="24" spans="4:6">
      <c r="D24" t="s">
        <v>115</v>
      </c>
      <c r="F24" s="37" t="s">
        <v>12</v>
      </c>
    </row>
    <row r="25" spans="4:6">
      <c r="D25" t="s">
        <v>116</v>
      </c>
      <c r="F25" s="37" t="s">
        <v>13</v>
      </c>
    </row>
    <row r="26" spans="4:6">
      <c r="D26" t="s">
        <v>117</v>
      </c>
      <c r="F26" s="37" t="s">
        <v>181</v>
      </c>
    </row>
    <row r="27" spans="4:6">
      <c r="D27" t="s">
        <v>118</v>
      </c>
      <c r="F27" t="s">
        <v>11</v>
      </c>
    </row>
    <row r="28" spans="4:6">
      <c r="D28" t="s">
        <v>119</v>
      </c>
      <c r="F28" s="37" t="s">
        <v>53</v>
      </c>
    </row>
    <row r="29" spans="4:6">
      <c r="D29" t="s">
        <v>120</v>
      </c>
      <c r="F29" s="37" t="s">
        <v>54</v>
      </c>
    </row>
    <row r="30" spans="4:6">
      <c r="D30" t="s">
        <v>121</v>
      </c>
      <c r="F30" s="37" t="s">
        <v>55</v>
      </c>
    </row>
    <row r="31" spans="4:6">
      <c r="D31" t="s">
        <v>122</v>
      </c>
    </row>
    <row r="32" spans="4:6">
      <c r="D32" t="s">
        <v>123</v>
      </c>
    </row>
    <row r="33" spans="4:4">
      <c r="D33" t="s">
        <v>124</v>
      </c>
    </row>
    <row r="34" spans="4:4">
      <c r="D34" t="s">
        <v>125</v>
      </c>
    </row>
    <row r="35" spans="4:4">
      <c r="D35" t="s">
        <v>126</v>
      </c>
    </row>
    <row r="36" spans="4:4">
      <c r="D36" s="5" t="s">
        <v>127</v>
      </c>
    </row>
    <row r="37" spans="4:4">
      <c r="D37" t="s">
        <v>128</v>
      </c>
    </row>
    <row r="38" spans="4:4">
      <c r="D38" t="s">
        <v>129</v>
      </c>
    </row>
    <row r="39" spans="4:4">
      <c r="D39" t="s">
        <v>130</v>
      </c>
    </row>
    <row r="40" spans="4:4">
      <c r="D40" t="s">
        <v>131</v>
      </c>
    </row>
    <row r="41" spans="4:4">
      <c r="D41" t="s">
        <v>132</v>
      </c>
    </row>
    <row r="42" spans="4:4">
      <c r="D42" t="s">
        <v>133</v>
      </c>
    </row>
    <row r="43" spans="4:4">
      <c r="D43" t="s">
        <v>134</v>
      </c>
    </row>
    <row r="44" spans="4:4">
      <c r="D44" t="s">
        <v>135</v>
      </c>
    </row>
    <row r="45" spans="4:4">
      <c r="D45" t="s">
        <v>136</v>
      </c>
    </row>
    <row r="46" spans="4:4">
      <c r="D46" t="s">
        <v>137</v>
      </c>
    </row>
    <row r="47" spans="4:4">
      <c r="D47" t="s">
        <v>138</v>
      </c>
    </row>
    <row r="48" spans="4:4">
      <c r="D48" t="s">
        <v>139</v>
      </c>
    </row>
    <row r="49" spans="4:4">
      <c r="D49" t="s">
        <v>140</v>
      </c>
    </row>
    <row r="50" spans="4:4">
      <c r="D50" s="5" t="s">
        <v>141</v>
      </c>
    </row>
    <row r="51" spans="4:4">
      <c r="D51" t="s">
        <v>142</v>
      </c>
    </row>
    <row r="52" spans="4:4">
      <c r="D52" t="s">
        <v>143</v>
      </c>
    </row>
  </sheetData>
  <sortState ref="B3:B12">
    <sortCondition ref="B3:B12"/>
  </sortState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Labor</vt:lpstr>
      <vt:lpstr>M&amp;S</vt:lpstr>
      <vt:lpstr>Travel</vt:lpstr>
      <vt:lpstr>COLA</vt:lpstr>
      <vt:lpstr>Auto Summary</vt:lpstr>
      <vt:lpstr>M&amp;Sbysub</vt:lpstr>
      <vt:lpstr>Lists</vt:lpstr>
    </vt:vector>
  </TitlesOfParts>
  <Company>Fermi National Accelerator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</dc:creator>
  <cp:lastModifiedBy>Ted Liu</cp:lastModifiedBy>
  <dcterms:created xsi:type="dcterms:W3CDTF">2010-06-13T13:50:12Z</dcterms:created>
  <dcterms:modified xsi:type="dcterms:W3CDTF">2013-12-30T22:05:44Z</dcterms:modified>
</cp:coreProperties>
</file>