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c2f1ce5a9bef2609/Documents/_work/_cashflow/"/>
    </mc:Choice>
  </mc:AlternateContent>
  <xr:revisionPtr revIDLastSave="906" documentId="8_{76A62A6E-EFAA-40B7-AC58-600851CB4D3C}" xr6:coauthVersionLast="47" xr6:coauthVersionMax="47" xr10:uidLastSave="{E86C2E92-A429-45CF-9D95-5DD2982F90F9}"/>
  <bookViews>
    <workbookView xWindow="-108" yWindow="-108" windowWidth="23256" windowHeight="13176" firstSheet="2" activeTab="2" xr2:uid="{6ED3ED1A-D393-4E7A-B049-9877C4B8A338}"/>
  </bookViews>
  <sheets>
    <sheet name="livelihood_student" sheetId="1" r:id="rId1"/>
    <sheet name="livelihood_graduate" sheetId="7" r:id="rId2"/>
    <sheet name="CF_2024" sheetId="8" r:id="rId3"/>
    <sheet name="CF_2025" sheetId="9" r:id="rId4"/>
  </sheets>
  <definedNames>
    <definedName name="_xlnm._FilterDatabase" localSheetId="1" hidden="1">livelihood_graduate!$B$13:$AC$13</definedName>
    <definedName name="_xlnm._FilterDatabase" localSheetId="0" hidden="1">livelihood_student!$C$17:$AA$17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8" l="1"/>
  <c r="L18" i="8" l="1"/>
  <c r="G15" i="9"/>
  <c r="F15" i="9"/>
  <c r="E15" i="9"/>
  <c r="D15" i="9"/>
  <c r="M29" i="8"/>
  <c r="L29" i="8"/>
  <c r="L28" i="8"/>
  <c r="R24" i="8"/>
  <c r="O22" i="8"/>
  <c r="N27" i="8"/>
  <c r="L27" i="8"/>
  <c r="G38" i="8"/>
  <c r="C43" i="8" l="1"/>
  <c r="F38" i="8" s="1"/>
  <c r="J16" i="8"/>
  <c r="I16" i="8"/>
  <c r="H16" i="8"/>
  <c r="G16" i="8"/>
  <c r="F16" i="8"/>
  <c r="E16" i="8"/>
  <c r="G42" i="8"/>
  <c r="G43" i="8"/>
  <c r="G40" i="8"/>
  <c r="G41" i="8"/>
  <c r="G39" i="8"/>
  <c r="L16" i="8" s="1"/>
  <c r="K16" i="8"/>
  <c r="I41" i="9" l="1"/>
  <c r="D41" i="9"/>
  <c r="E27" i="9"/>
  <c r="D27" i="9"/>
  <c r="N26" i="8"/>
  <c r="N25" i="8"/>
  <c r="N24" i="8"/>
  <c r="N22" i="8"/>
  <c r="L23" i="8"/>
  <c r="N23" i="8" s="1"/>
  <c r="L19" i="8"/>
  <c r="D26" i="9"/>
  <c r="I37" i="9" l="1"/>
  <c r="L8" i="8" l="1"/>
  <c r="P32" i="8"/>
  <c r="R32" i="8" s="1"/>
  <c r="P31" i="8"/>
  <c r="R31" i="8" s="1"/>
  <c r="Q31" i="8" l="1"/>
  <c r="S31" i="8"/>
  <c r="D28" i="9"/>
  <c r="T31" i="8" l="1"/>
  <c r="T32" i="8"/>
  <c r="L6" i="8"/>
  <c r="K8" i="8" l="1"/>
  <c r="K18" i="8"/>
  <c r="I8" i="8"/>
  <c r="I18" i="8"/>
  <c r="J8" i="8"/>
  <c r="J18" i="8"/>
  <c r="O39" i="9"/>
  <c r="O38" i="9"/>
  <c r="O37" i="9"/>
  <c r="O36" i="9"/>
  <c r="O35" i="9"/>
  <c r="N36" i="9" l="1"/>
  <c r="N37" i="9"/>
  <c r="N38" i="9"/>
  <c r="N39" i="9"/>
  <c r="N35" i="9"/>
  <c r="J41" i="9"/>
  <c r="E41" i="9"/>
  <c r="F41" i="9" s="1"/>
  <c r="D40" i="9"/>
  <c r="D36" i="9"/>
  <c r="D37" i="9"/>
  <c r="D38" i="9"/>
  <c r="D39" i="9"/>
  <c r="D35" i="9"/>
  <c r="K26" i="9"/>
  <c r="K27" i="9" s="1"/>
  <c r="K28" i="9" s="1"/>
  <c r="O25" i="9"/>
  <c r="L25" i="9"/>
  <c r="E5" i="9"/>
  <c r="F5" i="9" s="1"/>
  <c r="K27" i="8"/>
  <c r="I25" i="9"/>
  <c r="P22" i="8"/>
  <c r="K7" i="8"/>
  <c r="F25" i="9"/>
  <c r="K19" i="8"/>
  <c r="K6" i="8"/>
  <c r="M6" i="8" s="1"/>
  <c r="J7" i="8"/>
  <c r="R22" i="8"/>
  <c r="K23" i="8"/>
  <c r="I27" i="8"/>
  <c r="H22" i="8"/>
  <c r="J22" i="8"/>
  <c r="P22" i="9"/>
  <c r="P18" i="9"/>
  <c r="P12" i="9"/>
  <c r="P17" i="9"/>
  <c r="P6" i="9"/>
  <c r="O20" i="9"/>
  <c r="N20" i="9"/>
  <c r="M20" i="9"/>
  <c r="L20" i="9"/>
  <c r="K20" i="9"/>
  <c r="J20" i="9"/>
  <c r="I20" i="9"/>
  <c r="H20" i="9"/>
  <c r="G20" i="9"/>
  <c r="F20" i="9"/>
  <c r="E20" i="9"/>
  <c r="D20" i="9"/>
  <c r="O14" i="9"/>
  <c r="N14" i="9"/>
  <c r="M14" i="9"/>
  <c r="L14" i="9"/>
  <c r="K14" i="9"/>
  <c r="J14" i="9"/>
  <c r="I14" i="9"/>
  <c r="H14" i="9"/>
  <c r="G14" i="9"/>
  <c r="F14" i="9"/>
  <c r="E14" i="9"/>
  <c r="D14" i="9"/>
  <c r="D8" i="9"/>
  <c r="P24" i="9"/>
  <c r="P23" i="9"/>
  <c r="P21" i="9"/>
  <c r="P19" i="9"/>
  <c r="P16" i="9"/>
  <c r="P15" i="9"/>
  <c r="P13" i="9"/>
  <c r="P11" i="9"/>
  <c r="P10" i="9"/>
  <c r="P9" i="9"/>
  <c r="P7" i="9"/>
  <c r="P4" i="9"/>
  <c r="I26" i="8"/>
  <c r="M26" i="8" s="1"/>
  <c r="I25" i="8"/>
  <c r="I24" i="8"/>
  <c r="M24" i="8" s="1"/>
  <c r="I22" i="8"/>
  <c r="P14" i="9"/>
  <c r="J25" i="8"/>
  <c r="J24" i="8"/>
  <c r="J27" i="8"/>
  <c r="G29" i="8"/>
  <c r="F15" i="8"/>
  <c r="F9" i="8" s="1"/>
  <c r="G15" i="8"/>
  <c r="H15" i="8"/>
  <c r="I15" i="8"/>
  <c r="I9" i="8" s="1"/>
  <c r="J15" i="8"/>
  <c r="L15" i="8"/>
  <c r="K15" i="8"/>
  <c r="F18" i="8"/>
  <c r="G20" i="8"/>
  <c r="G18" i="8"/>
  <c r="H18" i="8"/>
  <c r="E18" i="8"/>
  <c r="H4" i="8"/>
  <c r="G4" i="8"/>
  <c r="G5" i="8"/>
  <c r="M5" i="8" s="1"/>
  <c r="E12" i="8"/>
  <c r="E14" i="8"/>
  <c r="E13" i="8"/>
  <c r="E11" i="8"/>
  <c r="E10" i="8"/>
  <c r="E4" i="8"/>
  <c r="D18" i="8"/>
  <c r="D3" i="8"/>
  <c r="AE5" i="7"/>
  <c r="D22" i="8"/>
  <c r="F22" i="8" s="1"/>
  <c r="F29" i="8" s="1"/>
  <c r="AF5" i="7"/>
  <c r="D4" i="8"/>
  <c r="D10" i="8" s="1"/>
  <c r="D17" i="8"/>
  <c r="D19" i="8"/>
  <c r="F19" i="8" s="1"/>
  <c r="H45" i="8"/>
  <c r="AF7" i="7"/>
  <c r="AF11" i="7"/>
  <c r="AE7" i="7"/>
  <c r="AD7" i="7"/>
  <c r="AD5" i="7"/>
  <c r="AD12" i="7"/>
  <c r="AG12" i="7"/>
  <c r="AB7" i="7"/>
  <c r="AC7" i="7"/>
  <c r="AC5" i="7"/>
  <c r="AG6" i="7"/>
  <c r="AC4" i="7"/>
  <c r="AA7" i="7"/>
  <c r="AA9" i="7"/>
  <c r="Z7" i="7"/>
  <c r="Z11" i="7"/>
  <c r="AG11" i="7"/>
  <c r="Z10" i="7"/>
  <c r="Z9" i="7"/>
  <c r="Y7" i="7"/>
  <c r="X7" i="7"/>
  <c r="X8" i="7"/>
  <c r="X4" i="7"/>
  <c r="X10" i="7"/>
  <c r="W7" i="7"/>
  <c r="W8" i="7"/>
  <c r="W10" i="7"/>
  <c r="V7" i="7"/>
  <c r="V10" i="7"/>
  <c r="U7" i="7"/>
  <c r="U8" i="7"/>
  <c r="T7" i="7"/>
  <c r="S7" i="7"/>
  <c r="R7" i="7"/>
  <c r="R10" i="7"/>
  <c r="Q7" i="7"/>
  <c r="Q9" i="7"/>
  <c r="Q4" i="7"/>
  <c r="P9" i="7"/>
  <c r="O7" i="7"/>
  <c r="O10" i="7"/>
  <c r="M7" i="7"/>
  <c r="N7" i="7"/>
  <c r="N10" i="7"/>
  <c r="Q10" i="7"/>
  <c r="P10" i="7"/>
  <c r="L7" i="7"/>
  <c r="E8" i="7"/>
  <c r="L4" i="7"/>
  <c r="K7" i="7"/>
  <c r="J7" i="7"/>
  <c r="M10" i="7"/>
  <c r="L10" i="7"/>
  <c r="K10" i="7"/>
  <c r="J10" i="7"/>
  <c r="I7" i="7"/>
  <c r="H7" i="7"/>
  <c r="G7" i="7"/>
  <c r="F7" i="7"/>
  <c r="E7" i="7"/>
  <c r="E4" i="7"/>
  <c r="E5" i="7"/>
  <c r="N5" i="7"/>
  <c r="L5" i="7"/>
  <c r="M5" i="7"/>
  <c r="D7" i="7"/>
  <c r="D8" i="7"/>
  <c r="C7" i="7"/>
  <c r="B7" i="7"/>
  <c r="D5" i="7"/>
  <c r="F5" i="7"/>
  <c r="G5" i="7"/>
  <c r="H5" i="7"/>
  <c r="I5" i="7"/>
  <c r="J5" i="7"/>
  <c r="K5" i="7"/>
  <c r="C5" i="7"/>
  <c r="AA12" i="1"/>
  <c r="B5" i="7"/>
  <c r="AA8" i="1"/>
  <c r="Z12" i="1"/>
  <c r="Z11" i="1"/>
  <c r="Z8" i="1"/>
  <c r="Y12" i="1"/>
  <c r="Y11" i="1"/>
  <c r="AA11" i="1"/>
  <c r="X12" i="1"/>
  <c r="Y8" i="1"/>
  <c r="W12" i="1"/>
  <c r="AG4" i="7"/>
  <c r="AG10" i="7"/>
  <c r="AG8" i="7"/>
  <c r="AG9" i="7"/>
  <c r="AG5" i="7"/>
  <c r="AG7" i="7"/>
  <c r="V12" i="1"/>
  <c r="U12" i="1"/>
  <c r="T12" i="1"/>
  <c r="S12" i="1"/>
  <c r="B6" i="1"/>
  <c r="B5" i="1"/>
  <c r="T11" i="1"/>
  <c r="U6" i="1"/>
  <c r="S6" i="1"/>
  <c r="R12" i="1"/>
  <c r="Q12" i="1"/>
  <c r="P12" i="1"/>
  <c r="T15" i="1"/>
  <c r="Q15" i="1"/>
  <c r="O12" i="1"/>
  <c r="Q11" i="1"/>
  <c r="R11" i="1"/>
  <c r="S11" i="1"/>
  <c r="U11" i="1"/>
  <c r="V11" i="1"/>
  <c r="W11" i="1"/>
  <c r="X11" i="1"/>
  <c r="P11" i="1"/>
  <c r="S15" i="1"/>
  <c r="R15" i="1"/>
  <c r="M12" i="1"/>
  <c r="M8" i="1"/>
  <c r="L12" i="1"/>
  <c r="K12" i="1"/>
  <c r="J12" i="1"/>
  <c r="I12" i="1"/>
  <c r="H12" i="1"/>
  <c r="G12" i="1"/>
  <c r="F12" i="1"/>
  <c r="E12" i="1"/>
  <c r="C12" i="1"/>
  <c r="C8" i="1"/>
  <c r="AB5" i="1"/>
  <c r="B17" i="1"/>
  <c r="C5" i="1"/>
  <c r="AB14" i="1"/>
  <c r="AB16" i="1"/>
  <c r="C17" i="1"/>
  <c r="D5" i="1"/>
  <c r="AB7" i="1"/>
  <c r="AB8" i="1"/>
  <c r="AB9" i="1"/>
  <c r="AB10" i="1"/>
  <c r="AB13" i="1"/>
  <c r="AB15" i="1"/>
  <c r="AB6" i="1"/>
  <c r="G11" i="1"/>
  <c r="H11" i="1"/>
  <c r="I11" i="1"/>
  <c r="J11" i="1"/>
  <c r="K11" i="1"/>
  <c r="L11" i="1"/>
  <c r="M11" i="1"/>
  <c r="N11" i="1"/>
  <c r="O11" i="1"/>
  <c r="F11" i="1"/>
  <c r="E11" i="1"/>
  <c r="AB11" i="1"/>
  <c r="AB12" i="1"/>
  <c r="AB17" i="1"/>
  <c r="D17" i="1"/>
  <c r="E5" i="1"/>
  <c r="E17" i="1"/>
  <c r="F5" i="1"/>
  <c r="F17" i="1"/>
  <c r="G5" i="1"/>
  <c r="G17" i="1"/>
  <c r="H5" i="1"/>
  <c r="H17" i="1"/>
  <c r="I5" i="1"/>
  <c r="I17" i="1"/>
  <c r="J5" i="1"/>
  <c r="J17" i="1"/>
  <c r="K5" i="1"/>
  <c r="K17" i="1"/>
  <c r="L5" i="1"/>
  <c r="L17" i="1"/>
  <c r="M5" i="1"/>
  <c r="M17" i="1"/>
  <c r="N5" i="1"/>
  <c r="N17" i="1"/>
  <c r="O5" i="1"/>
  <c r="O17" i="1"/>
  <c r="P5" i="1"/>
  <c r="P17" i="1"/>
  <c r="Q5" i="1"/>
  <c r="Q17" i="1"/>
  <c r="R5" i="1"/>
  <c r="R17" i="1"/>
  <c r="S5" i="1"/>
  <c r="S17" i="1"/>
  <c r="T5" i="1"/>
  <c r="T17" i="1"/>
  <c r="U5" i="1"/>
  <c r="U17" i="1"/>
  <c r="V5" i="1"/>
  <c r="V17" i="1"/>
  <c r="W5" i="1"/>
  <c r="W17" i="1"/>
  <c r="X5" i="1"/>
  <c r="X17" i="1"/>
  <c r="Y5" i="1"/>
  <c r="Y17" i="1"/>
  <c r="Z5" i="1"/>
  <c r="Z17" i="1"/>
  <c r="AA5" i="1"/>
  <c r="AA17" i="1"/>
  <c r="B3" i="7"/>
  <c r="B13" i="7"/>
  <c r="C3" i="7"/>
  <c r="C13" i="7"/>
  <c r="AG3" i="7"/>
  <c r="AG13" i="7"/>
  <c r="D3" i="7"/>
  <c r="D13" i="7"/>
  <c r="E3" i="7"/>
  <c r="E13" i="7"/>
  <c r="F3" i="7"/>
  <c r="F13" i="7"/>
  <c r="G3" i="7"/>
  <c r="G13" i="7"/>
  <c r="H3" i="7"/>
  <c r="H13" i="7"/>
  <c r="I3" i="7"/>
  <c r="I13" i="7"/>
  <c r="J3" i="7"/>
  <c r="J13" i="7"/>
  <c r="K3" i="7"/>
  <c r="K13" i="7"/>
  <c r="L3" i="7"/>
  <c r="L13" i="7"/>
  <c r="M3" i="7"/>
  <c r="M13" i="7"/>
  <c r="N3" i="7"/>
  <c r="N13" i="7"/>
  <c r="O3" i="7"/>
  <c r="O13" i="7"/>
  <c r="P3" i="7"/>
  <c r="P13" i="7"/>
  <c r="Q3" i="7"/>
  <c r="Q13" i="7"/>
  <c r="R3" i="7"/>
  <c r="R13" i="7"/>
  <c r="S3" i="7"/>
  <c r="S13" i="7"/>
  <c r="T3" i="7"/>
  <c r="T13" i="7"/>
  <c r="U3" i="7"/>
  <c r="U13" i="7"/>
  <c r="V3" i="7"/>
  <c r="V13" i="7"/>
  <c r="W3" i="7"/>
  <c r="W13" i="7"/>
  <c r="X3" i="7"/>
  <c r="X13" i="7"/>
  <c r="Y3" i="7"/>
  <c r="Y13" i="7"/>
  <c r="Z3" i="7"/>
  <c r="Z13" i="7"/>
  <c r="AA3" i="7"/>
  <c r="AA13" i="7"/>
  <c r="AB3" i="7"/>
  <c r="AB13" i="7"/>
  <c r="AC3" i="7"/>
  <c r="AC13" i="7"/>
  <c r="AD3" i="7"/>
  <c r="AD13" i="7"/>
  <c r="AE3" i="7"/>
  <c r="AE13" i="7"/>
  <c r="AF3" i="7"/>
  <c r="AF13" i="7"/>
  <c r="M8" i="8"/>
  <c r="H9" i="8" l="1"/>
  <c r="M25" i="8"/>
  <c r="J28" i="8"/>
  <c r="J29" i="8" s="1"/>
  <c r="D29" i="8"/>
  <c r="E22" i="8"/>
  <c r="E29" i="8" s="1"/>
  <c r="M27" i="8"/>
  <c r="D14" i="8"/>
  <c r="M14" i="8" s="1"/>
  <c r="J9" i="8"/>
  <c r="M18" i="8"/>
  <c r="D12" i="8"/>
  <c r="M12" i="8" s="1"/>
  <c r="E19" i="8"/>
  <c r="M19" i="8" s="1"/>
  <c r="D21" i="8"/>
  <c r="G9" i="8"/>
  <c r="K9" i="8"/>
  <c r="D13" i="8"/>
  <c r="M13" i="8" s="1"/>
  <c r="H28" i="8"/>
  <c r="S22" i="8"/>
  <c r="T22" i="8" s="1"/>
  <c r="I28" i="8"/>
  <c r="I29" i="8" s="1"/>
  <c r="E15" i="8"/>
  <c r="E9" i="8" s="1"/>
  <c r="M7" i="8"/>
  <c r="K28" i="8"/>
  <c r="K29" i="8" s="1"/>
  <c r="M10" i="8"/>
  <c r="D11" i="8"/>
  <c r="M11" i="8" s="1"/>
  <c r="M23" i="8"/>
  <c r="M4" i="8"/>
  <c r="L9" i="8"/>
  <c r="H38" i="9"/>
  <c r="E35" i="9"/>
  <c r="H35" i="9"/>
  <c r="F35" i="9"/>
  <c r="I35" i="9" s="1"/>
  <c r="J35" i="9" s="1"/>
  <c r="L26" i="9"/>
  <c r="L27" i="9" s="1"/>
  <c r="L28" i="9" s="1"/>
  <c r="J26" i="9"/>
  <c r="J27" i="9" s="1"/>
  <c r="J28" i="9" s="1"/>
  <c r="M26" i="9"/>
  <c r="M27" i="9" s="1"/>
  <c r="M28" i="9" s="1"/>
  <c r="N26" i="9"/>
  <c r="N27" i="9" s="1"/>
  <c r="N28" i="9" s="1"/>
  <c r="O26" i="9"/>
  <c r="O27" i="9" s="1"/>
  <c r="O28" i="9" s="1"/>
  <c r="P25" i="9"/>
  <c r="P20" i="9"/>
  <c r="G5" i="9"/>
  <c r="H5" i="9" s="1"/>
  <c r="F8" i="9"/>
  <c r="E8" i="9"/>
  <c r="F26" i="9"/>
  <c r="G26" i="9"/>
  <c r="P24" i="8"/>
  <c r="S24" i="8" s="1"/>
  <c r="T24" i="8" s="1"/>
  <c r="E26" i="9"/>
  <c r="E28" i="9" s="1"/>
  <c r="I26" i="9"/>
  <c r="I27" i="9" s="1"/>
  <c r="I28" i="9" s="1"/>
  <c r="H26" i="9"/>
  <c r="H27" i="9" s="1"/>
  <c r="H28" i="9" s="1"/>
  <c r="M22" i="8" l="1"/>
  <c r="M28" i="8"/>
  <c r="H29" i="8"/>
  <c r="D15" i="8"/>
  <c r="I45" i="8"/>
  <c r="F17" i="8"/>
  <c r="G27" i="9"/>
  <c r="G28" i="9" s="1"/>
  <c r="O40" i="9"/>
  <c r="O41" i="9" s="1"/>
  <c r="F27" i="9"/>
  <c r="F28" i="9" s="1"/>
  <c r="N40" i="9"/>
  <c r="N41" i="9" s="1"/>
  <c r="G8" i="9"/>
  <c r="F38" i="9"/>
  <c r="I38" i="9" s="1"/>
  <c r="J38" i="9" s="1"/>
  <c r="K35" i="9" s="1"/>
  <c r="I5" i="9"/>
  <c r="J5" i="9" s="1"/>
  <c r="H8" i="9"/>
  <c r="G17" i="8" l="1"/>
  <c r="L17" i="8"/>
  <c r="L21" i="8" s="1"/>
  <c r="M20" i="8" s="1"/>
  <c r="H17" i="8"/>
  <c r="H21" i="8" s="1"/>
  <c r="K17" i="8"/>
  <c r="K21" i="8" s="1"/>
  <c r="I17" i="8"/>
  <c r="I21" i="8" s="1"/>
  <c r="J17" i="8"/>
  <c r="J21" i="8" s="1"/>
  <c r="D9" i="8"/>
  <c r="M15" i="8"/>
  <c r="E21" i="8"/>
  <c r="M16" i="8"/>
  <c r="F21" i="8"/>
  <c r="P27" i="9"/>
  <c r="J8" i="9"/>
  <c r="K5" i="9"/>
  <c r="I8" i="9"/>
  <c r="P26" i="9"/>
  <c r="P28" i="9"/>
  <c r="M17" i="8" l="1"/>
  <c r="D33" i="8"/>
  <c r="E3" i="8" s="1"/>
  <c r="E33" i="8" s="1"/>
  <c r="F3" i="8" s="1"/>
  <c r="F33" i="8" s="1"/>
  <c r="G3" i="8" s="1"/>
  <c r="M9" i="8"/>
  <c r="G21" i="8"/>
  <c r="M21" i="8" s="1"/>
  <c r="M33" i="8" s="1"/>
  <c r="L5" i="9"/>
  <c r="K8" i="9"/>
  <c r="G33" i="8" l="1"/>
  <c r="H3" i="8" s="1"/>
  <c r="H33" i="8" s="1"/>
  <c r="I3" i="8" s="1"/>
  <c r="I33" i="8" s="1"/>
  <c r="J3" i="8" s="1"/>
  <c r="J33" i="8" s="1"/>
  <c r="K3" i="8" s="1"/>
  <c r="K33" i="8" s="1"/>
  <c r="L3" i="8" s="1"/>
  <c r="M5" i="9"/>
  <c r="L8" i="9"/>
  <c r="L32" i="8" l="1"/>
  <c r="L33" i="8"/>
  <c r="D3" i="9" s="1"/>
  <c r="M8" i="9"/>
  <c r="N5" i="9"/>
  <c r="D29" i="9" l="1"/>
  <c r="D30" i="9"/>
  <c r="D31" i="9"/>
  <c r="D32" i="9"/>
  <c r="E3" i="9" s="1"/>
  <c r="N8" i="9"/>
  <c r="O5" i="9"/>
  <c r="E30" i="9" l="1"/>
  <c r="E29" i="9"/>
  <c r="E31" i="9"/>
  <c r="E32" i="9"/>
  <c r="F3" i="9" s="1"/>
  <c r="O8" i="9"/>
  <c r="P8" i="9" s="1"/>
  <c r="P32" i="9" s="1"/>
  <c r="P5" i="9"/>
  <c r="F31" i="9" l="1"/>
  <c r="F30" i="9"/>
  <c r="F29" i="9"/>
  <c r="F32" i="9"/>
  <c r="G3" i="9" s="1"/>
  <c r="G31" i="9" l="1"/>
  <c r="G30" i="9"/>
  <c r="G29" i="9"/>
  <c r="G32" i="9"/>
  <c r="H3" i="9" s="1"/>
  <c r="H31" i="9" l="1"/>
  <c r="H30" i="9"/>
  <c r="H29" i="9"/>
  <c r="H32" i="9"/>
  <c r="I3" i="9" s="1"/>
  <c r="I31" i="9" l="1"/>
  <c r="I30" i="9"/>
  <c r="I29" i="9"/>
  <c r="I32" i="9"/>
  <c r="J3" i="9" s="1"/>
  <c r="J29" i="9" l="1"/>
  <c r="J31" i="9"/>
  <c r="J30" i="9"/>
  <c r="J32" i="9"/>
  <c r="K3" i="9" s="1"/>
  <c r="K29" i="9" l="1"/>
  <c r="K31" i="9"/>
  <c r="K30" i="9"/>
  <c r="K32" i="9"/>
  <c r="L3" i="9" s="1"/>
  <c r="L29" i="9" l="1"/>
  <c r="L30" i="9"/>
  <c r="L31" i="9"/>
  <c r="L32" i="9"/>
  <c r="M3" i="9" s="1"/>
  <c r="M30" i="9" l="1"/>
  <c r="M31" i="9"/>
  <c r="M29" i="9"/>
  <c r="M32" i="9"/>
  <c r="N3" i="9" s="1"/>
  <c r="N31" i="9" l="1"/>
  <c r="N30" i="9"/>
  <c r="N29" i="9"/>
  <c r="N32" i="9"/>
  <c r="O3" i="9" s="1"/>
  <c r="O31" i="9" l="1"/>
  <c r="O30" i="9"/>
  <c r="O29" i="9"/>
  <c r="O32" i="9"/>
  <c r="E38" i="8"/>
  <c r="D38" i="8" s="1"/>
  <c r="F39" i="8" l="1"/>
  <c r="E39" i="8" s="1"/>
  <c r="D39" i="8" s="1"/>
  <c r="F40" i="8" s="1"/>
  <c r="E40" i="8" s="1"/>
  <c r="D40" i="8" s="1"/>
  <c r="F41" i="8" s="1"/>
  <c r="E41" i="8" l="1"/>
  <c r="D41" i="8" s="1"/>
  <c r="F42" i="8" s="1"/>
  <c r="E42" i="8" l="1"/>
  <c r="D42" i="8" s="1"/>
  <c r="F43" i="8" s="1"/>
  <c r="E43" i="8" l="1"/>
  <c r="D4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tc={CB0A7E2F-1BFE-4198-97A0-F1E97D722E0B}</author>
    <author>tc={2A7EAA74-90A0-4ACC-9FA9-11C9DF07CDAE}</author>
    <author>tc={3BCCE762-8F57-4B78-8F91-4A36F1BEB9B8}</author>
    <author>tc={BAED0218-8913-4758-AE52-9D334690E327}</author>
    <author>tc={1ACE6BC9-AF38-4488-868E-452124F30C74}</author>
    <author>tc={3CF814F7-037B-47F4-9CAC-0A50C6E00F2F}</author>
    <author>tc={CE53B894-2C18-4335-AB4A-16A06C51528E}</author>
    <author>tc={25ABEB3E-CD02-4078-9061-BB63FB698198}</author>
    <author>tc={7BCB9FAE-4F81-4BF4-89D3-EF9384BA20C4}</author>
    <author>tc={C9224D7E-9BD4-4B4B-8BA6-CA44742A6144}</author>
    <author>tc={47666D5E-2072-4DCF-96E5-81CA0039F0D0}</author>
    <author>tc={D72F676E-498A-40F5-B168-EF6DBCF06357}</author>
    <author>tc={555E55B5-B38A-408A-BC3B-D49E5E1D2F9E}</author>
  </authors>
  <commentList>
    <comment ref="B6" authorId="0" shapeId="0" xr:uid="{CB0A7E2F-1BFE-4198-97A0-F1E97D722E0B}">
      <text>
        <t>[Threaded comment]
Your version of Excel allows you to read this threaded comment; however, any edits to it will get removed if the file is opened in a newer version of Excel. Learn more: https://go.microsoft.com/fwlink/?linkid=870924
Comment:
    500€ is the deposit I have paid to Jacobs on 16.07.2019</t>
      </text>
    </comment>
    <comment ref="N6" authorId="1" shapeId="0" xr:uid="{2A7EAA74-90A0-4ACC-9FA9-11C9DF07CDAE}">
      <text>
        <t>[Threaded comment]
Your version of Excel allows you to read this threaded comment; however, any edits to it will get removed if the file is opened in a newer version of Excel. Learn more: https://go.microsoft.com/fwlink/?linkid=870924
Comment:
    came from deposit (500€) that I have paid before I began to master</t>
      </text>
    </comment>
    <comment ref="U6" authorId="2" shapeId="0" xr:uid="{3BCCE762-8F57-4B78-8F91-4A36F1BEB9B8}">
      <text>
        <t>[Threaded comment]
Your version of Excel allows you to read this threaded comment; however, any edits to it will get removed if the file is opened in a newer version of Excel. Learn more: https://go.microsoft.com/fwlink/?linkid=870924
Comment:
    an extra amount came from deposit (500€) that I have paid before I began to master</t>
      </text>
    </comment>
    <comment ref="M8" authorId="3" shapeId="0" xr:uid="{BAED0218-8913-4758-AE52-9D334690E327}">
      <text>
        <t>[Threaded comment]
Your version of Excel allows you to read this threaded comment; however, any edits to it will get removed if the file is opened in a newer version of Excel. Learn more: https://go.microsoft.com/fwlink/?linkid=870924
Comment:
    3 months payment for june, july, august</t>
      </text>
    </comment>
    <comment ref="Y8" authorId="4" shapeId="0" xr:uid="{1ACE6BC9-AF38-4488-868E-452124F30C74}">
      <text>
        <t>[Threaded comment]
Your version of Excel allows you to read this threaded comment; however, any edits to it will get removed if the file is opened in a newer version of Excel. Learn more: https://go.microsoft.com/fwlink/?linkid=870924
Comment:
    700€ is the deposit paid to Galileo.</t>
      </text>
    </comment>
    <comment ref="Z8" authorId="5" shapeId="0" xr:uid="{3CF814F7-037B-47F4-9CAC-0A50C6E00F2F}">
      <text>
        <t>[Threaded comment]
Your version of Excel allows you to read this threaded comment; however, any edits to it will get removed if the file is opened in a newer version of Excel. Learn more: https://go.microsoft.com/fwlink/?linkid=870924
Comment:
    163.03€ is the check-out cost from the Fizz appartment</t>
      </text>
    </comment>
    <comment ref="Z9" authorId="6" shapeId="0" xr:uid="{CE53B894-2C18-4335-AB4A-16A06C51528E}">
      <text>
        <t>[Threaded comment]
Your version of Excel allows you to read this threaded comment; however, any edits to it will get removed if the file is opened in a newer version of Excel. Learn more: https://go.microsoft.com/fwlink/?linkid=870924
Comment:
    transponder return fee was taken</t>
      </text>
    </comment>
    <comment ref="T12" authorId="7" shapeId="0" xr:uid="{25ABEB3E-CD02-4078-9061-BB63FB698198}">
      <text>
        <t>[Threaded comment]
Your version of Excel allows you to read this threaded comment; however, any edits to it will get removed if the file is opened in a newer version of Excel. Learn more: https://go.microsoft.com/fwlink/?linkid=870924
Comment:
    Privat-Haftpflichtversicherung (94€) was paid.</t>
      </text>
    </comment>
    <comment ref="X12" authorId="8" shapeId="0" xr:uid="{7BCB9FAE-4F81-4BF4-89D3-EF9384BA20C4}">
      <text>
        <t>[Threaded comment]
Your version of Excel allows you to read this threaded comment; however, any edits to it will get removed if the file is opened in a newer version of Excel. Learn more: https://go.microsoft.com/fwlink/?linkid=870924
Comment:
    100€ paid for passport renewing.</t>
      </text>
    </comment>
    <comment ref="O13" authorId="9" shapeId="0" xr:uid="{C9224D7E-9BD4-4B4B-8BA6-CA44742A6144}">
      <text>
        <t>[Threaded comment]
Your version of Excel allows you to read this threaded comment; however, any edits to it will get removed if the file is opened in a newer version of Excel. Learn more: https://go.microsoft.com/fwlink/?linkid=870924
Comment:
    from Murat</t>
      </text>
    </comment>
    <comment ref="Q13" authorId="10" shapeId="0" xr:uid="{47666D5E-2072-4DCF-96E5-81CA0039F0D0}">
      <text>
        <t>[Threaded comment]
Your version of Excel allows you to read this threaded comment; however, any edits to it will get removed if the file is opened in a newer version of Excel. Learn more: https://go.microsoft.com/fwlink/?linkid=870924
Comment:
    welcome fee by Bremen Student Service</t>
      </text>
    </comment>
    <comment ref="S13" authorId="11" shapeId="0" xr:uid="{D72F676E-498A-40F5-B168-EF6DBCF06357}">
      <text>
        <t>[Threaded comment]
Your version of Excel allows you to read this threaded comment; however, any edits to it will get removed if the file is opened in a newer version of Excel. Learn more: https://go.microsoft.com/fwlink/?linkid=870924
Comment:
    from Murat on 10.12.2020</t>
      </text>
    </comment>
    <comment ref="AA13" authorId="12" shapeId="0" xr:uid="{555E55B5-B38A-408A-BC3B-D49E5E1D2F9E}">
      <text>
        <t>[Threaded comment]
Your version of Excel allows you to read this threaded comment; however, any edits to it will get removed if the file is opened in a newer version of Excel. Learn more: https://go.microsoft.com/fwlink/?linkid=870924
Comment:
    from Kemal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tc={DCA6DBC5-278D-4DC9-A78F-188A501AEB92}</author>
    <author>tc={70D13DAB-65AE-4973-935A-1C0814AC6682}</author>
    <author>tc={EEEB1D05-9696-453F-BB55-8BF39F7BA4BB}</author>
    <author>tc={79DEA403-9265-43BB-92A0-0E4DD12603F0}</author>
    <author>tc={60D36AB6-3D8F-459C-8DE4-A7B0567DC770}</author>
    <author>tc={DC64D883-0251-4B95-8AFB-EE07A0C5CDEE}</author>
    <author>tc={B3983A44-D287-4193-B37C-2EF1FF8752DE}</author>
    <author>tc={57885FB2-EBDE-4B84-9B8A-6B076B6118E0}</author>
    <author>tc={125EB87F-85A9-4586-83B3-92C56E174FDD}</author>
    <author>tc={ED6B8A8B-52B2-4E10-8D1E-1C1009E84F60}</author>
    <author>tc={133CF092-CAA4-4AD6-8519-0A405A3D5834}</author>
    <author>tc={C9F8393D-0846-4589-B13D-DC10D95C4AAA}</author>
    <author>tc={334468B3-4BD8-4797-BE9A-216C35962FDD}</author>
    <author>tc={F7C93B9C-D813-472D-B23F-98E6E29474A0}</author>
    <author>tc={DB30B9D6-C4F4-44F3-A800-EEC154487435}</author>
    <author>tc={95C87924-71FF-478C-91AB-AF69B32FB12F}</author>
    <author>tc={E738B8DC-4907-4CA6-98BF-53C53134691C}</author>
    <author>tc={211E2FA8-BD01-4D50-9621-612E40B8F721}</author>
    <author>tc={B5C904C0-6D86-4A44-9D50-0F845BF7AB85}</author>
    <author>tc={D5F1EAD9-BEEF-47CD-9699-FC644591CB40}</author>
    <author>tc={680ABB8A-705F-41FE-ABA2-7DEB8C89D381}</author>
    <author>tc={10A778A5-AF80-47D4-B396-D6376F518932}</author>
    <author>tc={68FDD707-07FC-429C-87D6-A61A4AB1A51D}</author>
    <author>tc={75F94A1C-30E6-413C-8C1F-3C80C22FBBA5}</author>
    <author>tc={72CC65BD-9373-41A0-BAB2-8BEE3E4094ED}</author>
    <author>tc={67A3D869-201C-48C2-B4CB-6767E2B4CB3C}</author>
    <author>tc={12D314B5-E3B0-4DFD-85AE-BE3966FD0A23}</author>
    <author>tc={C443F7EE-112A-40EF-B026-4682B4607A6F}</author>
    <author>tc={A3F308F0-F4C9-4DC9-9BD0-066AE1B5AA9F}</author>
    <author>tc={75E0B996-BBD9-4D02-ABF2-74CB0127F8F3}</author>
    <author>tc={A98A8819-BC34-464B-91FA-566B917423A3}</author>
    <author>tc={57B44F02-72E1-43E1-9BC3-74594AC00621}</author>
    <author>tc={0E370422-985F-4213-BA6C-0CD7699CB6C3}</author>
    <author>tc={73D931DA-C51B-4179-8F68-630602041A0F}</author>
    <author>tc={4BB8636B-7442-4C31-ACB7-0B4EA40253D5}</author>
    <author>tc={DB61DDAF-482C-4FED-A6D8-858E2E63EEB0}</author>
    <author>tc={8DF83AD8-360D-46F0-81BC-BD7D3F842045}</author>
    <author>tc={17F0AB12-051B-405D-BD67-7B179C889C13}</author>
    <author>tc={BC47AC6A-05A2-41D0-ACC4-297FBDE492D6}</author>
    <author>tc={3E9E1F5D-DABB-4037-AEAF-59529A1BE4A6}</author>
    <author>tc={4C50C104-06C6-4CBF-883D-2785CF6BCA96}</author>
    <author>tc={AB2FE492-4F44-49CC-96E7-B7E1E1A6993E}</author>
    <author>tc={69DCC8F3-342F-486B-9FE0-DD748FA8EDB8}</author>
    <author>tc={DF75B992-192B-454B-B5EC-2D48979E52EF}</author>
    <author>tc={30CAA36E-4E96-44E8-92D7-A5B0CC8DA975}</author>
    <author>tc={03B1C185-A558-41BC-B1FA-92E9B91C1C73}</author>
    <author>tc={B8B2F3F7-2CD2-42C9-8C67-BF0801F0B40D}</author>
  </authors>
  <commentList>
    <comment ref="L4" authorId="0" shapeId="0" xr:uid="{DCA6DBC5-278D-4DC9-A78F-188A501AEB92}">
      <text>
        <t>[Threaded comment]
Your version of Excel allows you to read this threaded comment; however, any edits to it will get removed if the file is opened in a newer version of Excel. Learn more: https://go.microsoft.com/fwlink/?linkid=870924
Comment:
    Including semester ticket refund for 9€ ticket (valid in June, July, August)</t>
      </text>
    </comment>
    <comment ref="B5" authorId="1" shapeId="0" xr:uid="{70D13DAB-65AE-4973-935A-1C0814AC6682}">
      <text>
        <t>[Threaded comment]
Your version of Excel allows you to read this threaded comment; however, any edits to it will get removed if the file is opened in a newer version of Excel. Learn more: https://go.microsoft.com/fwlink/?linkid=870924
Comment:
    extension of residence permit cost: 93€</t>
      </text>
    </comment>
    <comment ref="E5" authorId="2" shapeId="0" xr:uid="{EEEB1D05-9696-453F-BB55-8BF39F7BA4BB}">
      <text>
        <t>[Threaded comment]
Your version of Excel allows you to read this threaded comment; however, any edits to it will get removed if the file is opened in a newer version of Excel. Learn more: https://go.microsoft.com/fwlink/?linkid=870924
Comment:
    extension of residence permit cost: 93€</t>
      </text>
    </comment>
    <comment ref="I5" authorId="3" shapeId="0" xr:uid="{79DEA403-9265-43BB-92A0-0E4DD12603F0}">
      <text>
        <t>[Threaded comment]
Your version of Excel allows you to read this threaded comment; however, any edits to it will get removed if the file is opened in a newer version of Excel. Learn more: https://go.microsoft.com/fwlink/?linkid=870924
Comment:
    In case I wish to cancel my contract with Galileo and move out by the 30th of September 2022 I should hand in my written cancellation latest by the 3rd working day in April.</t>
      </text>
    </comment>
    <comment ref="AA5" authorId="4" shapeId="0" xr:uid="{60D36AB6-3D8F-459C-8DE4-A7B0567DC770}">
      <text>
        <t xml:space="preserve">[Threaded comment]
Your version of Excel allows you to read this threaded comment; however, any edits to it will get removed if the file is opened in a newer version of Excel. Learn more: https://go.microsoft.com/fwlink/?linkid=870924
Comment:
    the owners of the building have decided to increase the rent from the 01.10.2023. The increase will be 15 Euros per room. This equates to a 2.7% increase which is very fair considering the electricity alone has increased by 300% this year.
</t>
      </text>
    </comment>
    <comment ref="AC5" authorId="5" shapeId="0" xr:uid="{DC64D883-0251-4B95-8AFB-EE07A0C5CDEE}">
      <text>
        <t>[Threaded comment]
Your version of Excel allows you to read this threaded comment; however, any edits to it will get removed if the file is opened in a newer version of Excel. Learn more: https://go.microsoft.com/fwlink/?linkid=870924
Comment:
    €49, residence permit extension</t>
      </text>
    </comment>
    <comment ref="AD5" authorId="6" shapeId="0" xr:uid="{B3983A44-D287-4193-B37C-2EF1FF8752DE}">
      <text>
        <t>[Threaded comment]
Your version of Excel allows you to read this threaded comment; however, any edits to it will get removed if the file is opened in a newer version of Excel. Learn more: https://go.microsoft.com/fwlink/?linkid=870924
Comment:
    Moved to Lilienthal
Reply:
    Got the €700 deposit back from Galileo</t>
      </text>
    </comment>
    <comment ref="AE5" authorId="7" shapeId="0" xr:uid="{57885FB2-EBDE-4B84-9B8A-6B076B6118E0}">
      <text>
        <t>[Threaded comment]
Your version of Excel allows you to read this threaded comment; however, any edits to it will get removed if the file is opened in a newer version of Excel. Learn more: https://go.microsoft.com/fwlink/?linkid=870924
Comment:
    €300, heating cost for the house. Next one will be around May.</t>
      </text>
    </comment>
    <comment ref="J7" authorId="8" shapeId="0" xr:uid="{125EB87F-85A9-4586-83B3-92C56E174FDD}">
      <text>
        <t>[Threaded comment]
Your version of Excel allows you to read this threaded comment; however, any edits to it will get removed if the file is opened in a newer version of Excel. Learn more: https://go.microsoft.com/fwlink/?linkid=870924
Comment:
    105€ for glasses from Fielmann
47€ for headphones from Saturn
122€ for running shoes from Sport Scheck</t>
      </text>
    </comment>
    <comment ref="L7" authorId="9" shapeId="0" xr:uid="{ED6B8A8B-52B2-4E10-8D1E-1C1009E84F60}">
      <text>
        <t>[Threaded comment]
Your version of Excel allows you to read this threaded comment; however, any edits to it will get removed if the file is opened in a newer version of Excel. Learn more: https://go.microsoft.com/fwlink/?linkid=870924
Comment:
    110€ for the Dell monitor
Reply:
    182.20€ for the dental examination and cleaning
Reply:
    79€ for Jacobs Homecoming event
Reply:
    24.95€ for the backpack bag</t>
      </text>
    </comment>
    <comment ref="M7" authorId="10" shapeId="0" xr:uid="{133CF092-CAA4-4AD6-8519-0A405A3D5834}">
      <text>
        <t>[Threaded comment]
Your version of Excel allows you to read this threaded comment; however, any edits to it will get removed if the file is opened in a newer version of Excel. Learn more: https://go.microsoft.com/fwlink/?linkid=870924
Comment:
    89.95€ for the new backpack</t>
      </text>
    </comment>
    <comment ref="N7" authorId="11" shapeId="0" xr:uid="{C9F8393D-0846-4589-B13D-DC10D95C4AAA}">
      <text>
        <t>[Threaded comment]
Your version of Excel allows you to read this threaded comment; however, any edits to it will get removed if the file is opened in a newer version of Excel. Learn more: https://go.microsoft.com/fwlink/?linkid=870924
Comment:
    154.64 € Grammarly
Reply:
    45.16€ python book
Reply:
    109.95€ Sportscheck boots</t>
      </text>
    </comment>
    <comment ref="U7" authorId="12" shapeId="0" xr:uid="{334468B3-4BD8-4797-BE9A-216C35962FDD}">
      <text>
        <t>[Threaded comment]
Your version of Excel allows you to read this threaded comment; however, any edits to it will get removed if the file is opened in a newer version of Excel. Learn more: https://go.microsoft.com/fwlink/?linkid=870924
Comment:
    12.24 € radio-tv tax to Guoyao
16.25 € galileo kitchen cleaning cost to Shu
Reply:
    104.17 €, April cost for credit card</t>
      </text>
    </comment>
    <comment ref="W7" authorId="13" shapeId="0" xr:uid="{F7C93B9C-D813-472D-B23F-98E6E29474A0}">
      <text>
        <t>[Threaded comment]
Your version of Excel allows you to read this threaded comment; however, any edits to it will get removed if the file is opened in a newer version of Excel. Learn more: https://go.microsoft.com/fwlink/?linkid=870924
Comment:
    526.93€ is for the flight tickets (Istanbul-Bremen)</t>
      </text>
    </comment>
    <comment ref="Y7" authorId="14" shapeId="0" xr:uid="{DB30B9D6-C4F4-44F3-A800-EEC154487435}">
      <text>
        <t>[Threaded comment]
Your version of Excel allows you to read this threaded comment; however, any edits to it will get removed if the file is opened in a newer version of Excel. Learn more: https://go.microsoft.com/fwlink/?linkid=870924
Comment:
    74.34€, sent to brother for expenses in Turkey
Reply:
    476€, new phone
Reply:
    104,48€, alumni event cost</t>
      </text>
    </comment>
    <comment ref="AB7" authorId="15" shapeId="0" xr:uid="{95C87924-71FF-478C-91AB-AF69B32FB12F}">
      <text>
        <t>[Threaded comment]
Your version of Excel allows you to read this threaded comment; however, any edits to it will get removed if the file is opened in a newer version of Excel. Learn more: https://go.microsoft.com/fwlink/?linkid=870924
Comment:
    36.98 €, converter cables shopping from Saturn</t>
      </text>
    </comment>
    <comment ref="AC7" authorId="16" shapeId="0" xr:uid="{E738B8DC-4907-4CA6-98BF-53C53134691C}">
      <text>
        <t>[Threaded comment]
Your version of Excel allows you to read this threaded comment; however, any edits to it will get removed if the file is opened in a newer version of Excel. Learn more: https://go.microsoft.com/fwlink/?linkid=870924
Comment:
    Berlin and Zurich trips</t>
      </text>
    </comment>
    <comment ref="AD7" authorId="17" shapeId="0" xr:uid="{211E2FA8-BD01-4D50-9621-612E40B8F721}">
      <text>
        <t>[Threaded comment]
Your version of Excel allows you to read this threaded comment; however, any edits to it will get removed if the file is opened in a newer version of Excel. Learn more: https://go.microsoft.com/fwlink/?linkid=870924
Comment:
    Lyon and Vienna trips
Reply:
    €471.98, furniture from IKEA for the new house
Reply:
    €96.45, Klarna payment (1/3) for Airbnb house in Lyon</t>
      </text>
    </comment>
    <comment ref="AE7" authorId="18" shapeId="0" xr:uid="{B5C904C0-6D86-4A44-9D50-0F845BF7AB85}">
      <text>
        <t>[Threaded comment]
Your version of Excel allows you to read this threaded comment; however, any edits to it will get removed if the file is opened in a newer version of Excel. Learn more: https://go.microsoft.com/fwlink/?linkid=870924
Comment:
    €96.45, Klarna payment (2/3) for Airbnb house in Lyon
Reply:
    €20, Forum Friedenspsychol.BewusstSein</t>
      </text>
    </comment>
    <comment ref="AF7" authorId="19" shapeId="0" xr:uid="{D5F1EAD9-BEEF-47CD-9699-FC644591CB40}">
      <text>
        <t>[Threaded comment]
Your version of Excel allows you to read this threaded comment; however, any edits to it will get removed if the file is opened in a newer version of Excel. Learn more: https://go.microsoft.com/fwlink/?linkid=870924
Comment:
    29.85 €, DB payment back for the delayed train travel</t>
      </text>
    </comment>
    <comment ref="B8" authorId="20" shapeId="0" xr:uid="{680ABB8A-705F-41FE-ABA2-7DEB8C89D381}">
      <text>
        <t>[Threaded comment]
Your version of Excel allows you to read this threaded comment; however, any edits to it will get removed if the file is opened in a newer version of Excel. Learn more: https://go.microsoft.com/fwlink/?linkid=870924
Comment:
    to Kemal</t>
      </text>
    </comment>
    <comment ref="D8" authorId="21" shapeId="0" xr:uid="{10A778A5-AF80-47D4-B396-D6376F518932}">
      <text>
        <t>[Threaded comment]
Your version of Excel allows you to read this threaded comment; however, any edits to it will get removed if the file is opened in a newer version of Excel. Learn more: https://go.microsoft.com/fwlink/?linkid=870924
Comment:
    600€ from Kemal
Reply:
    1916€ from Murat</t>
      </text>
    </comment>
    <comment ref="E8" authorId="22" shapeId="0" xr:uid="{68FDD707-07FC-429C-87D6-A61A4AB1A51D}">
      <text>
        <t>[Threaded comment]
Your version of Excel allows you to read this threaded comment; however, any edits to it will get removed if the file is opened in a newer version of Excel. Learn more: https://go.microsoft.com/fwlink/?linkid=870924
Comment:
    600€ to Kemal
60€ from OnQuest shaving survey earn</t>
      </text>
    </comment>
    <comment ref="L8" authorId="23" shapeId="0" xr:uid="{75F94A1C-30E6-413C-8C1F-3C80C22FBBA5}">
      <text>
        <t>[Threaded comment]
Your version of Excel allows you to read this threaded comment; however, any edits to it will get removed if the file is opened in a newer version of Excel. Learn more: https://go.microsoft.com/fwlink/?linkid=870924
Comment:
    Earn from razor test in Hamburg</t>
      </text>
    </comment>
    <comment ref="T8" authorId="24" shapeId="0" xr:uid="{72CC65BD-9373-41A0-BAB2-8BEE3E4094ED}">
      <text>
        <t>[Threaded comment]
Your version of Excel allows you to read this threaded comment; however, any edits to it will get removed if the file is opened in a newer version of Excel. Learn more: https://go.microsoft.com/fwlink/?linkid=870924
Comment:
    Government energy aid (21.03.2023)</t>
      </text>
    </comment>
    <comment ref="U8" authorId="25" shapeId="0" xr:uid="{67A3D869-201C-48C2-B4CB-6767E2B4CB3C}">
      <text>
        <t>[Threaded comment]
Your version of Excel allows you to read this threaded comment; however, any edits to it will get removed if the file is opened in a newer version of Excel. Learn more: https://go.microsoft.com/fwlink/?linkid=870924
Comment:
    605 €, Support from Ömer</t>
      </text>
    </comment>
    <comment ref="W8" authorId="26" shapeId="0" xr:uid="{12D314B5-E3B0-4DFD-85AE-BE3966FD0A23}">
      <text>
        <t>[Threaded comment]
Your version of Excel allows you to read this threaded comment; however, any edits to it will get removed if the file is opened in a newer version of Excel. Learn more: https://go.microsoft.com/fwlink/?linkid=870924
Comment:
    2901€, Wohngeld (Landeshauptkasse Bremen)
Reply:
    450€, Subleasing payment from Nijada.</t>
      </text>
    </comment>
    <comment ref="X8" authorId="27" shapeId="0" xr:uid="{C443F7EE-112A-40EF-B026-4682B4607A6F}">
      <text>
        <t>[Threaded comment]
Your version of Excel allows you to read this threaded comment; however, any edits to it will get removed if the file is opened in a newer version of Excel. Learn more: https://go.microsoft.com/fwlink/?linkid=870924
Comment:
    146.7€ Receiving of travel cost from uni for Gröningen trip
Reply:
    375€, Wohngeld (Landeshauptkasse Bremen)</t>
      </text>
    </comment>
    <comment ref="Y8" authorId="28" shapeId="0" xr:uid="{A3F308F0-F4C9-4DC9-9BD0-066AE1B5AA9F}">
      <text>
        <t>[Threaded comment]
Your version of Excel allows you to read this threaded comment; however, any edits to it will get removed if the file is opened in a newer version of Excel. Learn more: https://go.microsoft.com/fwlink/?linkid=870924
Comment:
    375€, Wohngeld (Landeshauptkasse Bremen)</t>
      </text>
    </comment>
    <comment ref="Z8" authorId="29" shapeId="0" xr:uid="{75E0B996-BBD9-4D02-ABF2-74CB0127F8F3}">
      <text>
        <t>[Threaded comment]
Your version of Excel allows you to read this threaded comment; however, any edits to it will get removed if the file is opened in a newer version of Excel. Learn more: https://go.microsoft.com/fwlink/?linkid=870924
Comment:
    387€, Wohngeld (Landeshauptkasse Bremen)</t>
      </text>
    </comment>
    <comment ref="AA8" authorId="30" shapeId="0" xr:uid="{A98A8819-BC34-464B-91FA-566B917423A3}">
      <text>
        <t>[Threaded comment]
Your version of Excel allows you to read this threaded comment; however, any edits to it will get removed if the file is opened in a newer version of Excel. Learn more: https://go.microsoft.com/fwlink/?linkid=870924
Comment:
    387€, Wohngeld (Landeshauptkasse Bremen)</t>
      </text>
    </comment>
    <comment ref="AB8" authorId="31" shapeId="0" xr:uid="{57B44F02-72E1-43E1-9BC3-74594AC00621}">
      <text>
        <t>[Threaded comment]
Your version of Excel allows you to read this threaded comment; however, any edits to it will get removed if the file is opened in a newer version of Excel. Learn more: https://go.microsoft.com/fwlink/?linkid=870924
Comment:
    387€, Wohngeld (Landeshauptkasse Bremen)</t>
      </text>
    </comment>
    <comment ref="C9" authorId="32" shapeId="0" xr:uid="{0E370422-985F-4213-BA6C-0CD7699CB6C3}">
      <text>
        <t>[Threaded comment]
Your version of Excel allows you to read this threaded comment; however, any edits to it will get removed if the file is opened in a newer version of Excel. Learn more: https://go.microsoft.com/fwlink/?linkid=870924
Comment:
    The next proof (certificate of enrollment) must be provided by October 15, 2021 at the latest.
Reply:
    student certificate submission was delayed to the end of November</t>
      </text>
    </comment>
    <comment ref="T9" authorId="33" shapeId="0" xr:uid="{73D931DA-C51B-4179-8F68-630602041A0F}">
      <text>
        <t xml:space="preserve">[Threaded comment]
Your version of Excel allows you to read this threaded comment; however, any edits to it will get removed if the file is opened in a newer version of Excel. Learn more: https://go.microsoft.com/fwlink/?linkid=870924
Comment:
    The disbursement phase of my loan will end on 31.03.2023 at the latest.
Start of repayment: 01.10.2024 </t>
      </text>
    </comment>
    <comment ref="AA9" authorId="34" shapeId="0" xr:uid="{4BB8636B-7442-4C31-ACB7-0B4EA40253D5}">
      <text>
        <t>[Threaded comment]
Your version of Excel allows you to read this threaded comment; however, any edits to it will get removed if the file is opened in a newer version of Excel. Learn more: https://go.microsoft.com/fwlink/?linkid=870924
Comment:
    KfW - early partial payment (3250€ out of 20150€) on 02.10.2023</t>
      </text>
    </comment>
    <comment ref="I10" authorId="35" shapeId="0" xr:uid="{DB61DDAF-482C-4FED-A6D8-858E2E63EEB0}">
      <text>
        <t>[Threaded comment]
Your version of Excel allows you to read this threaded comment; however, any edits to it will get removed if the file is opened in a newer version of Excel. Learn more: https://go.microsoft.com/fwlink/?linkid=870924
Comment:
    TA job started by the date 01.04.2022</t>
      </text>
    </comment>
    <comment ref="L10" authorId="36" shapeId="0" xr:uid="{8DF83AD8-360D-46F0-81BC-BD7D3F842045}">
      <text>
        <t>[Threaded comment]
Your version of Excel allows you to read this threaded comment; however, any edits to it will get removed if the file is opened in a newer version of Excel. Learn more: https://go.microsoft.com/fwlink/?linkid=870924
Comment:
    TA job ended by the date 31.07.2022</t>
      </text>
    </comment>
    <comment ref="M10" authorId="37" shapeId="0" xr:uid="{17F0AB12-051B-405D-BD67-7B179C889C13}">
      <text>
        <t>[Threaded comment]
Your version of Excel allows you to read this threaded comment; however, any edits to it will get removed if the file is opened in a newer version of Excel. Learn more: https://go.microsoft.com/fwlink/?linkid=870924
Comment:
    Proctor job started on 16.08.2022</t>
      </text>
    </comment>
    <comment ref="N10" authorId="38" shapeId="0" xr:uid="{BC47AC6A-05A2-41D0-ACC4-297FBDE492D6}">
      <text>
        <t>[Threaded comment]
Your version of Excel allows you to read this threaded comment; however, any edits to it will get removed if the file is opened in a newer version of Excel. Learn more: https://go.microsoft.com/fwlink/?linkid=870924
Comment:
    Proctor job ended on 15.09.2022.
bingo coefficient!
Reply:
    TA-2 job started by the date 06.09.2022</t>
      </text>
    </comment>
    <comment ref="Q10" authorId="39" shapeId="0" xr:uid="{3E9E1F5D-DABB-4037-AEAF-59529A1BE4A6}">
      <text>
        <t>[Threaded comment]
Your version of Excel allows you to read this threaded comment; however, any edits to it will get removed if the file is opened in a newer version of Excel. Learn more: https://go.microsoft.com/fwlink/?linkid=870924
Comment:
    TA-2 job ended on 31.12.2022</t>
      </text>
    </comment>
    <comment ref="U10" authorId="40" shapeId="0" xr:uid="{4C50C104-06C6-4CBF-883D-2785CF6BCA96}">
      <text>
        <t>[Threaded comment]
Your version of Excel allows you to read this threaded comment; however, any edits to it will get removed if the file is opened in a newer version of Excel. Learn more: https://go.microsoft.com/fwlink/?linkid=870924
Comment:
    Merit-based stipend started (paid on 25.04.2023)
Reply:
    Student Assistant, 42,0 hours/month from 16.04.-15.06.2023 
- if the contract begins during the month, the hours are halved in the corresponding months. </t>
      </text>
    </comment>
    <comment ref="W10" authorId="41" shapeId="0" xr:uid="{AB2FE492-4F44-49CC-96E7-B7E1E1A6993E}">
      <text>
        <t>[Threaded comment]
Your version of Excel allows you to read this threaded comment; however, any edits to it will get removed if the file is opened in a newer version of Excel. Learn more: https://go.microsoft.com/fwlink/?linkid=870924
Comment:
    Student Assistant job ends on 15.06</t>
      </text>
    </comment>
    <comment ref="Z10" authorId="42" shapeId="0" xr:uid="{69DCC8F3-342F-486B-9FE0-DD748FA8EDB8}">
      <text>
        <t>[Threaded comment]
Your version of Excel allows you to read this threaded comment; however, any edits to it will get removed if the file is opened in a newer version of Excel. Learn more: https://go.microsoft.com/fwlink/?linkid=870924
Comment:
    290.27 €, proctoring payment (the last job as a student)</t>
      </text>
    </comment>
    <comment ref="Z11" authorId="43" shapeId="0" xr:uid="{DF75B992-192B-454B-B5EC-2D48979E52EF}">
      <text>
        <t>[Threaded comment]
Your version of Excel allows you to read this threaded comment; however, any edits to it will get removed if the file is opened in a newer version of Excel. Learn more: https://go.microsoft.com/fwlink/?linkid=870924
Comment:
    110.16 €, Rundfunkbeitrag fee (April+May+June+July+August+September) for the apartment.</t>
      </text>
    </comment>
    <comment ref="AA11" authorId="44" shapeId="0" xr:uid="{30CAA36E-4E96-44E8-92D7-A5B0CC8DA975}">
      <text>
        <t>[Threaded comment]
Your version of Excel allows you to read this threaded comment; however, any edits to it will get removed if the file is opened in a newer version of Excel. Learn more: https://go.microsoft.com/fwlink/?linkid=870924
Comment:
    Wundertax payment</t>
      </text>
    </comment>
    <comment ref="AB11" authorId="45" shapeId="0" xr:uid="{03B1C185-A558-41BC-B1FA-92E9B91C1C73}">
      <text>
        <t xml:space="preserve">[Threaded comment]
Your version of Excel allows you to read this threaded comment; however, any edits to it will get removed if the file is opened in a newer version of Excel. Learn more: https://go.microsoft.com/fwlink/?linkid=870924
Comment:
    7.34 €, Rundfunkbeitrag fee (October+November+December) for the apartment. Paid more than that (€55.08) but I received the remained from the neighbours.
</t>
      </text>
    </comment>
    <comment ref="AF11" authorId="46" shapeId="0" xr:uid="{B8B2F3F7-2CD2-42C9-8C67-BF0801F0B40D}">
      <text>
        <t>[Threaded comment]
Your version of Excel allows you to read this threaded comment; however, any edits to it will get removed if the file is opened in a newer version of Excel. Learn more: https://go.microsoft.com/fwlink/?linkid=870924
Comment:
    18.36 €, Rundfunkbeitrag payment (January, €55.08/3) for the Galileo apartment. I received the remained amounts from the ex-neighbours except Yuxiang.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Serhat Kosif</author>
    <author>tc={118CBEE1-F325-7B48-8FC2-8DB240E5B414}</author>
    <author>tc={56765F23-7F41-44F6-85DF-9FFCE534282F}</author>
    <author>tc={14D3E282-3E4C-439D-86E6-96D68F29DC84}</author>
    <author>tc={BE0B59E3-FB1A-43E6-9595-6ED39551B310}</author>
    <author>tc={0A7654C9-BDC8-480E-B722-5BE00E03FAFF}</author>
    <author>tc={07DCD43E-EA23-4388-856C-A872C714EE9A}</author>
    <author>tc={F4BDA44D-356A-CC42-BE96-E61F76748483}</author>
    <author>tc={AD41861F-233B-4CA3-AE91-A0442DE73737}</author>
    <author>tc={21FA9E04-160B-400E-861F-741F756C2B9B}</author>
    <author>tc={0D827DA1-561C-4C66-AD95-2945038151CA}</author>
  </authors>
  <commentList>
    <comment ref="A1" authorId="0" shapeId="0" xr:uid="{7D3A1C98-95DB-4A68-9702-CF16A0496ABE}">
      <text>
        <r>
          <rPr>
            <b/>
            <sz val="9"/>
            <color indexed="81"/>
            <rFont val="Tahoma"/>
            <family val="2"/>
          </rPr>
          <t>Author:</t>
        </r>
        <r>
          <rPr>
            <sz val="9"/>
            <color indexed="81"/>
            <rFont val="Tahoma"/>
            <family val="2"/>
          </rPr>
          <t xml:space="preserve">
income statement - gelir tablosu (kar ve zarar tablosu) - Gewinn- und Verlustrechnung
income surplus statement - gelir fazlasi hesaplamasi - einnahmenüberschussrechnung
Einnahmen - gelir
Gesamteinnahmen - toplam gelir
die Ausgaben - harcama, expenses
Gesamtumsatz - total sales</t>
        </r>
      </text>
    </comment>
    <comment ref="E4" authorId="0" shapeId="0" xr:uid="{DA329B98-E9EE-422E-AFC1-3D190B7F33D3}">
      <text>
        <r>
          <rPr>
            <b/>
            <sz val="9"/>
            <color indexed="81"/>
            <rFont val="Tahoma"/>
            <family val="2"/>
          </rPr>
          <t>Author:</t>
        </r>
        <r>
          <rPr>
            <sz val="9"/>
            <color indexed="81"/>
            <rFont val="Tahoma"/>
            <family val="2"/>
          </rPr>
          <t xml:space="preserve">
official tatil gunleri, 5 er saat calismadan sayiliyor.
1-3-4
6-7-8-10 (9-Christi Himmelfahrt)
13-14-16-17
21-22-23-24 (20-Pfingstmontag)
27 (28-29-30-31, Urlaub), 65€ als Urlaubgeld.
gesamt ist 119 stunde, 115 war bezahlt. 4 stunde im Juli zu bezahlen wenn ich wieder arbeiten wird.</t>
        </r>
      </text>
    </comment>
    <comment ref="G4" authorId="0" shapeId="0" xr:uid="{183957DD-42F4-4338-95F6-D7FE810BB5D8}">
      <text>
        <r>
          <rPr>
            <b/>
            <sz val="9"/>
            <color indexed="81"/>
            <rFont val="Tahoma"/>
            <family val="2"/>
          </rPr>
          <t>Author:</t>
        </r>
        <r>
          <rPr>
            <sz val="9"/>
            <color indexed="81"/>
            <rFont val="Tahoma"/>
            <family val="2"/>
          </rPr>
          <t xml:space="preserve">
22 hours to be paid in August</t>
        </r>
      </text>
    </comment>
    <comment ref="G5" authorId="0" shapeId="0" xr:uid="{A853E2D5-2FB2-4172-8CC5-50930F3C1E18}">
      <text>
        <r>
          <rPr>
            <b/>
            <sz val="9"/>
            <color indexed="81"/>
            <rFont val="Tahoma"/>
            <family val="2"/>
          </rPr>
          <t>Author:</t>
        </r>
        <r>
          <rPr>
            <sz val="9"/>
            <color indexed="81"/>
            <rFont val="Tahoma"/>
            <family val="2"/>
          </rPr>
          <t xml:space="preserve">
festival work for June
(8*6*12.5)+(8*12*12.5)</t>
        </r>
      </text>
    </comment>
    <comment ref="I5" authorId="0" shapeId="0" xr:uid="{F9D61126-A2AF-47BF-8700-A1C20B514C44}">
      <text>
        <r>
          <rPr>
            <b/>
            <sz val="9"/>
            <color indexed="81"/>
            <rFont val="Tahoma"/>
            <family val="2"/>
          </rPr>
          <t>Author:</t>
        </r>
        <r>
          <rPr>
            <sz val="9"/>
            <color indexed="81"/>
            <rFont val="Tahoma"/>
            <family val="2"/>
          </rPr>
          <t xml:space="preserve">
fest work payment for the remaining from June and last week of August</t>
        </r>
      </text>
    </comment>
    <comment ref="J5" authorId="0" shapeId="0" xr:uid="{A302D813-0504-4D0F-B705-89C40010674B}">
      <text>
        <r>
          <rPr>
            <b/>
            <sz val="9"/>
            <color indexed="81"/>
            <rFont val="Tahoma"/>
            <family val="2"/>
          </rPr>
          <t>Author:</t>
        </r>
        <r>
          <rPr>
            <sz val="9"/>
            <color indexed="81"/>
            <rFont val="Tahoma"/>
            <family val="2"/>
          </rPr>
          <t xml:space="preserve">
fest work remaining from Sept</t>
        </r>
      </text>
    </comment>
    <comment ref="K6" authorId="0" shapeId="0" xr:uid="{62826E11-A527-4D6B-8EAA-3DA73136D024}">
      <text>
        <r>
          <rPr>
            <b/>
            <sz val="9"/>
            <color indexed="81"/>
            <rFont val="Tahoma"/>
            <family val="2"/>
          </rPr>
          <t>Author:</t>
        </r>
        <r>
          <rPr>
            <sz val="9"/>
            <color indexed="81"/>
            <rFont val="Tahoma"/>
            <family val="2"/>
          </rPr>
          <t xml:space="preserve">
oct salary + oct trinkgeld</t>
        </r>
      </text>
    </comment>
    <comment ref="L6" authorId="1" shapeId="0" xr:uid="{E1C43B36-DB0E-4DA1-8239-B21E40D5555B}">
      <text>
        <r>
          <rPr>
            <b/>
            <sz val="9"/>
            <color indexed="81"/>
            <rFont val="Tahoma"/>
            <family val="2"/>
          </rPr>
          <t>Serhat Kosif:</t>
        </r>
        <r>
          <rPr>
            <sz val="9"/>
            <color indexed="81"/>
            <rFont val="Tahoma"/>
            <family val="2"/>
          </rPr>
          <t xml:space="preserve">
nov salary + nov trinkgeld + dienstfahrten frei</t>
        </r>
      </text>
    </comment>
    <comment ref="J7" authorId="0" shapeId="0" xr:uid="{B4653B82-6345-4B81-8B3F-514FF360611B}">
      <text>
        <r>
          <rPr>
            <b/>
            <sz val="9"/>
            <color indexed="81"/>
            <rFont val="Tahoma"/>
            <family val="2"/>
          </rPr>
          <t>Author:</t>
        </r>
        <r>
          <rPr>
            <sz val="9"/>
            <color indexed="81"/>
            <rFont val="Tahoma"/>
            <family val="2"/>
          </rPr>
          <t xml:space="preserve">
cash tips
</t>
        </r>
      </text>
    </comment>
    <comment ref="K7" authorId="1" shapeId="0" xr:uid="{F796ACD3-348D-4EE0-A12E-F2555DA8EAB8}">
      <text>
        <r>
          <rPr>
            <b/>
            <sz val="9"/>
            <color indexed="81"/>
            <rFont val="Tahoma"/>
            <family val="2"/>
          </rPr>
          <t>Serhat Kosif:</t>
        </r>
        <r>
          <rPr>
            <sz val="9"/>
            <color indexed="81"/>
            <rFont val="Tahoma"/>
            <family val="2"/>
          </rPr>
          <t xml:space="preserve">
cash tips</t>
        </r>
      </text>
    </comment>
    <comment ref="L7" authorId="1" shapeId="0" xr:uid="{8D3FD454-D225-465F-9291-D968D8F86E0A}">
      <text>
        <r>
          <rPr>
            <b/>
            <sz val="9"/>
            <color indexed="81"/>
            <rFont val="Tahoma"/>
            <charset val="1"/>
          </rPr>
          <t>Serhat Kosif:</t>
        </r>
        <r>
          <rPr>
            <sz val="9"/>
            <color indexed="81"/>
            <rFont val="Tahoma"/>
            <charset val="1"/>
          </rPr>
          <t xml:space="preserve">
dec cash tips</t>
        </r>
      </text>
    </comment>
    <comment ref="I8" authorId="0" shapeId="0" xr:uid="{AC0AAA30-E761-4356-86A7-725A6E4E97FC}">
      <text>
        <r>
          <rPr>
            <b/>
            <sz val="9"/>
            <color indexed="81"/>
            <rFont val="Tahoma"/>
            <family val="2"/>
          </rPr>
          <t>Author:</t>
        </r>
        <r>
          <rPr>
            <sz val="9"/>
            <color indexed="81"/>
            <rFont val="Tahoma"/>
            <family val="2"/>
          </rPr>
          <t xml:space="preserve">
250€, from Serkan
9.13€ - Amazon FBA Transportation Fees </t>
        </r>
      </text>
    </comment>
    <comment ref="J8" authorId="1" shapeId="0" xr:uid="{472CFDCD-9750-4DBF-A294-D0965E0F660B}">
      <text>
        <r>
          <rPr>
            <b/>
            <sz val="9"/>
            <color indexed="81"/>
            <rFont val="Tahoma"/>
            <family val="2"/>
          </rPr>
          <t>Serhat Kosif:</t>
        </r>
        <r>
          <rPr>
            <sz val="9"/>
            <color indexed="81"/>
            <rFont val="Tahoma"/>
            <family val="2"/>
          </rPr>
          <t xml:space="preserve">
3.77€, amazon storage fee
15€, to SeoHandel Commerzbank account</t>
        </r>
      </text>
    </comment>
    <comment ref="K8" authorId="0" shapeId="0" xr:uid="{7D0E5B73-E25B-4162-AAFF-08ADECBD9A9D}">
      <text>
        <r>
          <rPr>
            <b/>
            <sz val="9"/>
            <color indexed="81"/>
            <rFont val="Tahoma"/>
            <family val="2"/>
          </rPr>
          <t>Author:</t>
        </r>
        <r>
          <rPr>
            <sz val="9"/>
            <color indexed="81"/>
            <rFont val="Tahoma"/>
            <family val="2"/>
          </rPr>
          <t xml:space="preserve">
1€ - IONOS payment
25€ - deregistration of business from Lilienthal
4€ back from finom
0.98€ gain is added for balancing with finom</t>
        </r>
      </text>
    </comment>
    <comment ref="L8" authorId="2" shapeId="0" xr:uid="{118CBEE1-F325-7B48-8FC2-8DB240E5B414}">
      <text>
        <t>[Threaded comment]
Your version of Excel allows you to read this threaded comment; however, any edits to it will get removed if the file is opened in a newer version of Excel. Learn more: https://go.microsoft.com/fwlink/?linkid=870924
Comment:
    9.58€, amazon storage fee
(1+0.01)€, finom fee
14.68€, to SeoHandel Commerzbank account
5.80€, amazon storage fee
Reply:
    1€, IONOS payment</t>
      </text>
    </comment>
    <comment ref="K10" authorId="1" shapeId="0" xr:uid="{73B2F8D9-9809-432E-AE8D-29AF46EE37A9}">
      <text>
        <r>
          <rPr>
            <b/>
            <sz val="9"/>
            <color indexed="81"/>
            <rFont val="Tahoma"/>
            <family val="2"/>
          </rPr>
          <t>Serhat Kosif:</t>
        </r>
        <r>
          <rPr>
            <sz val="9"/>
            <color indexed="81"/>
            <rFont val="Tahoma"/>
            <family val="2"/>
          </rPr>
          <t xml:space="preserve">
I assume that lohnsteuer is 0 since the net income is below 1000€ for this month</t>
        </r>
      </text>
    </comment>
    <comment ref="J16" authorId="0" shapeId="0" xr:uid="{C0B2DC1B-258A-427C-B603-45F577A4BB42}">
      <text>
        <r>
          <rPr>
            <b/>
            <sz val="9"/>
            <color indexed="81"/>
            <rFont val="Tahoma"/>
            <family val="2"/>
          </rPr>
          <t>Author:</t>
        </r>
        <r>
          <rPr>
            <sz val="9"/>
            <color indexed="81"/>
            <rFont val="Tahoma"/>
            <family val="2"/>
          </rPr>
          <t xml:space="preserve">
for october</t>
        </r>
      </text>
    </comment>
    <comment ref="K16" authorId="0" shapeId="0" xr:uid="{5542BFAC-8B23-4127-9BAE-4420562EFA46}">
      <text>
        <r>
          <rPr>
            <b/>
            <sz val="9"/>
            <color indexed="81"/>
            <rFont val="Tahoma"/>
            <family val="2"/>
          </rPr>
          <t>Author:</t>
        </r>
        <r>
          <rPr>
            <sz val="9"/>
            <color indexed="81"/>
            <rFont val="Tahoma"/>
            <family val="2"/>
          </rPr>
          <t xml:space="preserve">
for november.
Paid on October 31st.</t>
        </r>
      </text>
    </comment>
    <comment ref="L16" authorId="1" shapeId="0" xr:uid="{206270E9-CC66-4D11-8907-07393A91BE18}">
      <text>
        <r>
          <rPr>
            <b/>
            <sz val="9"/>
            <color indexed="81"/>
            <rFont val="Tahoma"/>
            <charset val="1"/>
          </rPr>
          <t>Serhat Kosif:</t>
        </r>
        <r>
          <rPr>
            <sz val="9"/>
            <color indexed="81"/>
            <rFont val="Tahoma"/>
            <charset val="1"/>
          </rPr>
          <t xml:space="preserve">
for december.
Paid on November 31st.</t>
        </r>
      </text>
    </comment>
    <comment ref="D18" authorId="3" shapeId="0" xr:uid="{56765F23-7F41-44F6-85DF-9FFCE534282F}">
      <text>
        <t>[Threaded comment]
Your version of Excel allows you to read this threaded comment; however, any edits to it will get removed if the file is opened in a newer version of Excel. Learn more: https://go.microsoft.com/fwlink/?linkid=870924
Comment:
    €22,27 - geschenk</t>
      </text>
    </comment>
    <comment ref="E18" authorId="4" shapeId="0" xr:uid="{14D3E282-3E4C-439D-86E6-96D68F29DC84}">
      <text>
        <t>[Threaded comment]
Your version of Excel allows you to read this threaded comment; however, any edits to it will get removed if the file is opened in a newer version of Excel. Learn more: https://go.microsoft.com/fwlink/?linkid=870924
Comment:
    €100 - residence permit cost</t>
      </text>
    </comment>
    <comment ref="F18" authorId="5" shapeId="0" xr:uid="{BE0B59E3-FB1A-43E6-9595-6ED39551B310}">
      <text>
        <t>[Threaded comment]
Your version of Excel allows you to read this threaded comment; however, any edits to it will get removed if the file is opened in a newer version of Excel. Learn more: https://go.microsoft.com/fwlink/?linkid=870924
Comment:
    19.99 for immoscout24, monatlich (1/6)</t>
      </text>
    </comment>
    <comment ref="J18" authorId="6" shapeId="0" xr:uid="{0A7654C9-BDC8-480E-B722-5BE00E03FAFF}">
      <text>
        <t>[Threaded comment]
Your version of Excel allows you to read this threaded comment; however, any edits to it will get removed if the file is opened in a newer version of Excel. Learn more: https://go.microsoft.com/fwlink/?linkid=870924
Comment:
    -39,90€ commerzbank credit kart yearly fee
Reply:
    19,99 € ImmoScout24, but 11,68 € was debited from the account since some amount in paypal balance was present.
Reply:
    15€, to SeoHandel Finom account for the bike holder buying from amazon</t>
      </text>
    </comment>
    <comment ref="K18" authorId="7" shapeId="0" xr:uid="{07DCD43E-EA23-4388-856C-A872C714EE9A}">
      <text>
        <t>[Threaded comment]
Your version of Excel allows you to read this threaded comment; however, any edits to it will get removed if the file is opened in a newer version of Excel. Learn more: https://go.microsoft.com/fwlink/?linkid=870924
Comment:
    5€, sent to finam account for bike chainlock. The original price is 11.39€, difference paid with the balance in finom.
Reply:
    32.90€, bike tier repair</t>
      </text>
    </comment>
    <comment ref="L18" authorId="8" shapeId="0" xr:uid="{F4BDA44D-356A-CC42-BE96-E61F76748483}">
      <text>
        <t>[Threaded comment]
Your version of Excel allows you to read this threaded comment; however, any edits to it will get removed if the file is opened in a newer version of Excel. Learn more: https://go.microsoft.com/fwlink/?linkid=870924
Comment:
    105.99€, cash withdrawal
-&gt; 29.98€, to Ayse for unpaid internet invoices from september and october.
-&gt; 16.42€, shopping from Rewe
-&gt; 22.23€, shopping from Penny
Reply:
    31€, bike tier repair
Reply:
    37.5€, bonus share from Chris</t>
      </text>
    </comment>
    <comment ref="K19" authorId="0" shapeId="0" xr:uid="{75DFE06E-FFC2-402A-B4E9-88A1B91FCB7B}">
      <text>
        <r>
          <rPr>
            <b/>
            <sz val="9"/>
            <color indexed="81"/>
            <rFont val="Tahoma"/>
            <family val="2"/>
          </rPr>
          <t>Author:</t>
        </r>
        <r>
          <rPr>
            <sz val="9"/>
            <color indexed="81"/>
            <rFont val="Tahoma"/>
            <family val="2"/>
          </rPr>
          <t xml:space="preserve">
paid on 26.11.
25 € gutschein was redeemed by o2</t>
        </r>
      </text>
    </comment>
    <comment ref="L19" authorId="1" shapeId="0" xr:uid="{B35A8514-5296-4657-8009-DE4AAD35ACFC}">
      <text>
        <r>
          <rPr>
            <b/>
            <sz val="9"/>
            <color indexed="81"/>
            <rFont val="Tahoma"/>
            <charset val="1"/>
          </rPr>
          <t>Serhat Kosif:</t>
        </r>
        <r>
          <rPr>
            <sz val="9"/>
            <color indexed="81"/>
            <rFont val="Tahoma"/>
            <charset val="1"/>
          </rPr>
          <t xml:space="preserve">
paid on 24.12</t>
        </r>
      </text>
    </comment>
    <comment ref="G20" authorId="9" shapeId="0" xr:uid="{AD41861F-233B-4CA3-AE91-A0442DE73737}">
      <text>
        <t>[Threaded comment]
Your version of Excel allows you to read this threaded comment; however, any edits to it will get removed if the file is opened in a newer version of Excel. Learn more: https://go.microsoft.com/fwlink/?linkid=870924
Comment:
    49 x 2 € for Deutschland ticket for July and August</t>
      </text>
    </comment>
    <comment ref="L20" authorId="10" shapeId="0" xr:uid="{21FA9E04-160B-400E-861F-741F756C2B9B}">
      <text>
        <t>[Threaded comment]
Your version of Excel allows you to read this threaded comment; however, any edits to it will get removed if the file is opened in a newer version of Excel. Learn more: https://go.microsoft.com/fwlink/?linkid=870924
Comment:
    DB Deutschland ticket will change from 49€ to 58€ starting from 01.01.2025.</t>
      </text>
    </comment>
    <comment ref="D22" authorId="0" shapeId="0" xr:uid="{6D3942AE-CBC1-4749-B81A-58642266A809}">
      <text>
        <r>
          <rPr>
            <b/>
            <sz val="9"/>
            <color indexed="81"/>
            <rFont val="Tahoma"/>
            <family val="2"/>
          </rPr>
          <t>Author:</t>
        </r>
        <r>
          <rPr>
            <sz val="9"/>
            <color indexed="81"/>
            <rFont val="Tahoma"/>
            <family val="2"/>
          </rPr>
          <t xml:space="preserve">
kaltmiete + nebenkosten + öl</t>
        </r>
      </text>
    </comment>
    <comment ref="H22" authorId="0" shapeId="0" xr:uid="{DA836F13-A4E4-4851-B7F7-A009A5B82E67}">
      <text>
        <r>
          <rPr>
            <b/>
            <sz val="9"/>
            <color indexed="81"/>
            <rFont val="Tahoma"/>
            <family val="2"/>
          </rPr>
          <t>Author:</t>
        </r>
        <r>
          <rPr>
            <sz val="9"/>
            <color indexed="81"/>
            <rFont val="Tahoma"/>
            <family val="2"/>
          </rPr>
          <t xml:space="preserve">
for september:
vhw rent + vhw deposit + saga rent</t>
        </r>
      </text>
    </comment>
    <comment ref="I22" authorId="0" shapeId="0" xr:uid="{45F8FAA6-CD5F-464B-BD5E-D5B9BBBA05D0}">
      <text>
        <r>
          <rPr>
            <b/>
            <sz val="9"/>
            <color indexed="81"/>
            <rFont val="Tahoma"/>
            <family val="2"/>
          </rPr>
          <t>Author:</t>
        </r>
        <r>
          <rPr>
            <sz val="9"/>
            <color indexed="81"/>
            <rFont val="Tahoma"/>
            <family val="2"/>
          </rPr>
          <t xml:space="preserve">
for october</t>
        </r>
      </text>
    </comment>
    <comment ref="J22" authorId="0" shapeId="0" xr:uid="{9B5385D1-9B17-4A77-8E44-56D378D09054}">
      <text>
        <r>
          <rPr>
            <b/>
            <sz val="9"/>
            <color indexed="81"/>
            <rFont val="Tahoma"/>
            <family val="2"/>
          </rPr>
          <t>Author:</t>
        </r>
        <r>
          <rPr>
            <sz val="9"/>
            <color indexed="81"/>
            <rFont val="Tahoma"/>
            <family val="2"/>
          </rPr>
          <t xml:space="preserve">
for november. Paid on October 31st.
150€ came back from SAGA since they found a renter for mildestieg.</t>
        </r>
      </text>
    </comment>
    <comment ref="K22" authorId="0" shapeId="0" xr:uid="{EF5383FF-4C07-4EF2-AD2B-5A66802AE754}">
      <text>
        <r>
          <rPr>
            <b/>
            <sz val="9"/>
            <color indexed="81"/>
            <rFont val="Tahoma"/>
            <family val="2"/>
          </rPr>
          <t>Author:</t>
        </r>
        <r>
          <rPr>
            <sz val="9"/>
            <color indexed="81"/>
            <rFont val="Tahoma"/>
            <family val="2"/>
          </rPr>
          <t xml:space="preserve">
for december.</t>
        </r>
      </text>
    </comment>
    <comment ref="L22" authorId="1" shapeId="0" xr:uid="{81073B53-0FF8-49F9-8363-BC10DEBA5C35}">
      <text>
        <r>
          <rPr>
            <b/>
            <sz val="9"/>
            <color indexed="81"/>
            <rFont val="Tahoma"/>
            <charset val="1"/>
          </rPr>
          <t>Serhat Kosif:</t>
        </r>
        <r>
          <rPr>
            <sz val="9"/>
            <color indexed="81"/>
            <rFont val="Tahoma"/>
            <charset val="1"/>
          </rPr>
          <t xml:space="preserve">
for January</t>
        </r>
      </text>
    </comment>
    <comment ref="K23" authorId="0" shapeId="0" xr:uid="{3760146D-9CB7-4492-8240-87641E51FD62}">
      <text>
        <r>
          <rPr>
            <b/>
            <sz val="9"/>
            <color indexed="81"/>
            <rFont val="Tahoma"/>
            <family val="2"/>
          </rPr>
          <t>Author:</t>
        </r>
        <r>
          <rPr>
            <sz val="9"/>
            <color indexed="81"/>
            <rFont val="Tahoma"/>
            <family val="2"/>
          </rPr>
          <t xml:space="preserve">
paid on 26.11</t>
        </r>
      </text>
    </comment>
    <comment ref="L23" authorId="1" shapeId="0" xr:uid="{46E68B0C-85C5-4BD0-9463-156BBAE63DC9}">
      <text>
        <r>
          <rPr>
            <b/>
            <sz val="9"/>
            <color indexed="81"/>
            <rFont val="Tahoma"/>
            <charset val="1"/>
          </rPr>
          <t>Serhat Kosif:</t>
        </r>
        <r>
          <rPr>
            <sz val="9"/>
            <color indexed="81"/>
            <rFont val="Tahoma"/>
            <charset val="1"/>
          </rPr>
          <t xml:space="preserve">
paid on 24.12</t>
        </r>
      </text>
    </comment>
    <comment ref="I26" authorId="0" shapeId="0" xr:uid="{BF3A18C2-1DE1-4B05-8DAD-7839E4DD0787}">
      <text>
        <r>
          <rPr>
            <b/>
            <sz val="9"/>
            <color indexed="81"/>
            <rFont val="Tahoma"/>
            <family val="2"/>
          </rPr>
          <t>Author:</t>
        </r>
        <r>
          <rPr>
            <sz val="9"/>
            <color indexed="81"/>
            <rFont val="Tahoma"/>
            <family val="2"/>
          </rPr>
          <t xml:space="preserve">
being paid in every 3 months.
On this month, paid for oct-nov-dec</t>
        </r>
      </text>
    </comment>
    <comment ref="I27" authorId="0" shapeId="0" xr:uid="{21D1BFEE-75C4-49B1-89FD-AD3159845B06}">
      <text>
        <r>
          <rPr>
            <b/>
            <sz val="9"/>
            <color indexed="81"/>
            <rFont val="Tahoma"/>
            <family val="2"/>
          </rPr>
          <t>Author:</t>
        </r>
        <r>
          <rPr>
            <sz val="9"/>
            <color indexed="81"/>
            <rFont val="Tahoma"/>
            <family val="2"/>
          </rPr>
          <t xml:space="preserve">
25,99€ - bedroom curtain bar and bed shields
38,96€ - portable shelves for wardrobe and shower curtain with its fittings
71,60€ + 53,85€ - wall paint from bauhaus</t>
        </r>
      </text>
    </comment>
    <comment ref="J27" authorId="0" shapeId="0" xr:uid="{1621A570-2EEC-46B9-8DB7-73D04A403CEF}">
      <text>
        <r>
          <rPr>
            <b/>
            <sz val="9"/>
            <color indexed="81"/>
            <rFont val="Tahoma"/>
            <family val="2"/>
          </rPr>
          <t>Author:</t>
        </r>
        <r>
          <rPr>
            <sz val="9"/>
            <color indexed="81"/>
            <rFont val="Tahoma"/>
            <family val="2"/>
          </rPr>
          <t xml:space="preserve">
150€ - laundry machine from sandra</t>
        </r>
      </text>
    </comment>
    <comment ref="K27" authorId="0" shapeId="0" xr:uid="{D00EB91F-395E-43E7-B2C9-770CCEEED974}">
      <text>
        <r>
          <rPr>
            <b/>
            <sz val="9"/>
            <color indexed="81"/>
            <rFont val="Tahoma"/>
            <family val="2"/>
          </rPr>
          <t>Author:</t>
        </r>
        <r>
          <rPr>
            <sz val="9"/>
            <color indexed="81"/>
            <rFont val="Tahoma"/>
            <family val="2"/>
          </rPr>
          <t xml:space="preserve">
3 pcs shelves
6 pcs shelf brackets
paint for cupboard
nails for artwork
sponges</t>
        </r>
      </text>
    </comment>
    <comment ref="L27" authorId="1" shapeId="0" xr:uid="{27D41A15-20DA-4F44-AEFA-52B01CAB95CE}">
      <text>
        <r>
          <rPr>
            <b/>
            <sz val="9"/>
            <color indexed="81"/>
            <rFont val="Tahoma"/>
            <charset val="1"/>
          </rPr>
          <t>Serhat Kosif:</t>
        </r>
        <r>
          <rPr>
            <sz val="9"/>
            <color indexed="81"/>
            <rFont val="Tahoma"/>
            <charset val="1"/>
          </rPr>
          <t xml:space="preserve">
902.97€, sofa + 3 pcs bookshelf + delivery fee
ikea credit will be paid as 20 installment. It is transferred on 15th, every month.</t>
        </r>
      </text>
    </comment>
    <comment ref="I28" authorId="0" shapeId="0" xr:uid="{6A09E7B1-BF5D-4C32-98F3-5734FC6881DA}">
      <text>
        <r>
          <rPr>
            <b/>
            <sz val="9"/>
            <color indexed="81"/>
            <rFont val="Tahoma"/>
            <family val="2"/>
          </rPr>
          <t>Author:</t>
        </r>
        <r>
          <rPr>
            <sz val="9"/>
            <color indexed="81"/>
            <rFont val="Tahoma"/>
            <family val="2"/>
          </rPr>
          <t xml:space="preserve">
197€, from murat</t>
        </r>
      </text>
    </comment>
    <comment ref="J28" authorId="0" shapeId="0" xr:uid="{FB106EBD-FDD1-4880-91D5-67A313633BDF}">
      <text>
        <r>
          <rPr>
            <b/>
            <sz val="9"/>
            <color indexed="81"/>
            <rFont val="Tahoma"/>
            <family val="2"/>
          </rPr>
          <t>Author:</t>
        </r>
        <r>
          <rPr>
            <sz val="9"/>
            <color indexed="81"/>
            <rFont val="Tahoma"/>
            <family val="2"/>
          </rPr>
          <t xml:space="preserve">
300€, from murat
88.8€, from ayse</t>
        </r>
      </text>
    </comment>
    <comment ref="K28" authorId="0" shapeId="0" xr:uid="{8D6377D6-2BCE-487C-9539-0BC7D1534798}">
      <text>
        <r>
          <rPr>
            <b/>
            <sz val="9"/>
            <color indexed="81"/>
            <rFont val="Tahoma"/>
            <family val="2"/>
          </rPr>
          <t>Author:</t>
        </r>
        <r>
          <rPr>
            <sz val="9"/>
            <color indexed="81"/>
            <rFont val="Tahoma"/>
            <family val="2"/>
          </rPr>
          <t xml:space="preserve">
88.8€ to Ayse</t>
        </r>
      </text>
    </comment>
    <comment ref="L28" authorId="0" shapeId="0" xr:uid="{D7B44ECB-6733-43CB-B926-5A1465A8ABF0}">
      <text>
        <r>
          <rPr>
            <b/>
            <sz val="9"/>
            <color indexed="81"/>
            <rFont val="Tahoma"/>
            <family val="2"/>
          </rPr>
          <t>Author:</t>
        </r>
        <r>
          <rPr>
            <sz val="9"/>
            <color indexed="81"/>
            <rFont val="Tahoma"/>
            <family val="2"/>
          </rPr>
          <t xml:space="preserve">
208€, to Murat. Wise fee is 7.52€
20€, to Ayse for Berlin flixtrain tickets</t>
        </r>
      </text>
    </comment>
    <comment ref="F36" authorId="0" shapeId="0" xr:uid="{EB932A10-9B25-496F-A99D-7D73F08033D1}">
      <text>
        <r>
          <rPr>
            <b/>
            <sz val="9"/>
            <color indexed="81"/>
            <rFont val="Tahoma"/>
            <family val="2"/>
          </rPr>
          <t>Author:</t>
        </r>
        <r>
          <rPr>
            <sz val="9"/>
            <color indexed="81"/>
            <rFont val="Tahoma"/>
            <family val="2"/>
          </rPr>
          <t xml:space="preserve">
This item includes the interest due as well as where applicable, arrears of interest, default interest, deferral interest and costs.</t>
        </r>
      </text>
    </comment>
    <comment ref="C43" authorId="1" shapeId="0" xr:uid="{302B976E-E61B-4B98-A743-3565E092F1A6}">
      <text>
        <r>
          <rPr>
            <b/>
            <sz val="9"/>
            <color indexed="81"/>
            <rFont val="Tahoma"/>
            <charset val="1"/>
          </rPr>
          <t>Serhat Kosif:</t>
        </r>
        <r>
          <rPr>
            <sz val="9"/>
            <color indexed="81"/>
            <rFont val="Tahoma"/>
            <charset val="1"/>
          </rPr>
          <t xml:space="preserve">
You can apply for a fixed interest rate for the remaining term of your loan - for a maximum  of 10 years - between February 15, 2025 and March 15, 2025 via your ONLINE CREDIT PORTAL.</t>
        </r>
      </text>
    </comment>
    <comment ref="I45" authorId="11" shapeId="0" xr:uid="{0D827DA1-561C-4C66-AD95-2945038151CA}">
      <text>
        <t>[Threaded comment]
Your version of Excel allows you to read this threaded comment; however, any edits to it will get removed if the file is opened in a newer version of Excel. Learn more: https://go.microsoft.com/fwlink/?linkid=870924
Comment:
    Maximum payment (monthly or yearly?)
The funding amount (18000€) is due on an annual basis and payable in the amount of EUR1800 (the so called 'Partial Amount') but no more than 5.60% of beneficiary's income in the respective calendar year.
Reply:
    The maturity and payability of the Funding Amount lapse for the respective calendar year if beneficiary's income of such calendar year is below Minimum Income.
Minimum income in Germany per year for 2019: 25000€. And it is constant for every year.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Serhat Kosif</author>
  </authors>
  <commentList>
    <comment ref="D5" authorId="0" shapeId="0" xr:uid="{72C39411-A02B-46C7-A3F8-7FD8B4CCBA5E}">
      <text>
        <r>
          <rPr>
            <b/>
            <sz val="9"/>
            <color indexed="81"/>
            <rFont val="Tahoma"/>
            <charset val="1"/>
          </rPr>
          <t>Serhat Kosif:</t>
        </r>
        <r>
          <rPr>
            <sz val="9"/>
            <color indexed="81"/>
            <rFont val="Tahoma"/>
            <charset val="1"/>
          </rPr>
          <t xml:space="preserve">
dec salary + dec trinkgeld</t>
        </r>
      </text>
    </comment>
    <comment ref="D6" authorId="0" shapeId="0" xr:uid="{92A54EF0-1C42-493B-9085-21865608344B}">
      <text>
        <r>
          <rPr>
            <b/>
            <sz val="9"/>
            <color indexed="81"/>
            <rFont val="Tahoma"/>
            <charset val="1"/>
          </rPr>
          <t>Serhat Kosif:</t>
        </r>
        <r>
          <rPr>
            <sz val="9"/>
            <color indexed="81"/>
            <rFont val="Tahoma"/>
            <charset val="1"/>
          </rPr>
          <t xml:space="preserve">
jan cash tips</t>
        </r>
      </text>
    </comment>
    <comment ref="D15" authorId="0" shapeId="0" xr:uid="{69F21148-FC1A-491E-BD2D-A214A5EA74D2}">
      <text>
        <r>
          <rPr>
            <b/>
            <sz val="9"/>
            <color indexed="81"/>
            <rFont val="Tahoma"/>
            <charset val="1"/>
          </rPr>
          <t>Serhat Kosif:</t>
        </r>
        <r>
          <rPr>
            <sz val="9"/>
            <color indexed="81"/>
            <rFont val="Tahoma"/>
            <charset val="1"/>
          </rPr>
          <t xml:space="preserve">
for january.
Paid on december 31st.</t>
        </r>
      </text>
    </comment>
    <comment ref="H15" authorId="0" shapeId="0" xr:uid="{06AB590F-C77E-41F4-9C82-FEF4D12DE2E1}">
      <text>
        <r>
          <rPr>
            <b/>
            <sz val="9"/>
            <color indexed="81"/>
            <rFont val="Tahoma"/>
            <family val="2"/>
          </rPr>
          <t>Serhat Kosif:</t>
        </r>
        <r>
          <rPr>
            <sz val="9"/>
            <color indexed="81"/>
            <rFont val="Tahoma"/>
            <family val="2"/>
          </rPr>
          <t xml:space="preserve">
odeme plani revizyonu?</t>
        </r>
      </text>
    </comment>
    <comment ref="D19" authorId="0" shapeId="0" xr:uid="{E7A5D0DC-F531-4DB5-A7C8-E7041E54A998}">
      <text>
        <r>
          <rPr>
            <b/>
            <sz val="9"/>
            <color indexed="81"/>
            <rFont val="Tahoma"/>
            <family val="2"/>
          </rPr>
          <t>Serhat Kosif:</t>
        </r>
        <r>
          <rPr>
            <sz val="9"/>
            <color indexed="81"/>
            <rFont val="Tahoma"/>
            <family val="2"/>
          </rPr>
          <t xml:space="preserve">
sepa transfer should be rearranged</t>
        </r>
      </text>
    </comment>
    <comment ref="D21" authorId="0" shapeId="0" xr:uid="{571216BE-026C-4BA8-98C1-D5F138F17870}">
      <text>
        <r>
          <rPr>
            <b/>
            <sz val="9"/>
            <color indexed="81"/>
            <rFont val="Tahoma"/>
            <charset val="1"/>
          </rPr>
          <t>Serhat Kosif:</t>
        </r>
        <r>
          <rPr>
            <sz val="9"/>
            <color indexed="81"/>
            <rFont val="Tahoma"/>
            <charset val="1"/>
          </rPr>
          <t xml:space="preserve">
for february</t>
        </r>
      </text>
    </comment>
    <comment ref="F25" authorId="0" shapeId="0" xr:uid="{02C1D166-D354-46D4-BEF1-907BFD7DCDBA}">
      <text>
        <r>
          <rPr>
            <b/>
            <sz val="9"/>
            <color indexed="81"/>
            <rFont val="Tahoma"/>
            <family val="2"/>
          </rPr>
          <t>Serhat Kosif:</t>
        </r>
        <r>
          <rPr>
            <sz val="9"/>
            <color indexed="81"/>
            <rFont val="Tahoma"/>
            <family val="2"/>
          </rPr>
          <t xml:space="preserve">
being paid in every 3 months.
On this date, paid for apr-may-june</t>
        </r>
      </text>
    </comment>
    <comment ref="I25" authorId="0" shapeId="0" xr:uid="{1360E6B7-B494-4E61-AB0A-2AA76EBC7649}">
      <text>
        <r>
          <rPr>
            <b/>
            <sz val="9"/>
            <color indexed="81"/>
            <rFont val="Tahoma"/>
            <family val="2"/>
          </rPr>
          <t>Serhat Kosif:</t>
        </r>
        <r>
          <rPr>
            <sz val="9"/>
            <color indexed="81"/>
            <rFont val="Tahoma"/>
            <family val="2"/>
          </rPr>
          <t xml:space="preserve">
On this date, paid for july-aug-sept</t>
        </r>
      </text>
    </comment>
    <comment ref="L25" authorId="0" shapeId="0" xr:uid="{E62FFE7E-D04B-475F-82FA-BFF7346B33E8}">
      <text>
        <r>
          <rPr>
            <b/>
            <sz val="9"/>
            <color indexed="81"/>
            <rFont val="Tahoma"/>
            <family val="2"/>
          </rPr>
          <t>Serhat Kosif:</t>
        </r>
        <r>
          <rPr>
            <sz val="9"/>
            <color indexed="81"/>
            <rFont val="Tahoma"/>
            <family val="2"/>
          </rPr>
          <t xml:space="preserve">
paid for oct-nov-dec</t>
        </r>
      </text>
    </comment>
    <comment ref="D26" authorId="0" shapeId="0" xr:uid="{0DC363B1-0F82-4A14-9132-326C91BF2602}">
      <text>
        <r>
          <rPr>
            <b/>
            <sz val="9"/>
            <color indexed="81"/>
            <rFont val="Tahoma"/>
            <family val="2"/>
          </rPr>
          <t>Serhat Kosif:</t>
        </r>
        <r>
          <rPr>
            <sz val="9"/>
            <color indexed="81"/>
            <rFont val="Tahoma"/>
            <family val="2"/>
          </rPr>
          <t xml:space="preserve">
902.97€, sofa + 3 pcs bookshelf + delivery fee
ikea credit will be paid as 19 installment from this month. It is transferred on 15th, every month.
</t>
        </r>
      </text>
    </comment>
    <comment ref="O26" authorId="0" shapeId="0" xr:uid="{3D4EF4BD-01A5-46FE-BB6A-7CA87D5B8577}">
      <text>
        <r>
          <rPr>
            <b/>
            <sz val="9"/>
            <color indexed="81"/>
            <rFont val="Tahoma"/>
            <family val="2"/>
          </rPr>
          <t>Serhat Kosif:</t>
        </r>
        <r>
          <rPr>
            <sz val="9"/>
            <color indexed="81"/>
            <rFont val="Tahoma"/>
            <family val="2"/>
          </rPr>
          <t xml:space="preserve">
902.97€, sofa + 3 pcs bookshelf + delivery fee
this one is the 13th installment we are paying.</t>
        </r>
      </text>
    </comment>
    <comment ref="D27" authorId="0" shapeId="0" xr:uid="{368A7C66-54A1-4F9F-9D89-F91A47647AD8}">
      <text>
        <r>
          <rPr>
            <b/>
            <sz val="9"/>
            <color indexed="81"/>
            <rFont val="Tahoma"/>
            <family val="2"/>
          </rPr>
          <t>Serhat Kosif:</t>
        </r>
        <r>
          <rPr>
            <sz val="9"/>
            <color indexed="81"/>
            <rFont val="Tahoma"/>
            <family val="2"/>
          </rPr>
          <t xml:space="preserve">
xx€, to Murat</t>
        </r>
      </text>
    </comment>
    <comment ref="E27" authorId="0" shapeId="0" xr:uid="{EDDE2F61-4F13-46DB-B546-48A406F0E72E}">
      <text>
        <r>
          <rPr>
            <b/>
            <sz val="9"/>
            <color indexed="81"/>
            <rFont val="Tahoma"/>
            <charset val="1"/>
          </rPr>
          <t>Serhat Kosif:</t>
        </r>
        <r>
          <rPr>
            <sz val="9"/>
            <color indexed="81"/>
            <rFont val="Tahoma"/>
            <charset val="1"/>
          </rPr>
          <t xml:space="preserve">
xx€, to Murat</t>
        </r>
      </text>
    </comment>
  </commentList>
</comments>
</file>

<file path=xl/sharedStrings.xml><?xml version="1.0" encoding="utf-8"?>
<sst xmlns="http://schemas.openxmlformats.org/spreadsheetml/2006/main" count="221" uniqueCount="98">
  <si>
    <t>University Fee</t>
  </si>
  <si>
    <t>September</t>
  </si>
  <si>
    <t>October</t>
  </si>
  <si>
    <t>November</t>
  </si>
  <si>
    <t>December</t>
  </si>
  <si>
    <t xml:space="preserve">February </t>
  </si>
  <si>
    <t>March</t>
  </si>
  <si>
    <t>April</t>
  </si>
  <si>
    <t>June</t>
  </si>
  <si>
    <t>July</t>
  </si>
  <si>
    <t>1st Semester</t>
  </si>
  <si>
    <t>Holiday</t>
  </si>
  <si>
    <t>tuition deferral
JUStudyAtEase</t>
  </si>
  <si>
    <t>Winter Break</t>
  </si>
  <si>
    <t>Summer Break</t>
  </si>
  <si>
    <t>1st Academic Year</t>
  </si>
  <si>
    <t>2nd Semester</t>
  </si>
  <si>
    <t>2nd Academic Year</t>
  </si>
  <si>
    <t>3rd Semester</t>
  </si>
  <si>
    <t>4th Semester</t>
  </si>
  <si>
    <t>accommodation</t>
  </si>
  <si>
    <t>semester tickets</t>
  </si>
  <si>
    <t>health insurance</t>
  </si>
  <si>
    <t>job salary</t>
  </si>
  <si>
    <t>monthly expense</t>
  </si>
  <si>
    <t>Overall Cost Items</t>
  </si>
  <si>
    <t xml:space="preserve"> Cost Items Subtotal</t>
  </si>
  <si>
    <t>KfW
Studienkredit</t>
  </si>
  <si>
    <t>Artikel</t>
  </si>
  <si>
    <t>Reichtum (start)</t>
  </si>
  <si>
    <t>Overall (end)</t>
  </si>
  <si>
    <t>August</t>
  </si>
  <si>
    <t>January</t>
  </si>
  <si>
    <t>May</t>
  </si>
  <si>
    <t>tax return</t>
  </si>
  <si>
    <t>external income/aid</t>
  </si>
  <si>
    <t>tuition (PhD)</t>
  </si>
  <si>
    <t>tuition (master)</t>
  </si>
  <si>
    <t>tax</t>
  </si>
  <si>
    <t>February</t>
  </si>
  <si>
    <t>Community Fund</t>
  </si>
  <si>
    <t>Gesamt</t>
  </si>
  <si>
    <t>Kontostände am 1. des Monats</t>
  </si>
  <si>
    <t>Ausgaben</t>
  </si>
  <si>
    <t>Mietkosten</t>
  </si>
  <si>
    <t>Krankenversicherung</t>
  </si>
  <si>
    <t>Steuern, Gebühren usw.</t>
  </si>
  <si>
    <t>Kontostände am Monatsende</t>
  </si>
  <si>
    <t>KfW</t>
  </si>
  <si>
    <t>BrainCapital</t>
  </si>
  <si>
    <t>Einkommen</t>
  </si>
  <si>
    <t>faiz ve costs</t>
  </si>
  <si>
    <t>yillik</t>
  </si>
  <si>
    <t>Brain Capital</t>
  </si>
  <si>
    <t>Summe der Anderekosten</t>
  </si>
  <si>
    <t>Anderekosten</t>
  </si>
  <si>
    <t>Lebensunterhalt</t>
  </si>
  <si>
    <t>Rentenversicherung</t>
  </si>
  <si>
    <t>Arbeitslosenversicherung</t>
  </si>
  <si>
    <t>Pflegeversicherung</t>
  </si>
  <si>
    <t>Lohnsteuer</t>
  </si>
  <si>
    <t>Versicherung</t>
  </si>
  <si>
    <t>Gartenbau</t>
  </si>
  <si>
    <t>Bau</t>
  </si>
  <si>
    <t>Handel</t>
  </si>
  <si>
    <t>tilgungsplan</t>
  </si>
  <si>
    <t>Mobile</t>
  </si>
  <si>
    <t>Public Transportation</t>
  </si>
  <si>
    <t>Electricity</t>
  </si>
  <si>
    <t>Water</t>
  </si>
  <si>
    <t>TV-Radio Fee</t>
  </si>
  <si>
    <t>Summe der Hausekosten</t>
  </si>
  <si>
    <t>Hausekosten</t>
  </si>
  <si>
    <t>Geräte</t>
  </si>
  <si>
    <t>Internet</t>
  </si>
  <si>
    <t>Logistik</t>
  </si>
  <si>
    <t>Nettoeinkommen</t>
  </si>
  <si>
    <t>total</t>
  </si>
  <si>
    <t>Balancing</t>
  </si>
  <si>
    <t>Serhat</t>
  </si>
  <si>
    <t>Ayse</t>
  </si>
  <si>
    <t>First Half</t>
  </si>
  <si>
    <t>Last Half</t>
  </si>
  <si>
    <t>Mid</t>
  </si>
  <si>
    <t>december</t>
  </si>
  <si>
    <t>january</t>
  </si>
  <si>
    <t>Murat</t>
  </si>
  <si>
    <t>Rent</t>
  </si>
  <si>
    <t>TV-Radio</t>
  </si>
  <si>
    <t>Furniture</t>
  </si>
  <si>
    <t>Total</t>
  </si>
  <si>
    <t>from Murat</t>
  </si>
  <si>
    <t>main</t>
  </si>
  <si>
    <t>costs</t>
  </si>
  <si>
    <t>calculator:
https://onlinekreditportal.kfw.de/BK_Tilgungsrechner/Rechner/Studienkredit/Main2.jsp#anker</t>
  </si>
  <si>
    <t xml:space="preserve">geri odeme </t>
  </si>
  <si>
    <t>ana para</t>
  </si>
  <si>
    <t>tarih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</si>
</sst>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407]"/>
    <numFmt numFmtId="165" formatCode="#,##0.00\ &quot;€&quot;"/>
    <numFmt numFmtId="166" formatCode="#,##0\ [$TRY]"/>
    <numFmt numFmtId="167" formatCode="#,##0.000000000000\ &quot;€&quot;"/>
    <numFmt numFmtId="168" formatCode="#,##0.00000000\ &quot;€&quot;"/>
  </numFmts>
  <fonts count="7" x14ac:knownFonts="1">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6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style="thin">
        <color auto="1"/>
      </right>
      <top style="thin">
        <color auto="1"/>
      </top>
      <bottom/>
      <diagonal/>
    </border>
    <border>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diagonal/>
    </border>
    <border>
      <left style="medium">
        <color auto="1"/>
      </left>
      <right/>
      <top/>
      <bottom/>
      <diagonal/>
    </border>
    <border>
      <left/>
      <right style="thin">
        <color auto="1"/>
      </right>
      <top/>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thin">
        <color auto="1"/>
      </left>
      <right/>
      <top/>
      <bottom/>
      <diagonal/>
    </border>
  </borders>
  <cellStyleXfs count="1">
    <xf numFmtId="0" fontId="0" fillId="0" borderId="0"/>
  </cellStyleXfs>
  <cellXfs count="202">
    <xf numFmtId="0" fontId="0" fillId="0" borderId="0" xfId="0"/>
    <xf numFmtId="164" fontId="0" fillId="0" borderId="0" xfId="0" applyNumberFormat="1" applyAlignment="1">
      <alignment horizontal="right"/>
    </xf>
    <xf numFmtId="0" fontId="0" fillId="0" borderId="0" xfId="0" applyAlignment="1">
      <alignment horizontal="center"/>
    </xf>
    <xf numFmtId="164" fontId="1" fillId="0" borderId="0" xfId="0" applyNumberFormat="1" applyFont="1" applyAlignment="1">
      <alignment horizontal="center"/>
    </xf>
    <xf numFmtId="0" fontId="1" fillId="2" borderId="3" xfId="0" applyFont="1" applyFill="1" applyBorder="1" applyAlignment="1">
      <alignment horizontal="center"/>
    </xf>
    <xf numFmtId="164" fontId="1" fillId="2" borderId="3" xfId="0" applyNumberFormat="1" applyFont="1" applyFill="1" applyBorder="1" applyAlignment="1">
      <alignment horizontal="center" vertical="center" wrapText="1"/>
    </xf>
    <xf numFmtId="0" fontId="1" fillId="2" borderId="9" xfId="0" applyFont="1" applyFill="1" applyBorder="1"/>
    <xf numFmtId="0" fontId="0" fillId="0" borderId="0" xfId="0" applyAlignment="1">
      <alignment horizontal="center" vertical="center"/>
    </xf>
    <xf numFmtId="164" fontId="1" fillId="2" borderId="6" xfId="0" applyNumberFormat="1" applyFont="1" applyFill="1" applyBorder="1" applyAlignment="1">
      <alignment horizontal="center" vertical="center" wrapText="1"/>
    </xf>
    <xf numFmtId="164" fontId="0" fillId="0" borderId="19" xfId="0" applyNumberFormat="1" applyBorder="1" applyAlignment="1">
      <alignment horizontal="center" vertical="center"/>
    </xf>
    <xf numFmtId="164" fontId="0" fillId="5" borderId="5" xfId="0" applyNumberFormat="1" applyFill="1" applyBorder="1" applyAlignment="1">
      <alignment horizontal="center" vertical="center"/>
    </xf>
    <xf numFmtId="164" fontId="0" fillId="5" borderId="2" xfId="0" applyNumberFormat="1" applyFill="1" applyBorder="1" applyAlignment="1">
      <alignment horizontal="center" vertical="center"/>
    </xf>
    <xf numFmtId="164" fontId="0" fillId="5" borderId="18" xfId="0" applyNumberFormat="1" applyFill="1" applyBorder="1" applyAlignment="1">
      <alignment horizontal="center" vertical="center"/>
    </xf>
    <xf numFmtId="164" fontId="0" fillId="0" borderId="0" xfId="0" applyNumberFormat="1"/>
    <xf numFmtId="164" fontId="0" fillId="0" borderId="0" xfId="0" applyNumberFormat="1" applyAlignment="1">
      <alignment horizontal="center" vertical="center"/>
    </xf>
    <xf numFmtId="0" fontId="0" fillId="0" borderId="0" xfId="0" applyAlignment="1">
      <alignment wrapText="1"/>
    </xf>
    <xf numFmtId="164" fontId="0" fillId="5" borderId="4"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2" fillId="5" borderId="1" xfId="0" applyNumberFormat="1" applyFont="1" applyFill="1" applyBorder="1" applyAlignment="1">
      <alignment horizontal="center" vertical="center"/>
    </xf>
    <xf numFmtId="0" fontId="0" fillId="5" borderId="0" xfId="0" applyFill="1"/>
    <xf numFmtId="4" fontId="0" fillId="0" borderId="0" xfId="0" applyNumberFormat="1"/>
    <xf numFmtId="0" fontId="1" fillId="2" borderId="8" xfId="0" applyFont="1" applyFill="1" applyBorder="1" applyAlignment="1">
      <alignment horizontal="center"/>
    </xf>
    <xf numFmtId="164" fontId="0" fillId="5" borderId="25" xfId="0" applyNumberFormat="1" applyFill="1" applyBorder="1" applyAlignment="1">
      <alignment horizontal="center" vertical="center"/>
    </xf>
    <xf numFmtId="164" fontId="0" fillId="5" borderId="21" xfId="0" applyNumberFormat="1" applyFill="1" applyBorder="1" applyAlignment="1">
      <alignment horizontal="center" vertical="center"/>
    </xf>
    <xf numFmtId="164" fontId="0" fillId="5" borderId="23" xfId="0" applyNumberFormat="1" applyFill="1" applyBorder="1" applyAlignment="1">
      <alignment horizontal="center" vertical="center"/>
    </xf>
    <xf numFmtId="165" fontId="0" fillId="0" borderId="28" xfId="0" applyNumberFormat="1" applyBorder="1" applyAlignment="1">
      <alignment horizontal="center" vertical="center"/>
    </xf>
    <xf numFmtId="165" fontId="0" fillId="0" borderId="20" xfId="0" applyNumberFormat="1" applyBorder="1" applyAlignment="1">
      <alignment horizontal="center" vertical="center"/>
    </xf>
    <xf numFmtId="0" fontId="0" fillId="0" borderId="0" xfId="0" applyAlignment="1">
      <alignment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xf>
    <xf numFmtId="0" fontId="2" fillId="0" borderId="0" xfId="0" applyFont="1" applyAlignment="1">
      <alignment vertical="center"/>
    </xf>
    <xf numFmtId="165" fontId="0" fillId="0" borderId="0" xfId="0" applyNumberFormat="1" applyAlignment="1">
      <alignment vertical="center"/>
    </xf>
    <xf numFmtId="164" fontId="0" fillId="5" borderId="20" xfId="0" applyNumberFormat="1" applyFill="1" applyBorder="1" applyAlignment="1">
      <alignment horizontal="center" vertical="center"/>
    </xf>
    <xf numFmtId="164" fontId="0" fillId="5" borderId="24" xfId="0" applyNumberFormat="1" applyFill="1" applyBorder="1" applyAlignment="1">
      <alignment horizontal="center" vertical="center"/>
    </xf>
    <xf numFmtId="164" fontId="0" fillId="5" borderId="22" xfId="0" applyNumberFormat="1" applyFill="1" applyBorder="1" applyAlignment="1">
      <alignment horizontal="center" vertical="center"/>
    </xf>
    <xf numFmtId="0" fontId="0" fillId="0" borderId="0" xfId="0" applyAlignment="1">
      <alignment vertical="center" wrapText="1"/>
    </xf>
    <xf numFmtId="164" fontId="1" fillId="2" borderId="34" xfId="0" applyNumberFormat="1" applyFont="1" applyFill="1" applyBorder="1" applyAlignment="1">
      <alignment horizontal="center" vertical="center" wrapText="1"/>
    </xf>
    <xf numFmtId="164" fontId="1" fillId="2" borderId="20" xfId="0" applyNumberFormat="1" applyFont="1" applyFill="1" applyBorder="1" applyAlignment="1">
      <alignment horizontal="center" vertical="center" wrapText="1"/>
    </xf>
    <xf numFmtId="164" fontId="1" fillId="2" borderId="35" xfId="0" applyNumberFormat="1" applyFont="1" applyFill="1" applyBorder="1" applyAlignment="1">
      <alignment horizontal="center" vertical="center" wrapText="1"/>
    </xf>
    <xf numFmtId="165" fontId="0" fillId="2" borderId="41" xfId="0" applyNumberFormat="1" applyFill="1" applyBorder="1" applyAlignment="1">
      <alignment horizontal="center" vertical="center"/>
    </xf>
    <xf numFmtId="165" fontId="0" fillId="2" borderId="42" xfId="0" applyNumberFormat="1" applyFill="1" applyBorder="1" applyAlignment="1">
      <alignment horizontal="center" vertical="center"/>
    </xf>
    <xf numFmtId="165" fontId="0" fillId="2" borderId="43" xfId="0" applyNumberFormat="1" applyFill="1" applyBorder="1" applyAlignment="1">
      <alignment horizontal="center" vertical="center"/>
    </xf>
    <xf numFmtId="164" fontId="1" fillId="2" borderId="27" xfId="0" applyNumberFormat="1" applyFont="1" applyFill="1" applyBorder="1" applyAlignment="1">
      <alignment horizontal="center" vertical="center" wrapText="1"/>
    </xf>
    <xf numFmtId="164" fontId="1" fillId="2" borderId="28" xfId="0" applyNumberFormat="1" applyFont="1" applyFill="1" applyBorder="1" applyAlignment="1">
      <alignment horizontal="center" vertical="center" wrapText="1"/>
    </xf>
    <xf numFmtId="164" fontId="1" fillId="2" borderId="22" xfId="0" applyNumberFormat="1" applyFont="1" applyFill="1" applyBorder="1" applyAlignment="1">
      <alignment horizontal="center" vertical="center" wrapText="1"/>
    </xf>
    <xf numFmtId="165" fontId="0" fillId="5" borderId="26" xfId="0" applyNumberFormat="1" applyFill="1" applyBorder="1" applyAlignment="1">
      <alignment horizontal="center" vertical="center"/>
    </xf>
    <xf numFmtId="165" fontId="0" fillId="5" borderId="29" xfId="0" applyNumberFormat="1" applyFill="1" applyBorder="1" applyAlignment="1">
      <alignment horizontal="center" vertical="center"/>
    </xf>
    <xf numFmtId="165" fontId="0" fillId="5" borderId="33" xfId="0" applyNumberFormat="1" applyFill="1" applyBorder="1" applyAlignment="1">
      <alignment horizontal="center" vertical="center"/>
    </xf>
    <xf numFmtId="165" fontId="0" fillId="5" borderId="27" xfId="0" applyNumberFormat="1" applyFill="1" applyBorder="1" applyAlignment="1">
      <alignment horizontal="center" vertical="center"/>
    </xf>
    <xf numFmtId="165" fontId="0" fillId="5" borderId="1" xfId="0" applyNumberFormat="1" applyFill="1" applyBorder="1" applyAlignment="1">
      <alignment horizontal="center" vertical="center"/>
    </xf>
    <xf numFmtId="165" fontId="2" fillId="5" borderId="1" xfId="0" applyNumberFormat="1" applyFont="1" applyFill="1" applyBorder="1" applyAlignment="1">
      <alignment horizontal="center" vertical="center"/>
    </xf>
    <xf numFmtId="165" fontId="2" fillId="5" borderId="27" xfId="0" applyNumberFormat="1" applyFont="1" applyFill="1" applyBorder="1" applyAlignment="1">
      <alignment horizontal="center" vertical="center"/>
    </xf>
    <xf numFmtId="165" fontId="0" fillId="5" borderId="2" xfId="0" applyNumberFormat="1" applyFill="1" applyBorder="1" applyAlignment="1">
      <alignment horizontal="center" vertical="center"/>
    </xf>
    <xf numFmtId="0" fontId="0" fillId="5" borderId="0" xfId="0" applyFill="1" applyAlignment="1">
      <alignment vertical="center"/>
    </xf>
    <xf numFmtId="165" fontId="0" fillId="5" borderId="23" xfId="0" applyNumberFormat="1" applyFill="1" applyBorder="1" applyAlignment="1">
      <alignment horizontal="center" vertical="center"/>
    </xf>
    <xf numFmtId="165" fontId="0" fillId="5" borderId="4" xfId="0" applyNumberFormat="1" applyFill="1" applyBorder="1" applyAlignment="1">
      <alignment horizontal="center" vertical="center"/>
    </xf>
    <xf numFmtId="165" fontId="0" fillId="5" borderId="45" xfId="0" applyNumberFormat="1" applyFill="1" applyBorder="1" applyAlignment="1">
      <alignment horizontal="center" vertical="center"/>
    </xf>
    <xf numFmtId="165" fontId="0" fillId="2" borderId="46" xfId="0" applyNumberFormat="1" applyFill="1" applyBorder="1" applyAlignment="1">
      <alignment horizontal="center" vertical="center"/>
    </xf>
    <xf numFmtId="165" fontId="0" fillId="5" borderId="30" xfId="0" applyNumberFormat="1" applyFill="1" applyBorder="1" applyAlignment="1">
      <alignment horizontal="center" vertical="center"/>
    </xf>
    <xf numFmtId="165" fontId="2" fillId="5" borderId="23" xfId="0" applyNumberFormat="1" applyFont="1" applyFill="1" applyBorder="1" applyAlignment="1">
      <alignment horizontal="center" vertical="center"/>
    </xf>
    <xf numFmtId="164" fontId="1" fillId="2" borderId="50" xfId="0" applyNumberFormat="1" applyFont="1" applyFill="1" applyBorder="1" applyAlignment="1">
      <alignment horizontal="center" vertical="center" wrapText="1"/>
    </xf>
    <xf numFmtId="165" fontId="2" fillId="5" borderId="37" xfId="0" applyNumberFormat="1" applyFont="1" applyFill="1" applyBorder="1" applyAlignment="1">
      <alignment horizontal="center" vertical="center"/>
    </xf>
    <xf numFmtId="165" fontId="2" fillId="5" borderId="4" xfId="0" applyNumberFormat="1" applyFont="1" applyFill="1" applyBorder="1" applyAlignment="1">
      <alignment horizontal="center" vertical="center"/>
    </xf>
    <xf numFmtId="165" fontId="0" fillId="0" borderId="50" xfId="0" applyNumberFormat="1" applyBorder="1" applyAlignment="1">
      <alignment horizontal="center" vertical="center"/>
    </xf>
    <xf numFmtId="165" fontId="2" fillId="0" borderId="20" xfId="0" applyNumberFormat="1" applyFont="1" applyBorder="1" applyAlignment="1">
      <alignment horizontal="center" vertical="center"/>
    </xf>
    <xf numFmtId="165" fontId="1" fillId="5" borderId="25" xfId="0" applyNumberFormat="1" applyFont="1" applyFill="1" applyBorder="1" applyAlignment="1">
      <alignment horizontal="center" vertical="center"/>
    </xf>
    <xf numFmtId="165" fontId="1" fillId="5" borderId="21" xfId="0" applyNumberFormat="1" applyFont="1" applyFill="1" applyBorder="1" applyAlignment="1">
      <alignment horizontal="center" vertical="center"/>
    </xf>
    <xf numFmtId="165" fontId="1" fillId="0" borderId="22" xfId="0" applyNumberFormat="1" applyFont="1" applyBorder="1" applyAlignment="1">
      <alignment horizontal="center" vertical="center"/>
    </xf>
    <xf numFmtId="164" fontId="1" fillId="2" borderId="12" xfId="0" applyNumberFormat="1" applyFont="1" applyFill="1" applyBorder="1" applyAlignment="1">
      <alignment horizontal="center" vertical="center" wrapText="1"/>
    </xf>
    <xf numFmtId="165" fontId="0" fillId="5" borderId="18" xfId="0" applyNumberFormat="1" applyFill="1" applyBorder="1" applyAlignment="1">
      <alignment horizontal="center" vertical="center"/>
    </xf>
    <xf numFmtId="165" fontId="0" fillId="0" borderId="24" xfId="0" applyNumberFormat="1" applyBorder="1" applyAlignment="1">
      <alignment horizontal="center" vertical="center"/>
    </xf>
    <xf numFmtId="164" fontId="1" fillId="2" borderId="39" xfId="0" applyNumberFormat="1" applyFont="1" applyFill="1" applyBorder="1" applyAlignment="1">
      <alignment horizontal="center" vertical="center" wrapText="1"/>
    </xf>
    <xf numFmtId="164" fontId="1" fillId="2" borderId="52" xfId="0" applyNumberFormat="1" applyFont="1" applyFill="1" applyBorder="1" applyAlignment="1">
      <alignment horizontal="center" vertical="center" wrapText="1"/>
    </xf>
    <xf numFmtId="165" fontId="0" fillId="5" borderId="37" xfId="0" applyNumberFormat="1" applyFill="1" applyBorder="1" applyAlignment="1">
      <alignment horizontal="center" vertical="center"/>
    </xf>
    <xf numFmtId="164" fontId="1" fillId="2" borderId="22" xfId="0" applyNumberFormat="1" applyFont="1" applyFill="1" applyBorder="1" applyAlignment="1">
      <alignment horizontal="center" vertical="center"/>
    </xf>
    <xf numFmtId="165" fontId="1" fillId="2" borderId="54" xfId="0" applyNumberFormat="1" applyFont="1" applyFill="1" applyBorder="1" applyAlignment="1">
      <alignment horizontal="right" vertical="center"/>
    </xf>
    <xf numFmtId="165" fontId="1" fillId="5" borderId="55" xfId="0" applyNumberFormat="1" applyFont="1" applyFill="1" applyBorder="1" applyAlignment="1">
      <alignment horizontal="center" vertical="center"/>
    </xf>
    <xf numFmtId="165" fontId="0" fillId="2" borderId="31" xfId="0" applyNumberFormat="1" applyFill="1" applyBorder="1" applyAlignment="1">
      <alignment horizontal="right" vertical="center"/>
    </xf>
    <xf numFmtId="165" fontId="0" fillId="2" borderId="32" xfId="0" applyNumberFormat="1" applyFill="1" applyBorder="1" applyAlignment="1">
      <alignment horizontal="right" vertical="center"/>
    </xf>
    <xf numFmtId="165" fontId="0" fillId="2" borderId="40" xfId="0" applyNumberFormat="1" applyFill="1" applyBorder="1" applyAlignment="1">
      <alignment horizontal="right" vertical="center"/>
    </xf>
    <xf numFmtId="165" fontId="0" fillId="2" borderId="7" xfId="0" applyNumberFormat="1" applyFill="1" applyBorder="1" applyAlignment="1">
      <alignment vertical="center"/>
    </xf>
    <xf numFmtId="165" fontId="0" fillId="2" borderId="31" xfId="0" applyNumberFormat="1" applyFill="1" applyBorder="1" applyAlignment="1">
      <alignment vertical="center"/>
    </xf>
    <xf numFmtId="165" fontId="0" fillId="2" borderId="32" xfId="0" applyNumberFormat="1" applyFill="1" applyBorder="1" applyAlignment="1">
      <alignment vertical="center"/>
    </xf>
    <xf numFmtId="165" fontId="0" fillId="5" borderId="1" xfId="0" applyNumberFormat="1" applyFill="1" applyBorder="1" applyAlignment="1">
      <alignment vertical="center"/>
    </xf>
    <xf numFmtId="165" fontId="0" fillId="2" borderId="57" xfId="0" applyNumberFormat="1" applyFill="1" applyBorder="1" applyAlignment="1">
      <alignment horizontal="center" vertical="center"/>
    </xf>
    <xf numFmtId="165" fontId="0" fillId="2" borderId="56" xfId="0" applyNumberFormat="1" applyFill="1" applyBorder="1" applyAlignment="1">
      <alignment horizontal="center" vertical="center"/>
    </xf>
    <xf numFmtId="165" fontId="1" fillId="2" borderId="8" xfId="0" applyNumberFormat="1" applyFont="1" applyFill="1" applyBorder="1" applyAlignment="1">
      <alignment vertical="center"/>
    </xf>
    <xf numFmtId="165" fontId="0" fillId="2" borderId="58" xfId="0" applyNumberFormat="1" applyFill="1" applyBorder="1" applyAlignment="1">
      <alignment vertical="center"/>
    </xf>
    <xf numFmtId="165" fontId="1" fillId="2" borderId="3" xfId="0" applyNumberFormat="1" applyFont="1" applyFill="1" applyBorder="1" applyAlignment="1">
      <alignment vertical="center"/>
    </xf>
    <xf numFmtId="0" fontId="0" fillId="0" borderId="1" xfId="0" applyBorder="1" applyAlignment="1">
      <alignment vertical="center"/>
    </xf>
    <xf numFmtId="3" fontId="0" fillId="0" borderId="0" xfId="0" applyNumberFormat="1" applyAlignment="1">
      <alignment vertical="center"/>
    </xf>
    <xf numFmtId="165" fontId="0" fillId="2" borderId="3" xfId="0" applyNumberFormat="1" applyFill="1" applyBorder="1" applyAlignment="1">
      <alignment horizontal="center" vertical="center"/>
    </xf>
    <xf numFmtId="165" fontId="2" fillId="0" borderId="28" xfId="0" applyNumberFormat="1" applyFont="1" applyBorder="1" applyAlignment="1">
      <alignment horizontal="center" vertical="center"/>
    </xf>
    <xf numFmtId="165" fontId="2" fillId="0" borderId="24" xfId="0" applyNumberFormat="1" applyFont="1" applyBorder="1" applyAlignment="1">
      <alignment horizontal="center" vertical="center"/>
    </xf>
    <xf numFmtId="165" fontId="2" fillId="0" borderId="27" xfId="0" applyNumberFormat="1" applyFont="1" applyBorder="1" applyAlignment="1">
      <alignment horizontal="center" vertical="center"/>
    </xf>
    <xf numFmtId="165" fontId="2" fillId="0" borderId="1"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1" fillId="0" borderId="21" xfId="0" applyNumberFormat="1" applyFont="1" applyBorder="1" applyAlignment="1">
      <alignment horizontal="center" vertical="center"/>
    </xf>
    <xf numFmtId="165" fontId="0" fillId="0" borderId="4" xfId="0" applyNumberFormat="1" applyBorder="1" applyAlignment="1">
      <alignment horizontal="center" vertical="center"/>
    </xf>
    <xf numFmtId="165" fontId="0" fillId="0" borderId="1" xfId="0" applyNumberFormat="1" applyBorder="1" applyAlignment="1">
      <alignment vertical="center"/>
    </xf>
    <xf numFmtId="165" fontId="0" fillId="0" borderId="1" xfId="0" applyNumberFormat="1" applyBorder="1" applyAlignment="1">
      <alignment horizontal="center" vertical="center"/>
    </xf>
    <xf numFmtId="165" fontId="0" fillId="0" borderId="23" xfId="0" applyNumberFormat="1" applyBorder="1" applyAlignment="1">
      <alignment horizontal="center" vertical="center"/>
    </xf>
    <xf numFmtId="165" fontId="0" fillId="0" borderId="27" xfId="0" applyNumberFormat="1" applyBorder="1" applyAlignment="1">
      <alignment horizontal="center" vertical="center"/>
    </xf>
    <xf numFmtId="165" fontId="0" fillId="0" borderId="26" xfId="0" applyNumberFormat="1" applyBorder="1" applyAlignment="1">
      <alignment horizontal="center" vertical="center"/>
    </xf>
    <xf numFmtId="165" fontId="0" fillId="0" borderId="37" xfId="0" applyNumberFormat="1" applyBorder="1" applyAlignment="1">
      <alignment horizontal="center" vertical="center"/>
    </xf>
    <xf numFmtId="165" fontId="0" fillId="0" borderId="29" xfId="0" applyNumberFormat="1" applyBorder="1" applyAlignment="1">
      <alignment horizontal="center" vertical="center"/>
    </xf>
    <xf numFmtId="165" fontId="0" fillId="0" borderId="30" xfId="0" applyNumberFormat="1" applyBorder="1" applyAlignment="1">
      <alignment horizontal="center" vertical="center"/>
    </xf>
    <xf numFmtId="165" fontId="1" fillId="0" borderId="25" xfId="0" applyNumberFormat="1" applyFont="1" applyBorder="1" applyAlignment="1">
      <alignment horizontal="center" vertical="center"/>
    </xf>
    <xf numFmtId="165" fontId="2" fillId="0" borderId="26" xfId="0" applyNumberFormat="1"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20" fontId="0" fillId="0" borderId="0" xfId="0" applyNumberFormat="1" applyAlignment="1">
      <alignment vertical="center"/>
    </xf>
    <xf numFmtId="0" fontId="1" fillId="0" borderId="1" xfId="0" applyFont="1" applyBorder="1" applyAlignment="1">
      <alignment vertical="center"/>
    </xf>
    <xf numFmtId="165" fontId="1" fillId="0" borderId="1" xfId="0" applyNumberFormat="1" applyFont="1" applyBorder="1" applyAlignment="1">
      <alignment vertical="center"/>
    </xf>
    <xf numFmtId="3" fontId="0" fillId="0" borderId="1" xfId="0" applyNumberFormat="1" applyBorder="1" applyAlignment="1">
      <alignment horizontal="center" vertical="center"/>
    </xf>
    <xf numFmtId="166" fontId="0" fillId="0" borderId="0" xfId="0" applyNumberFormat="1" applyAlignment="1">
      <alignment vertical="center"/>
    </xf>
    <xf numFmtId="0" fontId="0" fillId="0" borderId="1" xfId="0" applyBorder="1" applyAlignment="1">
      <alignment horizontal="center" vertical="center" wrapText="1"/>
    </xf>
    <xf numFmtId="4" fontId="0" fillId="0" borderId="1" xfId="0" applyNumberFormat="1" applyBorder="1" applyAlignment="1">
      <alignment vertical="center"/>
    </xf>
    <xf numFmtId="167" fontId="0" fillId="0" borderId="0" xfId="0" applyNumberFormat="1" applyAlignment="1">
      <alignment vertical="center"/>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5" xfId="0"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164" fontId="1" fillId="2" borderId="7" xfId="0" applyNumberFormat="1" applyFont="1" applyFill="1" applyBorder="1" applyAlignment="1">
      <alignment horizontal="center" vertical="center" wrapText="1"/>
    </xf>
    <xf numFmtId="164" fontId="1" fillId="2" borderId="8" xfId="0" applyNumberFormat="1" applyFont="1" applyFill="1" applyBorder="1" applyAlignment="1">
      <alignment horizontal="center" vertical="center" wrapText="1"/>
    </xf>
    <xf numFmtId="164" fontId="1" fillId="2" borderId="6" xfId="0" applyNumberFormat="1" applyFont="1" applyFill="1" applyBorder="1" applyAlignment="1">
      <alignment horizontal="center" vertical="center"/>
    </xf>
    <xf numFmtId="164" fontId="1" fillId="2" borderId="7" xfId="0" applyNumberFormat="1" applyFont="1" applyFill="1" applyBorder="1" applyAlignment="1">
      <alignment horizontal="center" vertical="center"/>
    </xf>
    <xf numFmtId="164" fontId="1" fillId="2" borderId="8" xfId="0" applyNumberFormat="1" applyFont="1" applyFill="1" applyBorder="1" applyAlignment="1">
      <alignment horizontal="center" vertical="center"/>
    </xf>
    <xf numFmtId="0" fontId="1" fillId="9" borderId="9" xfId="0" applyFont="1" applyFill="1" applyBorder="1" applyAlignment="1">
      <alignment horizontal="center"/>
    </xf>
    <xf numFmtId="0" fontId="1" fillId="9" borderId="11" xfId="0" applyFont="1" applyFill="1" applyBorder="1" applyAlignment="1">
      <alignment horizontal="center"/>
    </xf>
    <xf numFmtId="0" fontId="1" fillId="9" borderId="10" xfId="0" applyFont="1" applyFill="1" applyBorder="1" applyAlignment="1">
      <alignment horizontal="center"/>
    </xf>
    <xf numFmtId="1" fontId="1" fillId="2"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11" xfId="0" applyFont="1" applyFill="1" applyBorder="1" applyAlignment="1">
      <alignment horizontal="center"/>
    </xf>
    <xf numFmtId="0" fontId="1" fillId="2" borderId="16"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6" borderId="9" xfId="0" applyFont="1" applyFill="1" applyBorder="1" applyAlignment="1">
      <alignment horizontal="center"/>
    </xf>
    <xf numFmtId="0" fontId="1" fillId="6" borderId="11" xfId="0" applyFont="1" applyFill="1" applyBorder="1" applyAlignment="1">
      <alignment horizontal="center"/>
    </xf>
    <xf numFmtId="0" fontId="1" fillId="6" borderId="10" xfId="0" applyFont="1" applyFill="1" applyBorder="1" applyAlignment="1">
      <alignment horizontal="center"/>
    </xf>
    <xf numFmtId="0" fontId="1" fillId="4" borderId="3" xfId="0" applyFont="1" applyFill="1" applyBorder="1" applyAlignment="1">
      <alignment horizontal="center"/>
    </xf>
    <xf numFmtId="0" fontId="1" fillId="7" borderId="9" xfId="0" applyFont="1" applyFill="1" applyBorder="1" applyAlignment="1">
      <alignment horizontal="center"/>
    </xf>
    <xf numFmtId="0" fontId="1" fillId="7" borderId="11" xfId="0" applyFont="1" applyFill="1" applyBorder="1" applyAlignment="1">
      <alignment horizontal="center"/>
    </xf>
    <xf numFmtId="0" fontId="1" fillId="7" borderId="10" xfId="0" applyFont="1" applyFill="1" applyBorder="1" applyAlignment="1">
      <alignment horizontal="center"/>
    </xf>
    <xf numFmtId="0" fontId="1" fillId="8" borderId="9" xfId="0" applyFont="1" applyFill="1" applyBorder="1" applyAlignment="1">
      <alignment horizontal="center"/>
    </xf>
    <xf numFmtId="0" fontId="1" fillId="8" borderId="11" xfId="0" applyFont="1" applyFill="1" applyBorder="1" applyAlignment="1">
      <alignment horizontal="center"/>
    </xf>
    <xf numFmtId="0" fontId="1" fillId="8" borderId="10" xfId="0" applyFont="1" applyFill="1" applyBorder="1" applyAlignment="1">
      <alignment horizontal="center"/>
    </xf>
    <xf numFmtId="1" fontId="1" fillId="2" borderId="9" xfId="0" applyNumberFormat="1" applyFont="1" applyFill="1" applyBorder="1" applyAlignment="1">
      <alignment horizontal="center"/>
    </xf>
    <xf numFmtId="1" fontId="1" fillId="2" borderId="11" xfId="0" applyNumberFormat="1" applyFont="1" applyFill="1" applyBorder="1" applyAlignment="1">
      <alignment horizontal="center"/>
    </xf>
    <xf numFmtId="1" fontId="1" fillId="2" borderId="10" xfId="0" applyNumberFormat="1" applyFont="1" applyFill="1" applyBorder="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4" fontId="1" fillId="2" borderId="9"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0" fontId="0" fillId="0" borderId="23" xfId="0" applyBorder="1" applyAlignment="1">
      <alignment horizontal="center" vertical="center"/>
    </xf>
    <xf numFmtId="0" fontId="0" fillId="0" borderId="4" xfId="0" applyBorder="1" applyAlignment="1">
      <alignment horizontal="center" vertical="center"/>
    </xf>
    <xf numFmtId="165" fontId="0" fillId="0" borderId="23" xfId="0" applyNumberFormat="1" applyBorder="1" applyAlignment="1">
      <alignment horizontal="center" vertical="center"/>
    </xf>
    <xf numFmtId="168" fontId="0" fillId="0" borderId="0" xfId="0" applyNumberFormat="1" applyAlignment="1">
      <alignment horizontal="center" vertical="center"/>
    </xf>
    <xf numFmtId="165" fontId="0" fillId="0" borderId="0" xfId="0" applyNumberFormat="1" applyAlignment="1">
      <alignment horizontal="center" vertical="center"/>
    </xf>
    <xf numFmtId="3" fontId="0" fillId="0" borderId="1" xfId="0" applyNumberFormat="1" applyBorder="1" applyAlignment="1">
      <alignment horizontal="center" vertical="center"/>
    </xf>
    <xf numFmtId="164" fontId="1" fillId="2" borderId="42" xfId="0" applyNumberFormat="1" applyFont="1" applyFill="1" applyBorder="1" applyAlignment="1">
      <alignment horizontal="center" vertical="center" textRotation="90" wrapText="1"/>
    </xf>
    <xf numFmtId="164" fontId="1" fillId="2" borderId="38" xfId="0" applyNumberFormat="1" applyFont="1" applyFill="1" applyBorder="1" applyAlignment="1">
      <alignment horizontal="center" vertical="center" textRotation="90" wrapText="1"/>
    </xf>
    <xf numFmtId="164" fontId="1" fillId="2" borderId="53" xfId="0" applyNumberFormat="1" applyFont="1" applyFill="1" applyBorder="1" applyAlignment="1">
      <alignment horizontal="center" vertical="center" textRotation="90" wrapText="1"/>
    </xf>
    <xf numFmtId="0" fontId="0" fillId="0" borderId="38" xfId="0" applyBorder="1" applyAlignment="1">
      <alignment horizontal="center" vertical="center"/>
    </xf>
    <xf numFmtId="164" fontId="1" fillId="2" borderId="16"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164" fontId="1" fillId="2" borderId="13" xfId="0" applyNumberFormat="1" applyFont="1" applyFill="1" applyBorder="1" applyAlignment="1">
      <alignment horizontal="center" vertical="center"/>
    </xf>
    <xf numFmtId="164" fontId="1" fillId="2" borderId="17" xfId="0" applyNumberFormat="1" applyFont="1" applyFill="1" applyBorder="1" applyAlignment="1">
      <alignment horizontal="center" vertical="center"/>
    </xf>
    <xf numFmtId="164" fontId="1" fillId="2" borderId="14" xfId="0" applyNumberFormat="1" applyFont="1" applyFill="1" applyBorder="1" applyAlignment="1">
      <alignment horizontal="center" vertical="center"/>
    </xf>
    <xf numFmtId="164" fontId="1" fillId="2" borderId="15" xfId="0" applyNumberFormat="1" applyFont="1" applyFill="1" applyBorder="1" applyAlignment="1">
      <alignment horizontal="center" vertical="center"/>
    </xf>
    <xf numFmtId="164" fontId="1" fillId="2" borderId="16" xfId="0" applyNumberFormat="1" applyFont="1" applyFill="1" applyBorder="1" applyAlignment="1">
      <alignment horizontal="center" vertical="center" wrapText="1"/>
    </xf>
    <xf numFmtId="164" fontId="1" fillId="2" borderId="12" xfId="0" applyNumberFormat="1" applyFont="1" applyFill="1" applyBorder="1" applyAlignment="1">
      <alignment horizontal="center" vertical="center" wrapText="1"/>
    </xf>
    <xf numFmtId="164" fontId="1" fillId="2" borderId="13" xfId="0" applyNumberFormat="1" applyFont="1" applyFill="1" applyBorder="1" applyAlignment="1">
      <alignment horizontal="center" vertical="center" wrapText="1"/>
    </xf>
    <xf numFmtId="1" fontId="1" fillId="2" borderId="9"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1" fontId="1" fillId="2" borderId="10" xfId="0" applyNumberFormat="1" applyFont="1" applyFill="1" applyBorder="1" applyAlignment="1">
      <alignment horizontal="center" vertical="center"/>
    </xf>
    <xf numFmtId="164" fontId="1" fillId="2" borderId="41" xfId="0" applyNumberFormat="1" applyFont="1" applyFill="1" applyBorder="1" applyAlignment="1">
      <alignment horizontal="center" vertical="center" textRotation="90" wrapText="1"/>
    </xf>
    <xf numFmtId="164" fontId="1" fillId="2" borderId="36" xfId="0" applyNumberFormat="1" applyFont="1" applyFill="1" applyBorder="1" applyAlignment="1">
      <alignment horizontal="center" vertical="center" textRotation="90" wrapText="1"/>
    </xf>
    <xf numFmtId="164" fontId="1" fillId="2" borderId="44" xfId="0" applyNumberFormat="1" applyFont="1" applyFill="1" applyBorder="1" applyAlignment="1">
      <alignment horizontal="center" vertical="center" textRotation="90" wrapText="1"/>
    </xf>
    <xf numFmtId="164" fontId="1" fillId="2" borderId="23" xfId="0" applyNumberFormat="1" applyFont="1" applyFill="1" applyBorder="1" applyAlignment="1">
      <alignment horizontal="center" vertical="center" textRotation="90" wrapText="1"/>
    </xf>
    <xf numFmtId="164" fontId="1" fillId="2" borderId="24" xfId="0" applyNumberFormat="1" applyFont="1" applyFill="1" applyBorder="1" applyAlignment="1">
      <alignment horizontal="center" vertical="center" wrapText="1"/>
    </xf>
    <xf numFmtId="164" fontId="1" fillId="2" borderId="50" xfId="0" applyNumberFormat="1" applyFont="1" applyFill="1" applyBorder="1" applyAlignment="1">
      <alignment horizontal="center" vertical="center" wrapText="1"/>
    </xf>
    <xf numFmtId="164" fontId="1" fillId="2" borderId="16" xfId="0" applyNumberFormat="1" applyFont="1" applyFill="1" applyBorder="1" applyAlignment="1">
      <alignment horizontal="center" vertical="center" textRotation="90" wrapText="1"/>
    </xf>
    <xf numFmtId="164" fontId="1" fillId="2" borderId="47" xfId="0" applyNumberFormat="1" applyFont="1" applyFill="1" applyBorder="1" applyAlignment="1">
      <alignment horizontal="center" vertical="center" textRotation="90" wrapText="1"/>
    </xf>
    <xf numFmtId="164" fontId="1" fillId="2" borderId="48" xfId="0" applyNumberFormat="1" applyFont="1" applyFill="1" applyBorder="1" applyAlignment="1">
      <alignment horizontal="center" vertical="center" textRotation="90" wrapText="1"/>
    </xf>
    <xf numFmtId="164" fontId="1" fillId="2" borderId="49" xfId="0" applyNumberFormat="1" applyFont="1" applyFill="1" applyBorder="1" applyAlignment="1">
      <alignment horizontal="center" vertical="center" textRotation="90" wrapText="1"/>
    </xf>
    <xf numFmtId="164" fontId="1" fillId="2" borderId="17" xfId="0" applyNumberFormat="1" applyFont="1" applyFill="1" applyBorder="1" applyAlignment="1">
      <alignment horizontal="center" vertical="center" textRotation="90" wrapText="1"/>
    </xf>
    <xf numFmtId="164" fontId="1" fillId="2" borderId="51" xfId="0" applyNumberFormat="1" applyFont="1" applyFill="1" applyBorder="1" applyAlignment="1">
      <alignment horizontal="center" vertical="center" textRotation="90" wrapText="1"/>
    </xf>
    <xf numFmtId="1" fontId="1" fillId="2" borderId="3" xfId="0" applyNumberFormat="1" applyFont="1" applyFill="1" applyBorder="1" applyAlignment="1">
      <alignment horizontal="center" vertical="center"/>
    </xf>
    <xf numFmtId="2" fontId="0" fillId="0" borderId="59" xfId="0" applyNumberFormat="1" applyBorder="1" applyAlignment="1">
      <alignment horizontal="center" vertical="center"/>
    </xf>
    <xf numFmtId="0" fontId="0" fillId="0" borderId="59" xfId="0" applyBorder="1" applyAlignment="1">
      <alignment horizontal="center" vertical="center"/>
    </xf>
    <xf numFmtId="2" fontId="0" fillId="0" borderId="1" xfId="0" applyNumberFormat="1" applyBorder="1" applyAlignment="1">
      <alignment horizontal="center" vertical="center"/>
    </xf>
    <xf numFmtId="165" fontId="0" fillId="0" borderId="18" xfId="0" applyNumberFormat="1" applyBorder="1" applyAlignment="1">
      <alignment horizontal="center" vertical="center"/>
    </xf>
    <xf numFmtId="165" fontId="0" fillId="0" borderId="5" xfId="0" applyNumberFormat="1" applyBorder="1" applyAlignment="1">
      <alignment horizontal="center" vertical="center"/>
    </xf>
    <xf numFmtId="165" fontId="0" fillId="0" borderId="4" xfId="0" applyNumberFormat="1" applyBorder="1" applyAlignment="1">
      <alignment horizontal="center" vertical="center"/>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9D9D9"/>
        </patternFill>
      </fill>
    </dxf>
    <dxf>
      <font>
        <color rgb="FFFF0000"/>
      </font>
    </dxf>
    <dxf>
      <fill>
        <patternFill>
          <bgColor rgb="FFD9D9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9D9D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00"/>
      <color rgb="FFFF6577"/>
      <color rgb="FFFFC7CE"/>
      <color rgb="FFD9D9D9"/>
      <color rgb="FF9C0006"/>
      <color rgb="FFFF111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erhat Kosif" id="{6A336924-A6CB-45D4-A2EE-FFA923A4B4DB}" userId="Serhat Kosif" providerId="None"/>
  <person displayName="Serhat Kosif" id="{FA689634-A7F9-4EDF-812A-983CCED25444}" userId="c2f1ce5a9bef260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0-12-10T12:41:47.52" personId="{00000000-0000-0000-0000-000000000000}" id="{CB0A7E2F-1BFE-4198-97A0-F1E97D722E0B}">
    <text>500€ is the deposit I have paid to Jacobs on 16.07.2019</text>
  </threadedComment>
  <threadedComment ref="N6" dT="2020-08-08T10:14:33.94" personId="{00000000-0000-0000-0000-000000000000}" id="{2A7EAA74-90A0-4ACC-9FA9-11C9DF07CDAE}">
    <text>came from deposit (500€) that I have paid before I began to master</text>
  </threadedComment>
  <threadedComment ref="U6" dT="2020-12-10T12:25:00.52" personId="{00000000-0000-0000-0000-000000000000}" id="{3BCCE762-8F57-4B78-8F91-4A36F1BEB9B8}">
    <text>an extra amount came from deposit (500€) that I have paid before I began to master</text>
  </threadedComment>
  <threadedComment ref="M8" dT="2020-06-10T13:44:40.43" personId="{00000000-0000-0000-0000-000000000000}" id="{BAED0218-8913-4758-AE52-9D334690E327}">
    <text>3 months payment for june, july, august</text>
  </threadedComment>
  <threadedComment ref="Y8" dT="2021-06-05T09:44:03.20" personId="{00000000-0000-0000-0000-000000000000}" id="{1ACE6BC9-AF38-4488-868E-452124F30C74}">
    <text>700€ is the deposit paid to Galileo.</text>
  </threadedComment>
  <threadedComment ref="Z8" dT="2021-07-10T11:33:21.55" personId="{00000000-0000-0000-0000-000000000000}" id="{3CF814F7-037B-47F4-9CAC-0A50C6E00F2F}">
    <text>163.03€ is the check-out cost from the Fizz appartment</text>
  </threadedComment>
  <threadedComment ref="Z9" dT="2021-07-31T16:38:13.20" personId="{00000000-0000-0000-0000-000000000000}" id="{CE53B894-2C18-4335-AB4A-16A06C51528E}">
    <text>transponder return fee was taken</text>
  </threadedComment>
  <threadedComment ref="T12" dT="2021-01-31T17:56:58.71" personId="{00000000-0000-0000-0000-000000000000}" id="{25ABEB3E-CD02-4078-9061-BB63FB698198}">
    <text>Privat-Haftpflichtversicherung (94€) was paid.</text>
  </threadedComment>
  <threadedComment ref="X12" dT="2021-06-05T09:57:29.92" personId="{00000000-0000-0000-0000-000000000000}" id="{7BCB9FAE-4F81-4BF4-89D3-EF9384BA20C4}">
    <text>100€ paid for passport renewing.</text>
  </threadedComment>
  <threadedComment ref="O13" dT="2020-12-10T12:27:34.77" personId="{00000000-0000-0000-0000-000000000000}" id="{C9224D7E-9BD4-4B4B-8BA6-CA44742A6144}">
    <text>from Murat</text>
  </threadedComment>
  <threadedComment ref="Q13" dT="2020-10-29T12:45:28.59" personId="{00000000-0000-0000-0000-000000000000}" id="{47666D5E-2072-4DCF-96E5-81CA0039F0D0}">
    <text>welcome fee by Bremen Student Service</text>
  </threadedComment>
  <threadedComment ref="S13" dT="2020-12-10T14:22:40.50" personId="{00000000-0000-0000-0000-000000000000}" id="{D72F676E-498A-40F5-B168-EF6DBCF06357}">
    <text>from Murat on 10.12.2020</text>
  </threadedComment>
  <threadedComment ref="AA13" dT="2021-08-31T08:13:40.05" personId="{00000000-0000-0000-0000-000000000000}" id="{555E55B5-B38A-408A-BC3B-D49E5E1D2F9E}">
    <text>from Kemal</text>
  </threadedComment>
</ThreadedComments>
</file>

<file path=xl/threadedComments/threadedComment2.xml><?xml version="1.0" encoding="utf-8"?>
<ThreadedComments xmlns="http://schemas.microsoft.com/office/spreadsheetml/2018/threadedcomments" xmlns:x="http://schemas.openxmlformats.org/spreadsheetml/2006/main">
  <threadedComment ref="L4" dT="2022-07-09T17:06:05.95" personId="{00000000-0000-0000-0000-000000000000}" id="{DCA6DBC5-278D-4DC9-A78F-188A501AEB92}">
    <text>Including semester ticket refund for 9€ ticket (valid in June, July, August)</text>
  </threadedComment>
  <threadedComment ref="B5" dT="2021-08-31T08:11:25.41" personId="{00000000-0000-0000-0000-000000000000}" id="{70D13DAB-65AE-4973-935A-1C0814AC6682}">
    <text>extension of residence permit cost: 93€</text>
  </threadedComment>
  <threadedComment ref="E5" dT="2021-11-30T18:46:42.68" personId="{00000000-0000-0000-0000-000000000000}" id="{EEEB1D05-9696-453F-BB55-8BF39F7BA4BB}">
    <text>extension of residence permit cost: 93€</text>
  </threadedComment>
  <threadedComment ref="I5" dT="2022-02-02T11:59:50.66" personId="{00000000-0000-0000-0000-000000000000}" id="{79DEA403-9265-43BB-92A0-0E4DD12603F0}">
    <text>In case I wish to cancel my contract with Galileo and move out by the 30th of September 2022 I should hand in my written cancellation latest by the 3rd working day in April.</text>
  </threadedComment>
  <threadedComment ref="AA5" dT="2023-04-06T06:50:17.03" personId="{00000000-0000-0000-0000-000000000000}" id="{60D36AB6-3D8F-459C-8DE4-A7B0567DC770}">
    <text xml:space="preserve">the owners of the building have decided to increase the rent from the 01.10.2023. The increase will be 15 Euros per room. This equates to a 2.7% increase which is very fair considering the electricity alone has increased by 300% this year.
</text>
  </threadedComment>
  <threadedComment ref="AC5" dT="2024-01-19T10:59:26.55" personId="{00000000-0000-0000-0000-000000000000}" id="{DC64D883-0251-4B95-8AFB-EE07A0C5CDEE}">
    <text>€49, residence permit extension</text>
  </threadedComment>
  <threadedComment ref="AD5" dT="2024-01-31T16:14:32.33" personId="{00000000-0000-0000-0000-000000000000}" id="{B3983A44-D287-4193-B37C-2EF1FF8752DE}">
    <text>Moved to Lilienthal</text>
  </threadedComment>
  <threadedComment ref="AD5" dT="2024-01-31T16:27:55.73" personId="{00000000-0000-0000-0000-000000000000}" id="{C9D99854-B71C-4EC8-912C-69EC56B711C0}" parentId="{B3983A44-D287-4193-B37C-2EF1FF8752DE}">
    <text>Got the €700 deposit back from Galileo</text>
  </threadedComment>
  <threadedComment ref="AE5" dT="2024-01-31T16:34:17.28" personId="{00000000-0000-0000-0000-000000000000}" id="{57885FB2-EBDE-4B84-9B8A-6B076B6118E0}">
    <text>€300, heating cost for the house. Next one will be around May.</text>
  </threadedComment>
  <threadedComment ref="J7" dT="2022-06-01T06:21:48.06" personId="{00000000-0000-0000-0000-000000000000}" id="{125EB87F-85A9-4586-83B3-92C56E174FDD}">
    <text>105€ for glasses from Fielmann
47€ for headphones from Saturn
122€ for running shoes from Sport Scheck</text>
  </threadedComment>
  <threadedComment ref="L7" dT="2022-07-14T07:26:07.45" personId="{00000000-0000-0000-0000-000000000000}" id="{ED6B8A8B-52B2-4E10-8D1E-1C1009E84F60}">
    <text>110€ for the Dell monitor</text>
  </threadedComment>
  <threadedComment ref="L7" dT="2022-07-15T11:10:55.98" personId="{00000000-0000-0000-0000-000000000000}" id="{C1832BE0-479F-41D9-8326-7D1D7E74BD98}" parentId="{ED6B8A8B-52B2-4E10-8D1E-1C1009E84F60}">
    <text>182.20€ for the dental examination and cleaning</text>
  </threadedComment>
  <threadedComment ref="L7" dT="2022-08-01T10:19:26.37" personId="{00000000-0000-0000-0000-000000000000}" id="{08D556E2-6A98-48A4-8E72-D08B7338A0EE}" parentId="{ED6B8A8B-52B2-4E10-8D1E-1C1009E84F60}">
    <text>79€ for Jacobs Homecoming event</text>
  </threadedComment>
  <threadedComment ref="L7" dT="2022-08-01T10:24:32.21" personId="{00000000-0000-0000-0000-000000000000}" id="{E304E25A-CF20-4689-A7DD-2E2BFEB1FAB5}" parentId="{ED6B8A8B-52B2-4E10-8D1E-1C1009E84F60}">
    <text>24.95€ for the backpack bag</text>
  </threadedComment>
  <threadedComment ref="M7" dT="2022-08-03T12:11:43.58" personId="{00000000-0000-0000-0000-000000000000}" id="{133CF092-CAA4-4AD6-8519-0A405A3D5834}">
    <text>89.95€ for the new backpack</text>
  </threadedComment>
  <threadedComment ref="N7" dT="2022-10-17T07:07:00.67" personId="{00000000-0000-0000-0000-000000000000}" id="{C9F8393D-0846-4589-B13D-DC10D95C4AAA}">
    <text>154.64 € Grammarly</text>
  </threadedComment>
  <threadedComment ref="N7" dT="2022-10-17T07:08:11.77" personId="{00000000-0000-0000-0000-000000000000}" id="{4B00EF69-63F9-4904-A118-87C6F53824A9}" parentId="{C9F8393D-0846-4589-B13D-DC10D95C4AAA}">
    <text>45.16€ python book</text>
  </threadedComment>
  <threadedComment ref="N7" dT="2022-10-17T07:08:57.47" personId="{00000000-0000-0000-0000-000000000000}" id="{04B8850F-93D5-4BE7-9E5C-9E86ED5E072E}" parentId="{C9F8393D-0846-4589-B13D-DC10D95C4AAA}">
    <text>109.95€ Sportscheck boots</text>
  </threadedComment>
  <threadedComment ref="U7" dT="2023-04-26T11:55:12.30" personId="{00000000-0000-0000-0000-000000000000}" id="{334468B3-4BD8-4797-BE9A-216C35962FDD}">
    <text>12.24 € radio-tv tax to Guoyao
16.25 € galileo kitchen cleaning cost to Shu</text>
  </threadedComment>
  <threadedComment ref="U7" dT="2023-04-30T07:48:56.36" personId="{00000000-0000-0000-0000-000000000000}" id="{A91F8D32-CC87-4FDA-90B7-6B48776CE3B6}" parentId="{334468B3-4BD8-4797-BE9A-216C35962FDD}">
    <text>104.17 €, April cost for credit card</text>
  </threadedComment>
  <threadedComment ref="W7" dT="2023-06-30T11:18:52.89" personId="{00000000-0000-0000-0000-000000000000}" id="{F7C93B9C-D813-472D-B23F-98E6E29474A0}">
    <text>526.93€ is for the flight tickets (Istanbul-Bremen)</text>
  </threadedComment>
  <threadedComment ref="Y7" dT="2023-08-07T10:00:21.58" personId="{00000000-0000-0000-0000-000000000000}" id="{DB30B9D6-C4F4-44F3-A800-EEC154487435}">
    <text>74.34€, sent to brother for expenses in Turkey</text>
  </threadedComment>
  <threadedComment ref="Y7" dT="2023-09-12T06:16:10.05" personId="{00000000-0000-0000-0000-000000000000}" id="{AD76BBEC-DB67-49F4-8374-F6A8056BC4E1}" parentId="{DB30B9D6-C4F4-44F3-A800-EEC154487435}">
    <text>476€, new phone</text>
  </threadedComment>
  <threadedComment ref="Y7" dT="2023-09-12T06:19:24.53" personId="{00000000-0000-0000-0000-000000000000}" id="{AC57BCBE-21E7-4BF7-86DA-12ECCB5F984F}" parentId="{DB30B9D6-C4F4-44F3-A800-EEC154487435}">
    <text>104,48€, alumni event cost</text>
  </threadedComment>
  <threadedComment ref="AB7" dT="2023-12-03T09:40:02.37" personId="{00000000-0000-0000-0000-000000000000}" id="{95C87924-71FF-478C-91AB-AF69B32FB12F}">
    <text>36.98 €, converter cables shopping from Saturn</text>
  </threadedComment>
  <threadedComment ref="AC7" dT="2024-01-19T11:01:19.91" personId="{00000000-0000-0000-0000-000000000000}" id="{E738B8DC-4907-4CA6-98BF-53C53134691C}">
    <text>Berlin and Zurich trips</text>
  </threadedComment>
  <threadedComment ref="AD7" dT="2024-01-19T11:01:31.69" personId="{00000000-0000-0000-0000-000000000000}" id="{211E2FA8-BD01-4D50-9621-612E40B8F721}">
    <text>Lyon and Vienna trips</text>
  </threadedComment>
  <threadedComment ref="AD7" dT="2024-01-19T11:03:43.28" personId="{00000000-0000-0000-0000-000000000000}" id="{BF3AF0D4-CBBD-4315-AB00-DBE0BFAAD39D}" parentId="{211E2FA8-BD01-4D50-9621-612E40B8F721}">
    <text>€471.98, furniture from IKEA for the new house</text>
  </threadedComment>
  <threadedComment ref="AD7" dT="2024-01-31T16:33:29.14" personId="{00000000-0000-0000-0000-000000000000}" id="{8B20B498-5A72-4B25-BAB5-58553B5C2DFD}" parentId="{211E2FA8-BD01-4D50-9621-612E40B8F721}">
    <text>€96.45, Klarna payment (1/3) for Airbnb house in Lyon</text>
  </threadedComment>
  <threadedComment ref="AE7" dT="2024-03-01T07:46:40.91" personId="{00000000-0000-0000-0000-000000000000}" id="{B5C904C0-6D86-4A44-9D50-0F845BF7AB85}">
    <text>€96.45, Klarna payment (2/3) for Airbnb house in Lyon</text>
  </threadedComment>
  <threadedComment ref="AE7" dT="2024-03-01T19:26:07.23" personId="{00000000-0000-0000-0000-000000000000}" id="{7F3EDEC4-B410-4CE3-951C-0643633DDF05}" parentId="{B5C904C0-6D86-4A44-9D50-0F845BF7AB85}">
    <text>€20, Forum Friedenspsychol.BewusstSein</text>
  </threadedComment>
  <threadedComment ref="AF7" dT="2024-03-26T05:13:26.39" personId="{00000000-0000-0000-0000-000000000000}" id="{D5F1EAD9-BEEF-47CD-9699-FC644591CB40}">
    <text>29.85 €, DB payment back for the delayed train travel</text>
  </threadedComment>
  <threadedComment ref="B8" dT="2021-08-31T08:14:11.88" personId="{00000000-0000-0000-0000-000000000000}" id="{680ABB8A-705F-41FE-ABA2-7DEB8C89D381}">
    <text>to Kemal</text>
  </threadedComment>
  <threadedComment ref="D8" dT="2021-11-30T18:30:58.41" personId="{00000000-0000-0000-0000-000000000000}" id="{10A778A5-AF80-47D4-B396-D6376F518932}">
    <text>600€ from Kemal</text>
  </threadedComment>
  <threadedComment ref="D8" dT="2021-11-30T18:31:12.06" personId="{00000000-0000-0000-0000-000000000000}" id="{30DB84AE-1DAE-4547-9E71-0973FFDF7814}" parentId="{10A778A5-AF80-47D4-B396-D6376F518932}">
    <text>1916€ from Murat</text>
  </threadedComment>
  <threadedComment ref="E8" dT="2021-11-30T18:37:47.92" personId="{00000000-0000-0000-0000-000000000000}" id="{68FDD707-07FC-429C-87D6-A61A4AB1A51D}">
    <text>600€ to Kemal
60€ from OnQuest shaving survey earn</text>
  </threadedComment>
  <threadedComment ref="L8" dT="2022-07-14T07:25:21.81" personId="{00000000-0000-0000-0000-000000000000}" id="{75F94A1C-30E6-413C-8C1F-3C80C22FBBA5}">
    <text>Earn from razor test in Hamburg</text>
  </threadedComment>
  <threadedComment ref="T8" dT="2023-04-01T13:47:39.31" personId="{00000000-0000-0000-0000-000000000000}" id="{72CC65BD-9373-41A0-BAB2-8BEE3E4094ED}">
    <text>Government energy aid (21.03.2023)</text>
  </threadedComment>
  <threadedComment ref="U8" dT="2023-04-01T13:49:37.29" personId="{00000000-0000-0000-0000-000000000000}" id="{67A3D869-201C-48C2-B4CB-6767E2B4CB3C}">
    <text>605 €, Support from Ömer</text>
  </threadedComment>
  <threadedComment ref="W8" dT="2023-06-30T11:12:18.15" personId="{00000000-0000-0000-0000-000000000000}" id="{12D314B5-E3B0-4DFD-85AE-BE3966FD0A23}">
    <text>2901€, Wohngeld (Landeshauptkasse Bremen)</text>
  </threadedComment>
  <threadedComment ref="W8" dT="2023-06-30T11:20:16.14" personId="{00000000-0000-0000-0000-000000000000}" id="{D8361210-9FAE-4D42-A678-5F6C42756B97}" parentId="{12D314B5-E3B0-4DFD-85AE-BE3966FD0A23}">
    <text>450€, Subleasing payment from Nijada.</text>
  </threadedComment>
  <threadedComment ref="X8" dT="2023-07-19T16:02:05.37" personId="{00000000-0000-0000-0000-000000000000}" id="{C443F7EE-112A-40EF-B026-4682B4607A6F}">
    <text>146.7€ Receiving of travel cost from uni for Gröningen trip</text>
  </threadedComment>
  <threadedComment ref="X8" dT="2023-08-07T09:17:32.54" personId="{00000000-0000-0000-0000-000000000000}" id="{A58B854B-E414-4E9D-AB3D-D03DECFE12C7}" parentId="{C443F7EE-112A-40EF-B026-4682B4607A6F}">
    <text>375€, Wohngeld (Landeshauptkasse Bremen)</text>
  </threadedComment>
  <threadedComment ref="Y8" dT="2023-09-12T06:14:33.71" personId="{00000000-0000-0000-0000-000000000000}" id="{A3F308F0-F4C9-4DC9-9BD0-066AE1B5AA9F}">
    <text>375€, Wohngeld (Landeshauptkasse Bremen)</text>
  </threadedComment>
  <threadedComment ref="Z8" dT="2023-09-30T05:27:07.05" personId="{00000000-0000-0000-0000-000000000000}" id="{75E0B996-BBD9-4D02-ABF2-74CB0127F8F3}">
    <text>387€, Wohngeld (Landeshauptkasse Bremen)</text>
  </threadedComment>
  <threadedComment ref="AA8" dT="2023-09-30T05:27:07.05" personId="{00000000-0000-0000-0000-000000000000}" id="{A98A8819-BC34-464B-91FA-566B917423A3}">
    <text>387€, Wohngeld (Landeshauptkasse Bremen)</text>
  </threadedComment>
  <threadedComment ref="AB8" dT="2023-09-30T05:27:07.05" personId="{00000000-0000-0000-0000-000000000000}" id="{57B44F02-72E1-43E1-9BC3-74594AC00621}">
    <text>387€, Wohngeld (Landeshauptkasse Bremen)</text>
  </threadedComment>
  <threadedComment ref="C9" dT="2021-06-08T18:59:30.31" personId="{00000000-0000-0000-0000-000000000000}" id="{0E370422-985F-4213-BA6C-0CD7699CB6C3}">
    <text>The next proof (certificate of enrollment) must be provided by October 15, 2021 at the latest.</text>
  </threadedComment>
  <threadedComment ref="C9" dT="2021-11-01T09:11:51.59" personId="{00000000-0000-0000-0000-000000000000}" id="{FE9D016B-E669-4E71-9E74-0A00B85B608F}" parentId="{0E370422-985F-4213-BA6C-0CD7699CB6C3}">
    <text>student certificate submission was delayed to the end of November</text>
  </threadedComment>
  <threadedComment ref="T9" dT="2022-12-31T09:34:28.60" personId="{00000000-0000-0000-0000-000000000000}" id="{73D931DA-C51B-4179-8F68-630602041A0F}">
    <text xml:space="preserve">The disbursement phase of my loan will end on 31.03.2023 at the latest.
Start of repayment: 01.10.2024 </text>
  </threadedComment>
  <threadedComment ref="AA9" dT="2023-08-24T13:53:43.88" personId="{00000000-0000-0000-0000-000000000000}" id="{4BB8636B-7442-4C31-ACB7-0B4EA40253D5}">
    <text>KfW - early partial payment (3250€ out of 20150€) on 02.10.2023</text>
  </threadedComment>
  <threadedComment ref="I10" dT="2022-04-14T13:12:13.90" personId="{00000000-0000-0000-0000-000000000000}" id="{DB61DDAF-482C-4FED-A6D8-858E2E63EEB0}">
    <text>TA job started by the date 01.04.2022</text>
  </threadedComment>
  <threadedComment ref="L10" dT="2022-04-14T13:12:51.44" personId="{00000000-0000-0000-0000-000000000000}" id="{8DF83AD8-360D-46F0-81BC-BD7D3F842045}">
    <text>TA job ended by the date 31.07.2022</text>
  </threadedComment>
  <threadedComment ref="M10" dT="2022-08-08T09:42:58.04" personId="{00000000-0000-0000-0000-000000000000}" id="{17F0AB12-051B-405D-BD67-7B179C889C13}">
    <text>Proctor job started on 16.08.2022</text>
  </threadedComment>
  <threadedComment ref="N10" dT="2022-08-08T09:43:51.68" personId="{00000000-0000-0000-0000-000000000000}" id="{BC47AC6A-05A2-41D0-ACC4-297FBDE492D6}">
    <text>Proctor job ended on 15.09.2022.
bingo coefficient!</text>
  </threadedComment>
  <threadedComment ref="N10" dT="2022-09-16T15:05:40.59" personId="{00000000-0000-0000-0000-000000000000}" id="{253EDFF5-8C04-4A17-BC9E-1C49207D0E19}" parentId="{BC47AC6A-05A2-41D0-ACC4-297FBDE492D6}">
    <text>TA-2 job started by the date 06.09.2022</text>
  </threadedComment>
  <threadedComment ref="Q10" dT="2022-09-16T15:06:57.31" personId="{00000000-0000-0000-0000-000000000000}" id="{3E9E1F5D-DABB-4037-AEAF-59529A1BE4A6}">
    <text>TA-2 job ended on 31.12.2022</text>
  </threadedComment>
  <threadedComment ref="U10" dT="2023-04-06T06:47:59.02" personId="{00000000-0000-0000-0000-000000000000}" id="{4C50C104-06C6-4CBF-883D-2785CF6BCA96}">
    <text>Merit-based stipend started (paid on 25.04.2023)</text>
  </threadedComment>
  <threadedComment ref="U10" dT="2023-04-06T06:53:13.61" personId="{00000000-0000-0000-0000-000000000000}" id="{9B50FE52-DCCC-4C5C-8715-A7220439C3FD}" parentId="{4C50C104-06C6-4CBF-883D-2785CF6BCA96}">
    <text>Student Assistant, 42,0 hours/month from 16.04.-15.06.2023 
- if the contract begins during the month, the hours are halved in the corresponding months. </text>
  </threadedComment>
  <threadedComment ref="W10" dT="2023-04-06T06:53:32.02" personId="{00000000-0000-0000-0000-000000000000}" id="{AB2FE492-4F44-49CC-96E7-B7E1E1A6993E}">
    <text>Student Assistant job ends on 15.06</text>
  </threadedComment>
  <threadedComment ref="Z10" dT="2023-09-30T05:31:44.93" personId="{00000000-0000-0000-0000-000000000000}" id="{69DCC8F3-342F-486B-9FE0-DD748FA8EDB8}">
    <text>290.27 €, proctoring payment (the last job as a student)</text>
  </threadedComment>
  <threadedComment ref="Z11" dT="2023-09-30T05:24:08.96" personId="{00000000-0000-0000-0000-000000000000}" id="{DF75B992-192B-454B-B5EC-2D48979E52EF}">
    <text>110.16 €, Rundfunkbeitrag fee (April+May+June+July+August+September) for the apartment.</text>
  </threadedComment>
  <threadedComment ref="AA11" dT="2023-10-31T03:36:36.00" personId="{00000000-0000-0000-0000-000000000000}" id="{30CAA36E-4E96-44E8-92D7-A5B0CC8DA975}">
    <text>Wundertax payment</text>
  </threadedComment>
  <threadedComment ref="AB11" dT="2023-12-03T09:38:35.78" personId="{00000000-0000-0000-0000-000000000000}" id="{03B1C185-A558-41BC-B1FA-92E9B91C1C73}">
    <text xml:space="preserve">7.34 €, Rundfunkbeitrag fee (October+November+December) for the apartment. Paid more than that (€55.08) but I received the remained from the neighbours.
</text>
  </threadedComment>
  <threadedComment ref="AF11" dT="2024-03-08T08:36:55.41" personId="{00000000-0000-0000-0000-000000000000}" id="{B8B2F3F7-2CD2-42C9-8C67-BF0801F0B40D}">
    <text>18.36 €, Rundfunkbeitrag payment (January, €55.08/3) for the Galileo apartment. I received the remained amounts from the ex-neighbours except Yuxiang.</text>
  </threadedComment>
</ThreadedComments>
</file>

<file path=xl/threadedComments/threadedComment3.xml><?xml version="1.0" encoding="utf-8"?>
<ThreadedComments xmlns="http://schemas.microsoft.com/office/spreadsheetml/2018/threadedcomments" xmlns:x="http://schemas.openxmlformats.org/spreadsheetml/2006/main">
  <threadedComment ref="L8" personId="{6A336924-A6CB-45D4-A2EE-FFA923A4B4DB}" id="{118CBEE1-F325-7B48-8FC2-8DB240E5B414}">
    <text xml:space="preserve">9.58€, amazon storage fee
(1+0.01)€, finom fee
14.68€, to SeoHandel Commerzbank account
5.80€, amazon storage fee
</text>
  </threadedComment>
  <threadedComment ref="L8" dT="2024-12-16T12:44:59.22" personId="{FA689634-A7F9-4EDF-812A-983CCED25444}" id="{F51FFC9D-B791-DB4C-891B-69ECFCEBEEBB}" parentId="{118CBEE1-F325-7B48-8FC2-8DB240E5B414}">
    <text>1€, IONOS payment</text>
  </threadedComment>
  <threadedComment ref="D18" dT="2024-05-01T08:26:58.00" personId="{00000000-0000-0000-0000-000000000000}" id="{56765F23-7F41-44F6-85DF-9FFCE534282F}">
    <text>€22,27 - geschenk</text>
  </threadedComment>
  <threadedComment ref="E18" dT="2024-05-01T08:27:38.53" personId="{00000000-0000-0000-0000-000000000000}" id="{14D3E282-3E4C-439D-86E6-96D68F29DC84}">
    <text>€100 - residence permit cost</text>
  </threadedComment>
  <threadedComment ref="F18" dT="2024-06-19T07:06:51.72" personId="{00000000-0000-0000-0000-000000000000}" id="{BE0B59E3-FB1A-43E6-9595-6ED39551B310}">
    <text>19.99 for immoscout24, monatlich (1/6)</text>
  </threadedComment>
  <threadedComment ref="J18" dT="2024-10-17T09:19:24.77" personId="{00000000-0000-0000-0000-000000000000}" id="{0A7654C9-BDC8-480E-B722-5BE00E03FAFF}">
    <text>-39,90€ commerzbank credit kart yearly fee</text>
  </threadedComment>
  <threadedComment ref="J18" dT="2024-10-19T10:14:31.47" personId="{00000000-0000-0000-0000-000000000000}" id="{4BAD7633-04D5-4742-AA19-9B00F97E8A8A}" parentId="{0A7654C9-BDC8-480E-B722-5BE00E03FAFF}">
    <text>19,99 € ImmoScout24, but 11,68 € was debited from the account since some amount in paypal balance was present.</text>
  </threadedComment>
  <threadedComment ref="J18" dT="2024-10-31T15:42:03.58" personId="{00000000-0000-0000-0000-000000000000}" id="{72A4FCE8-A8E4-4309-9264-1D06C61C7A0B}" parentId="{0A7654C9-BDC8-480E-B722-5BE00E03FAFF}">
    <text>15€, to SeoHandel Finom account for the bike holder buying from amazon</text>
  </threadedComment>
  <threadedComment ref="K18" dT="2024-11-08T11:49:50.70" personId="{00000000-0000-0000-0000-000000000000}" id="{07DCD43E-EA23-4388-856C-A872C714EE9A}">
    <text>5€, sent to finam account for bike chainlock. The original price is 11.39€, difference paid with the balance in finom.</text>
  </threadedComment>
  <threadedComment ref="K18" dT="2024-11-26T20:55:50.46" personId="{00000000-0000-0000-0000-000000000000}" id="{97B863B2-566E-4727-8B6A-D5269B98AF53}" parentId="{07DCD43E-EA23-4388-856C-A872C714EE9A}">
    <text>32.90€, bike tier repair</text>
  </threadedComment>
  <threadedComment ref="L18" dT="2024-12-16T12:44:26.00" personId="{FA689634-A7F9-4EDF-812A-983CCED25444}" id="{F4BDA44D-356A-CC42-BE96-E61F76748483}">
    <text>105.99€, cash withdrawal
-&gt; 29.98€, to Ayse for unpaid internet invoices from september and october.
-&gt; 16.42€, shopping from Rewe
-&gt; 22.23€, shopping from Penny</text>
  </threadedComment>
  <threadedComment ref="L18" dT="2024-12-16T15:07:57.79" personId="{FA689634-A7F9-4EDF-812A-983CCED25444}" id="{7192E125-6B2E-4FBB-B2F5-9F2CA7969688}" parentId="{F4BDA44D-356A-CC42-BE96-E61F76748483}">
    <text>31€, bike tier repair</text>
  </threadedComment>
  <threadedComment ref="L18" dT="2024-12-20T17:41:20.48" personId="{FA689634-A7F9-4EDF-812A-983CCED25444}" id="{074D6F11-D210-4691-AE73-05F070E11F6D}" parentId="{F4BDA44D-356A-CC42-BE96-E61F76748483}">
    <text>37.5€, bonus share from Chris</text>
  </threadedComment>
  <threadedComment ref="G20" dT="2024-10-17T12:20:27.22" personId="{00000000-0000-0000-0000-000000000000}" id="{AD41861F-233B-4CA3-AE91-A0442DE73737}">
    <text>49 x 2 € for Deutschland ticket for July and August</text>
  </threadedComment>
  <threadedComment ref="L20" dT="2024-10-28T17:32:07.14" personId="{00000000-0000-0000-0000-000000000000}" id="{21FA9E04-160B-400E-861F-741F756C2B9B}">
    <text>DB Deutschland ticket will change from 49€ to 58€ starting from 01.01.2025.</text>
  </threadedComment>
  <threadedComment ref="I45" dT="2024-03-26T10:08:18.76" personId="{00000000-0000-0000-0000-000000000000}" id="{0D827DA1-561C-4C66-AD95-2945038151CA}">
    <text>Maximum payment (monthly or yearly?)
The funding amount (18000€) is due on an annual basis and payable in the amount of EUR1800 (the so called 'Partial Amount') but no more than 5.60% of beneficiary's income in the respective calendar year.</text>
  </threadedComment>
  <threadedComment ref="I45" dT="2024-03-26T10:22:26.65" personId="{00000000-0000-0000-0000-000000000000}" id="{D7F473B6-4644-4495-BD43-456465C00004}" parentId="{0D827DA1-561C-4C66-AD95-2945038151CA}">
    <text>The maturity and payability of the Funding Amount lapse for the respective calendar year if beneficiary's income of such calendar year is below Minimum Income.
Minimum income in Germany per year for 2019: 25000€. And it is constant for every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29"/>
  <sheetViews>
    <sheetView workbookViewId="0">
      <selection sqref="A1:A4"/>
    </sheetView>
  </sheetViews>
  <sheetFormatPr defaultRowHeight="14.4" x14ac:dyDescent="0.3"/>
  <cols>
    <col min="1" max="1" width="15.88671875" style="1" customWidth="1"/>
    <col min="2" max="3" width="11.109375" bestFit="1" customWidth="1"/>
    <col min="4" max="6" width="10.21875" customWidth="1"/>
    <col min="7" max="7" width="10.88671875" customWidth="1"/>
    <col min="8" max="8" width="12" customWidth="1"/>
    <col min="9" max="9" width="10.21875" customWidth="1"/>
    <col min="10" max="19" width="11.109375" bestFit="1" customWidth="1"/>
    <col min="20" max="20" width="11.88671875" bestFit="1" customWidth="1"/>
    <col min="21" max="27" width="11.109375" bestFit="1" customWidth="1"/>
    <col min="28" max="28" width="12.109375" customWidth="1"/>
  </cols>
  <sheetData>
    <row r="1" spans="1:28" s="2" customFormat="1" ht="15" thickBot="1" x14ac:dyDescent="0.35">
      <c r="A1" s="128" t="s">
        <v>28</v>
      </c>
      <c r="B1" s="153">
        <v>2019</v>
      </c>
      <c r="C1" s="154"/>
      <c r="D1" s="154"/>
      <c r="E1" s="154"/>
      <c r="F1" s="154"/>
      <c r="G1" s="155"/>
      <c r="H1" s="134">
        <v>2020</v>
      </c>
      <c r="I1" s="134"/>
      <c r="J1" s="134"/>
      <c r="K1" s="134"/>
      <c r="L1" s="134"/>
      <c r="M1" s="134"/>
      <c r="N1" s="134"/>
      <c r="O1" s="134"/>
      <c r="P1" s="134"/>
      <c r="Q1" s="134"/>
      <c r="R1" s="134"/>
      <c r="S1" s="134"/>
      <c r="T1" s="134">
        <v>2021</v>
      </c>
      <c r="U1" s="134"/>
      <c r="V1" s="134"/>
      <c r="W1" s="134"/>
      <c r="X1" s="134"/>
      <c r="Y1" s="134"/>
      <c r="Z1" s="134"/>
      <c r="AA1" s="134"/>
      <c r="AB1" s="125" t="s">
        <v>26</v>
      </c>
    </row>
    <row r="2" spans="1:28" s="2" customFormat="1" ht="15" thickBot="1" x14ac:dyDescent="0.35">
      <c r="A2" s="129"/>
      <c r="B2" s="4" t="s">
        <v>9</v>
      </c>
      <c r="C2" s="4" t="s">
        <v>31</v>
      </c>
      <c r="D2" s="4" t="s">
        <v>1</v>
      </c>
      <c r="E2" s="4" t="s">
        <v>2</v>
      </c>
      <c r="F2" s="4" t="s">
        <v>3</v>
      </c>
      <c r="G2" s="4" t="s">
        <v>4</v>
      </c>
      <c r="H2" s="4" t="s">
        <v>32</v>
      </c>
      <c r="I2" s="4" t="s">
        <v>5</v>
      </c>
      <c r="J2" s="4" t="s">
        <v>6</v>
      </c>
      <c r="K2" s="4" t="s">
        <v>7</v>
      </c>
      <c r="L2" s="4" t="s">
        <v>33</v>
      </c>
      <c r="M2" s="4" t="s">
        <v>8</v>
      </c>
      <c r="N2" s="4" t="s">
        <v>9</v>
      </c>
      <c r="O2" s="4" t="s">
        <v>31</v>
      </c>
      <c r="P2" s="4" t="s">
        <v>1</v>
      </c>
      <c r="Q2" s="4" t="s">
        <v>2</v>
      </c>
      <c r="R2" s="4" t="s">
        <v>3</v>
      </c>
      <c r="S2" s="4" t="s">
        <v>4</v>
      </c>
      <c r="T2" s="4" t="s">
        <v>32</v>
      </c>
      <c r="U2" s="4" t="s">
        <v>5</v>
      </c>
      <c r="V2" s="4" t="s">
        <v>6</v>
      </c>
      <c r="W2" s="4" t="s">
        <v>7</v>
      </c>
      <c r="X2" s="4" t="s">
        <v>33</v>
      </c>
      <c r="Y2" s="4" t="s">
        <v>8</v>
      </c>
      <c r="Z2" s="4" t="s">
        <v>9</v>
      </c>
      <c r="AA2" s="4" t="s">
        <v>31</v>
      </c>
      <c r="AB2" s="126"/>
    </row>
    <row r="3" spans="1:28" s="2" customFormat="1" ht="15" customHeight="1" thickBot="1" x14ac:dyDescent="0.35">
      <c r="A3" s="129"/>
      <c r="B3" s="121" t="s">
        <v>14</v>
      </c>
      <c r="C3" s="122"/>
      <c r="D3" s="135" t="s">
        <v>15</v>
      </c>
      <c r="E3" s="136"/>
      <c r="F3" s="136"/>
      <c r="G3" s="136"/>
      <c r="H3" s="136"/>
      <c r="I3" s="136"/>
      <c r="J3" s="136"/>
      <c r="K3" s="136"/>
      <c r="L3" s="136"/>
      <c r="M3" s="137" t="s">
        <v>14</v>
      </c>
      <c r="N3" s="138"/>
      <c r="O3" s="139"/>
      <c r="P3" s="146" t="s">
        <v>17</v>
      </c>
      <c r="Q3" s="146"/>
      <c r="R3" s="146"/>
      <c r="S3" s="146"/>
      <c r="T3" s="146"/>
      <c r="U3" s="146"/>
      <c r="V3" s="146"/>
      <c r="W3" s="146"/>
      <c r="X3" s="146"/>
      <c r="Y3" s="137" t="s">
        <v>14</v>
      </c>
      <c r="Z3" s="138"/>
      <c r="AA3" s="139"/>
      <c r="AB3" s="126" t="s">
        <v>25</v>
      </c>
    </row>
    <row r="4" spans="1:28" ht="15" thickBot="1" x14ac:dyDescent="0.35">
      <c r="A4" s="130"/>
      <c r="B4" s="123"/>
      <c r="C4" s="124"/>
      <c r="D4" s="131" t="s">
        <v>10</v>
      </c>
      <c r="E4" s="132"/>
      <c r="F4" s="132"/>
      <c r="G4" s="133"/>
      <c r="H4" s="6" t="s">
        <v>13</v>
      </c>
      <c r="I4" s="143" t="s">
        <v>16</v>
      </c>
      <c r="J4" s="144"/>
      <c r="K4" s="144"/>
      <c r="L4" s="145"/>
      <c r="M4" s="140"/>
      <c r="N4" s="141"/>
      <c r="O4" s="142"/>
      <c r="P4" s="147" t="s">
        <v>18</v>
      </c>
      <c r="Q4" s="148"/>
      <c r="R4" s="148"/>
      <c r="S4" s="149"/>
      <c r="T4" s="6" t="s">
        <v>13</v>
      </c>
      <c r="U4" s="150" t="s">
        <v>19</v>
      </c>
      <c r="V4" s="151"/>
      <c r="W4" s="151"/>
      <c r="X4" s="152"/>
      <c r="Y4" s="140" t="s">
        <v>11</v>
      </c>
      <c r="Z4" s="141"/>
      <c r="AA4" s="142"/>
      <c r="AB4" s="127"/>
    </row>
    <row r="5" spans="1:28" ht="15" thickBot="1" x14ac:dyDescent="0.35">
      <c r="A5" s="5" t="s">
        <v>29</v>
      </c>
      <c r="B5" s="10">
        <f>5897.22+500</f>
        <v>6397.22</v>
      </c>
      <c r="C5" s="16">
        <f t="shared" ref="C5:AA5" si="0">B17</f>
        <v>2446.8100000000004</v>
      </c>
      <c r="D5" s="16">
        <f t="shared" si="0"/>
        <v>12449.390000000003</v>
      </c>
      <c r="E5" s="16">
        <f t="shared" si="0"/>
        <v>12012.190000000002</v>
      </c>
      <c r="F5" s="16">
        <f t="shared" si="0"/>
        <v>11551.490000000002</v>
      </c>
      <c r="G5" s="16">
        <f t="shared" si="0"/>
        <v>11278.29</v>
      </c>
      <c r="H5" s="16">
        <f t="shared" si="0"/>
        <v>10616.09</v>
      </c>
      <c r="I5" s="16">
        <f t="shared" si="0"/>
        <v>3235.7700000000004</v>
      </c>
      <c r="J5" s="16">
        <f t="shared" si="0"/>
        <v>2966.9000000000005</v>
      </c>
      <c r="K5" s="16">
        <f t="shared" si="0"/>
        <v>2768.2500000000009</v>
      </c>
      <c r="L5" s="16">
        <f t="shared" si="0"/>
        <v>6779.170000000001</v>
      </c>
      <c r="M5" s="16">
        <f t="shared" si="0"/>
        <v>6612.3700000000008</v>
      </c>
      <c r="N5" s="16">
        <f t="shared" si="0"/>
        <v>121.85000000000082</v>
      </c>
      <c r="O5" s="16">
        <f t="shared" si="0"/>
        <v>-16.96999999999916</v>
      </c>
      <c r="P5" s="16">
        <f t="shared" si="0"/>
        <v>2813.7400000000007</v>
      </c>
      <c r="Q5" s="16">
        <f t="shared" si="0"/>
        <v>3086.2600000000011</v>
      </c>
      <c r="R5" s="16">
        <f t="shared" si="0"/>
        <v>3748.5900000000011</v>
      </c>
      <c r="S5" s="16">
        <f t="shared" si="0"/>
        <v>2998.5000000000009</v>
      </c>
      <c r="T5" s="16">
        <f t="shared" si="0"/>
        <v>2301.4900000000007</v>
      </c>
      <c r="U5" s="16">
        <f t="shared" si="0"/>
        <v>2932.1200000000008</v>
      </c>
      <c r="V5" s="16">
        <f t="shared" si="0"/>
        <v>2102.1400000000003</v>
      </c>
      <c r="W5" s="16">
        <f t="shared" si="0"/>
        <v>2352.3700000000008</v>
      </c>
      <c r="X5" s="16">
        <f t="shared" si="0"/>
        <v>2575.4700000000012</v>
      </c>
      <c r="Y5" s="16">
        <f t="shared" si="0"/>
        <v>2717.9200000000014</v>
      </c>
      <c r="Z5" s="16">
        <f t="shared" si="0"/>
        <v>2183.5200000000013</v>
      </c>
      <c r="AA5" s="16">
        <f t="shared" si="0"/>
        <v>1474.5200000000013</v>
      </c>
      <c r="AB5" s="5">
        <f>B5</f>
        <v>6397.22</v>
      </c>
    </row>
    <row r="6" spans="1:28" ht="15" thickBot="1" x14ac:dyDescent="0.35">
      <c r="A6" s="5" t="s">
        <v>37</v>
      </c>
      <c r="B6" s="10">
        <f>-10000-500</f>
        <v>-10500</v>
      </c>
      <c r="C6" s="10"/>
      <c r="D6" s="10"/>
      <c r="E6" s="17"/>
      <c r="F6" s="17"/>
      <c r="G6" s="11"/>
      <c r="H6" s="11">
        <v>-10000</v>
      </c>
      <c r="I6" s="17"/>
      <c r="J6" s="17"/>
      <c r="K6" s="17"/>
      <c r="L6" s="17"/>
      <c r="M6" s="17">
        <v>-10000</v>
      </c>
      <c r="N6" s="17">
        <v>229.59</v>
      </c>
      <c r="O6" s="17"/>
      <c r="P6" s="17"/>
      <c r="Q6" s="17"/>
      <c r="R6" s="17"/>
      <c r="S6" s="17">
        <f>-10000</f>
        <v>-10000</v>
      </c>
      <c r="T6" s="19"/>
      <c r="U6" s="17">
        <f>(500-N6)</f>
        <v>270.40999999999997</v>
      </c>
      <c r="V6" s="17"/>
      <c r="W6" s="17"/>
      <c r="X6" s="17"/>
      <c r="Y6" s="17"/>
      <c r="Z6" s="17"/>
      <c r="AA6" s="17"/>
      <c r="AB6" s="5">
        <f>SUM(B6:AA6)</f>
        <v>-40000</v>
      </c>
    </row>
    <row r="7" spans="1:28" ht="29.4" thickBot="1" x14ac:dyDescent="0.35">
      <c r="A7" s="5" t="s">
        <v>12</v>
      </c>
      <c r="B7" s="11">
        <v>4500</v>
      </c>
      <c r="C7" s="11"/>
      <c r="D7" s="11"/>
      <c r="E7" s="17"/>
      <c r="F7" s="17"/>
      <c r="G7" s="17"/>
      <c r="H7" s="17">
        <v>4500</v>
      </c>
      <c r="I7" s="17"/>
      <c r="J7" s="17"/>
      <c r="K7" s="17"/>
      <c r="L7" s="17"/>
      <c r="M7" s="17">
        <v>4500</v>
      </c>
      <c r="N7" s="17"/>
      <c r="O7" s="17"/>
      <c r="P7" s="17"/>
      <c r="Q7" s="17"/>
      <c r="R7" s="17"/>
      <c r="S7" s="17">
        <v>4500</v>
      </c>
      <c r="T7" s="17"/>
      <c r="U7" s="17"/>
      <c r="V7" s="17"/>
      <c r="W7" s="17"/>
      <c r="X7" s="17"/>
      <c r="Y7" s="17"/>
      <c r="Z7" s="17"/>
      <c r="AA7" s="17"/>
      <c r="AB7" s="5">
        <f t="shared" ref="AB7:AB16" si="1">SUM(B7:AA7)</f>
        <v>18000</v>
      </c>
    </row>
    <row r="8" spans="1:28" ht="15.6" customHeight="1" thickBot="1" x14ac:dyDescent="0.35">
      <c r="A8" s="5" t="s">
        <v>20</v>
      </c>
      <c r="B8" s="11"/>
      <c r="C8" s="11">
        <f>-693-65-1500</f>
        <v>-2258</v>
      </c>
      <c r="D8" s="11"/>
      <c r="E8" s="17"/>
      <c r="F8" s="17"/>
      <c r="G8" s="17"/>
      <c r="H8" s="17">
        <v>-1500</v>
      </c>
      <c r="I8" s="17"/>
      <c r="J8" s="17"/>
      <c r="K8" s="17"/>
      <c r="L8" s="17"/>
      <c r="M8" s="17">
        <f>-750</f>
        <v>-750</v>
      </c>
      <c r="N8" s="17">
        <v>0</v>
      </c>
      <c r="O8" s="17">
        <v>0</v>
      </c>
      <c r="P8" s="17"/>
      <c r="Q8" s="17"/>
      <c r="R8" s="17">
        <v>-1500</v>
      </c>
      <c r="S8" s="17"/>
      <c r="T8" s="19"/>
      <c r="U8" s="17">
        <v>-1500</v>
      </c>
      <c r="V8" s="17"/>
      <c r="W8" s="17"/>
      <c r="X8" s="17"/>
      <c r="Y8" s="17">
        <f>-410-700</f>
        <v>-1110</v>
      </c>
      <c r="Z8" s="17">
        <f>-410-163.03</f>
        <v>-573.03</v>
      </c>
      <c r="AA8" s="17">
        <f>-410</f>
        <v>-410</v>
      </c>
      <c r="AB8" s="5">
        <f t="shared" si="1"/>
        <v>-9601.0300000000007</v>
      </c>
    </row>
    <row r="9" spans="1:28" ht="15.6" customHeight="1" thickBot="1" x14ac:dyDescent="0.35">
      <c r="A9" s="5" t="s">
        <v>0</v>
      </c>
      <c r="B9" s="11">
        <v>-60</v>
      </c>
      <c r="C9" s="11"/>
      <c r="D9" s="11"/>
      <c r="E9" s="17"/>
      <c r="F9" s="17"/>
      <c r="G9" s="17"/>
      <c r="H9" s="17">
        <v>-60</v>
      </c>
      <c r="I9" s="17"/>
      <c r="J9" s="17"/>
      <c r="K9" s="17"/>
      <c r="L9" s="17"/>
      <c r="M9" s="17">
        <v>-60</v>
      </c>
      <c r="N9" s="17"/>
      <c r="O9" s="17"/>
      <c r="P9" s="17"/>
      <c r="Q9" s="17"/>
      <c r="R9" s="17"/>
      <c r="S9" s="17">
        <v>-60</v>
      </c>
      <c r="T9" s="17"/>
      <c r="U9" s="17"/>
      <c r="V9" s="17"/>
      <c r="W9" s="17"/>
      <c r="X9" s="17"/>
      <c r="Y9" s="17"/>
      <c r="Z9" s="17">
        <v>50</v>
      </c>
      <c r="AA9" s="17"/>
      <c r="AB9" s="5">
        <f t="shared" si="1"/>
        <v>-190</v>
      </c>
    </row>
    <row r="10" spans="1:28" ht="15" thickBot="1" x14ac:dyDescent="0.35">
      <c r="A10" s="5" t="s">
        <v>21</v>
      </c>
      <c r="B10" s="11">
        <v>-221.67</v>
      </c>
      <c r="C10" s="11"/>
      <c r="D10" s="11"/>
      <c r="E10" s="17"/>
      <c r="F10" s="17"/>
      <c r="G10" s="11"/>
      <c r="H10" s="11">
        <v>-221.67</v>
      </c>
      <c r="I10" s="17"/>
      <c r="J10" s="17"/>
      <c r="K10" s="17"/>
      <c r="L10" s="17"/>
      <c r="M10" s="17"/>
      <c r="N10" s="11">
        <v>-229.59</v>
      </c>
      <c r="O10" s="17"/>
      <c r="P10" s="17"/>
      <c r="Q10" s="17"/>
      <c r="R10" s="17"/>
      <c r="S10" s="11">
        <v>-229.59</v>
      </c>
      <c r="T10" s="17"/>
      <c r="U10" s="17"/>
      <c r="V10" s="17"/>
      <c r="W10" s="17"/>
      <c r="X10" s="17"/>
      <c r="Y10" s="17"/>
      <c r="Z10" s="17"/>
      <c r="AA10" s="17"/>
      <c r="AB10" s="5">
        <f t="shared" si="1"/>
        <v>-902.52</v>
      </c>
    </row>
    <row r="11" spans="1:28" ht="17.399999999999999" customHeight="1" thickBot="1" x14ac:dyDescent="0.35">
      <c r="A11" s="5" t="s">
        <v>22</v>
      </c>
      <c r="B11" s="11"/>
      <c r="C11" s="11"/>
      <c r="D11" s="11">
        <v>-37.200000000000003</v>
      </c>
      <c r="E11" s="17">
        <f>$D11</f>
        <v>-37.200000000000003</v>
      </c>
      <c r="F11" s="17">
        <f>$D11</f>
        <v>-37.200000000000003</v>
      </c>
      <c r="G11" s="17">
        <f t="shared" ref="G11:O11" si="2">$D11</f>
        <v>-37.200000000000003</v>
      </c>
      <c r="H11" s="17">
        <f t="shared" si="2"/>
        <v>-37.200000000000003</v>
      </c>
      <c r="I11" s="17">
        <f t="shared" si="2"/>
        <v>-37.200000000000003</v>
      </c>
      <c r="J11" s="17">
        <f t="shared" si="2"/>
        <v>-37.200000000000003</v>
      </c>
      <c r="K11" s="17">
        <f t="shared" si="2"/>
        <v>-37.200000000000003</v>
      </c>
      <c r="L11" s="17">
        <f t="shared" si="2"/>
        <v>-37.200000000000003</v>
      </c>
      <c r="M11" s="17">
        <f t="shared" si="2"/>
        <v>-37.200000000000003</v>
      </c>
      <c r="N11" s="17">
        <f t="shared" si="2"/>
        <v>-37.200000000000003</v>
      </c>
      <c r="O11" s="17">
        <f t="shared" si="2"/>
        <v>-37.200000000000003</v>
      </c>
      <c r="P11" s="17">
        <f>-39.7</f>
        <v>-39.700000000000003</v>
      </c>
      <c r="Q11" s="17">
        <f t="shared" ref="Q11:X11" si="3">-39.7</f>
        <v>-39.700000000000003</v>
      </c>
      <c r="R11" s="17">
        <f t="shared" si="3"/>
        <v>-39.700000000000003</v>
      </c>
      <c r="S11" s="17">
        <f t="shared" si="3"/>
        <v>-39.700000000000003</v>
      </c>
      <c r="T11" s="17">
        <f>-39.7</f>
        <v>-39.700000000000003</v>
      </c>
      <c r="U11" s="17">
        <f t="shared" si="3"/>
        <v>-39.700000000000003</v>
      </c>
      <c r="V11" s="17">
        <f t="shared" si="3"/>
        <v>-39.700000000000003</v>
      </c>
      <c r="W11" s="17">
        <f t="shared" si="3"/>
        <v>-39.700000000000003</v>
      </c>
      <c r="X11" s="17">
        <f t="shared" si="3"/>
        <v>-39.700000000000003</v>
      </c>
      <c r="Y11" s="17">
        <f>-39.7+397</f>
        <v>357.3</v>
      </c>
      <c r="Z11" s="17">
        <f>-39.7-397</f>
        <v>-436.7</v>
      </c>
      <c r="AA11" s="17">
        <f>-39.7</f>
        <v>-39.700000000000003</v>
      </c>
      <c r="AB11" s="5">
        <f t="shared" si="1"/>
        <v>-922.8000000000003</v>
      </c>
    </row>
    <row r="12" spans="1:28" ht="17.399999999999999" customHeight="1" thickBot="1" x14ac:dyDescent="0.35">
      <c r="A12" s="5" t="s">
        <v>24</v>
      </c>
      <c r="B12" s="11">
        <v>-36.1</v>
      </c>
      <c r="C12" s="11">
        <f>-300-692.94</f>
        <v>-992.94</v>
      </c>
      <c r="D12" s="11">
        <v>-400</v>
      </c>
      <c r="E12" s="17">
        <f>$D12-23.5</f>
        <v>-423.5</v>
      </c>
      <c r="F12" s="17">
        <f>-300+64</f>
        <v>-236</v>
      </c>
      <c r="G12" s="18">
        <f>$D12-225</f>
        <v>-625</v>
      </c>
      <c r="H12" s="17">
        <f>-300+238.55</f>
        <v>-61.449999999999989</v>
      </c>
      <c r="I12" s="17">
        <f>$D12+203.23</f>
        <v>-196.77</v>
      </c>
      <c r="J12" s="17">
        <f>-300+138.55</f>
        <v>-161.44999999999999</v>
      </c>
      <c r="K12" s="17">
        <f>-300+96.55</f>
        <v>-203.45</v>
      </c>
      <c r="L12" s="17">
        <f>-300+170.4</f>
        <v>-129.6</v>
      </c>
      <c r="M12" s="17">
        <f>-200+44.68+12</f>
        <v>-143.32</v>
      </c>
      <c r="N12" s="17">
        <v>-101.62</v>
      </c>
      <c r="O12" s="17">
        <f>-150+21.89-3.98</f>
        <v>-132.09</v>
      </c>
      <c r="P12" s="17">
        <f>-150-187.78</f>
        <v>-337.78</v>
      </c>
      <c r="Q12" s="17">
        <f>-150-91.53-79.04</f>
        <v>-320.57</v>
      </c>
      <c r="R12" s="17">
        <f>-150-155.59</f>
        <v>-305.59000000000003</v>
      </c>
      <c r="S12" s="17">
        <f>-150-109.38-5.54</f>
        <v>-264.92</v>
      </c>
      <c r="T12" s="17">
        <f>-150-274.87</f>
        <v>-424.87</v>
      </c>
      <c r="U12" s="17">
        <f>-150-60.69</f>
        <v>-210.69</v>
      </c>
      <c r="V12" s="17">
        <f>-150-210.07</f>
        <v>-360.07</v>
      </c>
      <c r="W12" s="17">
        <f>-150-87.2-150</f>
        <v>-387.2</v>
      </c>
      <c r="X12" s="17">
        <f>-0.12-21.43-94.27-25.63-4.99-20.64-13.96-24.4-19.25-28.16-200-15</f>
        <v>-467.85</v>
      </c>
      <c r="Y12" s="17">
        <f>-12.59-16.36-5-300-97.75</f>
        <v>-431.7</v>
      </c>
      <c r="Z12" s="17">
        <f>-380.07-15.24-3.96</f>
        <v>-399.27</v>
      </c>
      <c r="AA12" s="17">
        <f>-150-145.95</f>
        <v>-295.95</v>
      </c>
      <c r="AB12" s="5">
        <f t="shared" si="1"/>
        <v>-8049.7499999999991</v>
      </c>
    </row>
    <row r="13" spans="1:28" ht="27.6" customHeight="1" thickBot="1" x14ac:dyDescent="0.35">
      <c r="A13" s="5" t="s">
        <v>35</v>
      </c>
      <c r="B13" s="11"/>
      <c r="C13" s="11">
        <v>9987.11</v>
      </c>
      <c r="D13" s="11"/>
      <c r="E13" s="17"/>
      <c r="F13" s="17"/>
      <c r="G13" s="17"/>
      <c r="H13" s="17"/>
      <c r="I13" s="17"/>
      <c r="J13" s="17"/>
      <c r="K13" s="17"/>
      <c r="L13" s="17"/>
      <c r="M13" s="17"/>
      <c r="N13" s="17"/>
      <c r="O13" s="17">
        <v>3000</v>
      </c>
      <c r="P13" s="17"/>
      <c r="Q13" s="17">
        <v>150</v>
      </c>
      <c r="R13" s="17"/>
      <c r="S13" s="17">
        <v>4302</v>
      </c>
      <c r="T13" s="17"/>
      <c r="U13" s="17"/>
      <c r="V13" s="17"/>
      <c r="W13" s="17"/>
      <c r="X13" s="17"/>
      <c r="Y13" s="17"/>
      <c r="Z13" s="17"/>
      <c r="AA13" s="17">
        <v>600</v>
      </c>
      <c r="AB13" s="5">
        <f t="shared" si="1"/>
        <v>18039.11</v>
      </c>
    </row>
    <row r="14" spans="1:28" ht="27.6" customHeight="1" thickBot="1" x14ac:dyDescent="0.35">
      <c r="A14" s="5" t="s">
        <v>27</v>
      </c>
      <c r="B14" s="11"/>
      <c r="C14" s="11"/>
      <c r="D14" s="11"/>
      <c r="E14" s="17"/>
      <c r="F14" s="17"/>
      <c r="G14" s="17"/>
      <c r="H14" s="17"/>
      <c r="I14" s="17"/>
      <c r="J14" s="17"/>
      <c r="K14" s="17"/>
      <c r="L14" s="17"/>
      <c r="M14" s="17"/>
      <c r="N14" s="17"/>
      <c r="O14" s="17"/>
      <c r="P14" s="17">
        <v>650</v>
      </c>
      <c r="Q14" s="17">
        <v>650</v>
      </c>
      <c r="R14" s="17">
        <v>650</v>
      </c>
      <c r="S14" s="17">
        <v>650</v>
      </c>
      <c r="T14" s="17">
        <v>650</v>
      </c>
      <c r="U14" s="17">
        <v>650</v>
      </c>
      <c r="V14" s="17">
        <v>650</v>
      </c>
      <c r="W14" s="17">
        <v>650</v>
      </c>
      <c r="X14" s="17">
        <v>650</v>
      </c>
      <c r="Y14" s="17">
        <v>650</v>
      </c>
      <c r="Z14" s="17">
        <v>650</v>
      </c>
      <c r="AA14" s="17">
        <v>650</v>
      </c>
      <c r="AB14" s="5">
        <f t="shared" si="1"/>
        <v>7800</v>
      </c>
    </row>
    <row r="15" spans="1:28" ht="15" thickBot="1" x14ac:dyDescent="0.35">
      <c r="A15" s="5" t="s">
        <v>23</v>
      </c>
      <c r="B15" s="11">
        <v>2367.36</v>
      </c>
      <c r="C15" s="11">
        <v>2497.37</v>
      </c>
      <c r="D15" s="11"/>
      <c r="E15" s="17"/>
      <c r="F15" s="17"/>
      <c r="G15" s="17"/>
      <c r="H15" s="17"/>
      <c r="I15" s="17"/>
      <c r="J15" s="17"/>
      <c r="K15" s="17"/>
      <c r="L15" s="17"/>
      <c r="M15" s="17"/>
      <c r="N15" s="17"/>
      <c r="O15" s="17"/>
      <c r="P15" s="17"/>
      <c r="Q15" s="17">
        <f>11.13*20</f>
        <v>222.60000000000002</v>
      </c>
      <c r="R15" s="17">
        <f>11.13*40</f>
        <v>445.20000000000005</v>
      </c>
      <c r="S15" s="17">
        <f>11.13*40</f>
        <v>445.20000000000005</v>
      </c>
      <c r="T15" s="17">
        <f>11.13*40</f>
        <v>445.20000000000005</v>
      </c>
      <c r="U15" s="17"/>
      <c r="V15" s="17"/>
      <c r="W15" s="17"/>
      <c r="X15" s="17"/>
      <c r="Y15" s="17"/>
      <c r="Z15" s="17"/>
      <c r="AA15" s="17"/>
      <c r="AB15" s="5">
        <f t="shared" si="1"/>
        <v>6422.9299999999994</v>
      </c>
    </row>
    <row r="16" spans="1:28" ht="15" thickBot="1" x14ac:dyDescent="0.35">
      <c r="A16" s="5" t="s">
        <v>34</v>
      </c>
      <c r="B16" s="12"/>
      <c r="C16" s="12">
        <v>769.04</v>
      </c>
      <c r="D16" s="12"/>
      <c r="E16" s="12"/>
      <c r="F16" s="12"/>
      <c r="G16" s="12"/>
      <c r="H16" s="12"/>
      <c r="I16" s="12">
        <v>-34.9</v>
      </c>
      <c r="J16" s="12"/>
      <c r="K16" s="12">
        <v>4251.57</v>
      </c>
      <c r="L16" s="12"/>
      <c r="M16" s="12"/>
      <c r="N16" s="12"/>
      <c r="O16" s="12"/>
      <c r="P16" s="12"/>
      <c r="Q16" s="12"/>
      <c r="R16" s="12"/>
      <c r="S16" s="12"/>
      <c r="T16" s="12"/>
      <c r="U16" s="12"/>
      <c r="V16" s="12"/>
      <c r="W16" s="12"/>
      <c r="X16" s="12"/>
      <c r="Y16" s="12"/>
      <c r="Z16" s="12"/>
      <c r="AA16" s="12"/>
      <c r="AB16" s="8">
        <f t="shared" si="1"/>
        <v>4985.71</v>
      </c>
    </row>
    <row r="17" spans="1:28" ht="15.6" customHeight="1" thickBot="1" x14ac:dyDescent="0.35">
      <c r="A17" s="5" t="s">
        <v>30</v>
      </c>
      <c r="B17" s="9">
        <f t="shared" ref="B17:Z17" si="4">SUM(B5:B16)</f>
        <v>2446.8100000000004</v>
      </c>
      <c r="C17" s="9">
        <f t="shared" si="4"/>
        <v>12449.390000000003</v>
      </c>
      <c r="D17" s="9">
        <f t="shared" si="4"/>
        <v>12012.190000000002</v>
      </c>
      <c r="E17" s="9">
        <f t="shared" si="4"/>
        <v>11551.490000000002</v>
      </c>
      <c r="F17" s="9">
        <f t="shared" si="4"/>
        <v>11278.29</v>
      </c>
      <c r="G17" s="9">
        <f t="shared" si="4"/>
        <v>10616.09</v>
      </c>
      <c r="H17" s="9">
        <f t="shared" si="4"/>
        <v>3235.7700000000004</v>
      </c>
      <c r="I17" s="9">
        <f t="shared" si="4"/>
        <v>2966.9000000000005</v>
      </c>
      <c r="J17" s="9">
        <f t="shared" si="4"/>
        <v>2768.2500000000009</v>
      </c>
      <c r="K17" s="9">
        <f t="shared" si="4"/>
        <v>6779.170000000001</v>
      </c>
      <c r="L17" s="9">
        <f t="shared" si="4"/>
        <v>6612.3700000000008</v>
      </c>
      <c r="M17" s="9">
        <f t="shared" si="4"/>
        <v>121.85000000000082</v>
      </c>
      <c r="N17" s="9">
        <f t="shared" si="4"/>
        <v>-16.96999999999916</v>
      </c>
      <c r="O17" s="9">
        <f t="shared" si="4"/>
        <v>2813.7400000000007</v>
      </c>
      <c r="P17" s="9">
        <f t="shared" si="4"/>
        <v>3086.2600000000011</v>
      </c>
      <c r="Q17" s="9">
        <f t="shared" si="4"/>
        <v>3748.5900000000011</v>
      </c>
      <c r="R17" s="9">
        <f t="shared" si="4"/>
        <v>2998.5000000000009</v>
      </c>
      <c r="S17" s="9">
        <f t="shared" si="4"/>
        <v>2301.4900000000007</v>
      </c>
      <c r="T17" s="9">
        <f t="shared" si="4"/>
        <v>2932.1200000000008</v>
      </c>
      <c r="U17" s="9">
        <f t="shared" si="4"/>
        <v>2102.1400000000003</v>
      </c>
      <c r="V17" s="9">
        <f t="shared" si="4"/>
        <v>2352.3700000000008</v>
      </c>
      <c r="W17" s="9">
        <f t="shared" si="4"/>
        <v>2575.4700000000012</v>
      </c>
      <c r="X17" s="9">
        <f t="shared" si="4"/>
        <v>2717.9200000000014</v>
      </c>
      <c r="Y17" s="9">
        <f t="shared" si="4"/>
        <v>2183.5200000000013</v>
      </c>
      <c r="Z17" s="9">
        <f t="shared" si="4"/>
        <v>1474.5200000000013</v>
      </c>
      <c r="AA17" s="9">
        <f t="shared" ref="AA17" si="5">SUM(AA5:AA16)</f>
        <v>1978.8700000000013</v>
      </c>
      <c r="AB17" s="5">
        <f>SUM(AB5:AB16)</f>
        <v>1978.8700000000026</v>
      </c>
    </row>
    <row r="18" spans="1:28" x14ac:dyDescent="0.3">
      <c r="A18" s="3"/>
      <c r="C18" s="13"/>
      <c r="D18" s="13"/>
      <c r="E18" s="13"/>
      <c r="F18" s="13"/>
      <c r="G18" s="13"/>
      <c r="H18" s="13"/>
      <c r="I18" s="13"/>
      <c r="J18" s="13"/>
      <c r="K18" s="13"/>
      <c r="L18" s="13"/>
      <c r="M18" s="13"/>
      <c r="N18" s="13"/>
      <c r="O18" s="13"/>
      <c r="P18" s="13"/>
      <c r="Q18" s="13"/>
      <c r="R18" s="13"/>
      <c r="S18" s="13"/>
      <c r="T18" s="13"/>
      <c r="U18" s="13"/>
      <c r="V18" s="13"/>
      <c r="W18" s="13"/>
      <c r="X18" s="13"/>
      <c r="Y18" s="13"/>
      <c r="Z18" s="13"/>
      <c r="AA18" s="14"/>
      <c r="AB18" s="7"/>
    </row>
    <row r="19" spans="1:28" x14ac:dyDescent="0.3">
      <c r="H19" s="13"/>
      <c r="O19" s="13"/>
      <c r="T19" s="13"/>
      <c r="U19" s="13"/>
      <c r="X19" s="13"/>
      <c r="Y19" s="13"/>
      <c r="Z19" s="13"/>
      <c r="AA19" s="14"/>
      <c r="AB19" s="7"/>
    </row>
    <row r="20" spans="1:28" x14ac:dyDescent="0.3">
      <c r="G20" s="13"/>
      <c r="H20" s="13"/>
      <c r="J20" s="13"/>
      <c r="K20" s="13"/>
      <c r="O20" s="13"/>
      <c r="S20" s="13"/>
      <c r="U20" s="13"/>
      <c r="Z20" s="13"/>
      <c r="AB20" s="13"/>
    </row>
    <row r="21" spans="1:28" x14ac:dyDescent="0.3">
      <c r="H21" s="13"/>
      <c r="O21" s="13"/>
      <c r="Q21" s="13"/>
      <c r="W21" s="13"/>
      <c r="Y21" s="15"/>
    </row>
    <row r="22" spans="1:28" x14ac:dyDescent="0.3">
      <c r="Q22" s="13"/>
      <c r="Y22" s="13"/>
    </row>
    <row r="23" spans="1:28" x14ac:dyDescent="0.3">
      <c r="R23" s="13"/>
      <c r="V23" s="13"/>
      <c r="Z23" s="13"/>
    </row>
    <row r="24" spans="1:28" x14ac:dyDescent="0.3">
      <c r="S24" s="13"/>
    </row>
    <row r="29" spans="1:28" x14ac:dyDescent="0.3">
      <c r="M29" s="13"/>
    </row>
  </sheetData>
  <mergeCells count="14">
    <mergeCell ref="B3:C4"/>
    <mergeCell ref="AB1:AB4"/>
    <mergeCell ref="A1:A4"/>
    <mergeCell ref="D4:G4"/>
    <mergeCell ref="H1:S1"/>
    <mergeCell ref="T1:AA1"/>
    <mergeCell ref="D3:L3"/>
    <mergeCell ref="M3:O4"/>
    <mergeCell ref="I4:L4"/>
    <mergeCell ref="P3:X3"/>
    <mergeCell ref="P4:S4"/>
    <mergeCell ref="U4:X4"/>
    <mergeCell ref="Y3:AA4"/>
    <mergeCell ref="B1:G1"/>
  </mergeCells>
  <conditionalFormatting sqref="B17:AA17">
    <cfRule type="cellIs" dxfId="14" priority="2" operator="lessThan">
      <formula>0</formula>
    </cfRule>
  </conditionalFormatting>
  <pageMargins left="0.7" right="0.7" top="0.75" bottom="0.75" header="0.3" footer="0.3"/>
  <pageSetup paperSize="8" scale="61"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51A5-FDCC-4878-819A-2B4F60C903CC}">
  <sheetPr codeName="Sheet2">
    <pageSetUpPr fitToPage="1"/>
  </sheetPr>
  <dimension ref="A1:AJ26"/>
  <sheetViews>
    <sheetView workbookViewId="0">
      <selection sqref="A1:A2"/>
    </sheetView>
  </sheetViews>
  <sheetFormatPr defaultRowHeight="14.4" x14ac:dyDescent="0.3"/>
  <cols>
    <col min="1" max="1" width="15.88671875" style="1" customWidth="1"/>
    <col min="2" max="4" width="10.21875" customWidth="1"/>
    <col min="5" max="5" width="10.88671875" customWidth="1"/>
    <col min="6" max="6" width="12" customWidth="1"/>
    <col min="7" max="7" width="10.21875" customWidth="1"/>
    <col min="8" max="9" width="11.109375" bestFit="1" customWidth="1"/>
    <col min="10" max="10" width="10.44140625" customWidth="1"/>
    <col min="11" max="11" width="11.44140625" customWidth="1"/>
    <col min="12" max="17" width="11.109375" bestFit="1" customWidth="1"/>
    <col min="18" max="18" width="11.88671875" bestFit="1" customWidth="1"/>
    <col min="19" max="24" width="11.109375" bestFit="1" customWidth="1"/>
    <col min="25" max="32" width="11.109375" customWidth="1"/>
    <col min="33" max="33" width="12.109375" customWidth="1"/>
  </cols>
  <sheetData>
    <row r="1" spans="1:36" s="2" customFormat="1" ht="15" thickBot="1" x14ac:dyDescent="0.35">
      <c r="A1" s="128" t="s">
        <v>28</v>
      </c>
      <c r="B1" s="154">
        <v>2021</v>
      </c>
      <c r="C1" s="154"/>
      <c r="D1" s="154"/>
      <c r="E1" s="155"/>
      <c r="F1" s="134">
        <v>2022</v>
      </c>
      <c r="G1" s="134"/>
      <c r="H1" s="134"/>
      <c r="I1" s="134"/>
      <c r="J1" s="134"/>
      <c r="K1" s="134"/>
      <c r="L1" s="134"/>
      <c r="M1" s="134"/>
      <c r="N1" s="134"/>
      <c r="O1" s="134"/>
      <c r="P1" s="134"/>
      <c r="Q1" s="134"/>
      <c r="R1" s="134">
        <v>2023</v>
      </c>
      <c r="S1" s="134"/>
      <c r="T1" s="134"/>
      <c r="U1" s="134"/>
      <c r="V1" s="134"/>
      <c r="W1" s="134"/>
      <c r="X1" s="134"/>
      <c r="Y1" s="134"/>
      <c r="Z1" s="134"/>
      <c r="AA1" s="134"/>
      <c r="AB1" s="134"/>
      <c r="AC1" s="134"/>
      <c r="AD1" s="134">
        <v>2024</v>
      </c>
      <c r="AE1" s="134"/>
      <c r="AF1" s="134"/>
      <c r="AG1" s="125" t="s">
        <v>26</v>
      </c>
    </row>
    <row r="2" spans="1:36" s="2" customFormat="1" ht="15" thickBot="1" x14ac:dyDescent="0.35">
      <c r="A2" s="129"/>
      <c r="B2" s="4" t="s">
        <v>1</v>
      </c>
      <c r="C2" s="4" t="s">
        <v>2</v>
      </c>
      <c r="D2" s="4" t="s">
        <v>3</v>
      </c>
      <c r="E2" s="4" t="s">
        <v>4</v>
      </c>
      <c r="F2" s="4" t="s">
        <v>32</v>
      </c>
      <c r="G2" s="4" t="s">
        <v>5</v>
      </c>
      <c r="H2" s="4" t="s">
        <v>6</v>
      </c>
      <c r="I2" s="4" t="s">
        <v>7</v>
      </c>
      <c r="J2" s="4" t="s">
        <v>33</v>
      </c>
      <c r="K2" s="4" t="s">
        <v>8</v>
      </c>
      <c r="L2" s="4" t="s">
        <v>9</v>
      </c>
      <c r="M2" s="4" t="s">
        <v>31</v>
      </c>
      <c r="N2" s="4" t="s">
        <v>1</v>
      </c>
      <c r="O2" s="4" t="s">
        <v>2</v>
      </c>
      <c r="P2" s="4" t="s">
        <v>3</v>
      </c>
      <c r="Q2" s="4" t="s">
        <v>4</v>
      </c>
      <c r="R2" s="21" t="s">
        <v>32</v>
      </c>
      <c r="S2" s="21" t="s">
        <v>5</v>
      </c>
      <c r="T2" s="21" t="s">
        <v>6</v>
      </c>
      <c r="U2" s="21" t="s">
        <v>7</v>
      </c>
      <c r="V2" s="21" t="s">
        <v>33</v>
      </c>
      <c r="W2" s="21" t="s">
        <v>8</v>
      </c>
      <c r="X2" s="21" t="s">
        <v>9</v>
      </c>
      <c r="Y2" s="21" t="s">
        <v>31</v>
      </c>
      <c r="Z2" s="21" t="s">
        <v>1</v>
      </c>
      <c r="AA2" s="21" t="s">
        <v>2</v>
      </c>
      <c r="AB2" s="21" t="s">
        <v>3</v>
      </c>
      <c r="AC2" s="21" t="s">
        <v>4</v>
      </c>
      <c r="AD2" s="4" t="s">
        <v>32</v>
      </c>
      <c r="AE2" s="4" t="s">
        <v>39</v>
      </c>
      <c r="AF2" s="4" t="s">
        <v>6</v>
      </c>
      <c r="AG2" s="126"/>
    </row>
    <row r="3" spans="1:36" ht="15" thickBot="1" x14ac:dyDescent="0.35">
      <c r="A3" s="5" t="s">
        <v>29</v>
      </c>
      <c r="B3" s="16">
        <f>livelihood_student!AA17</f>
        <v>1978.8700000000013</v>
      </c>
      <c r="C3" s="16">
        <f t="shared" ref="C3:AB3" si="0">B13</f>
        <v>1069.1100000000013</v>
      </c>
      <c r="D3" s="16">
        <f t="shared" si="0"/>
        <v>904.04000000000133</v>
      </c>
      <c r="E3" s="16">
        <f t="shared" si="0"/>
        <v>2559.2300000000014</v>
      </c>
      <c r="F3" s="16">
        <f t="shared" si="0"/>
        <v>2226.0200000000013</v>
      </c>
      <c r="G3" s="16">
        <f t="shared" si="0"/>
        <v>2203.7900000000013</v>
      </c>
      <c r="H3" s="16">
        <f t="shared" si="0"/>
        <v>2162.1100000000015</v>
      </c>
      <c r="I3" s="16">
        <f t="shared" si="0"/>
        <v>2058.5700000000015</v>
      </c>
      <c r="J3" s="16">
        <f t="shared" si="0"/>
        <v>1958.7600000000016</v>
      </c>
      <c r="K3" s="16">
        <f t="shared" si="0"/>
        <v>1824.7092000000016</v>
      </c>
      <c r="L3" s="16">
        <f t="shared" si="0"/>
        <v>2053.5684000000015</v>
      </c>
      <c r="M3" s="16">
        <f t="shared" si="0"/>
        <v>1705.6376000000014</v>
      </c>
      <c r="N3" s="16">
        <f t="shared" si="0"/>
        <v>1414.8968000000013</v>
      </c>
      <c r="O3" s="16">
        <f t="shared" si="0"/>
        <v>1622.0468960000012</v>
      </c>
      <c r="P3" s="16">
        <f t="shared" si="0"/>
        <v>1496.9268960000013</v>
      </c>
      <c r="Q3" s="16">
        <f t="shared" si="0"/>
        <v>1419.7660960000012</v>
      </c>
      <c r="R3" s="16">
        <f t="shared" si="0"/>
        <v>1242.3852960000011</v>
      </c>
      <c r="S3" s="16">
        <f t="shared" si="0"/>
        <v>1061.2344960000012</v>
      </c>
      <c r="T3" s="16">
        <f t="shared" si="0"/>
        <v>600.35449600000118</v>
      </c>
      <c r="U3" s="16">
        <f t="shared" si="0"/>
        <v>199.8144960000011</v>
      </c>
      <c r="V3" s="16">
        <f t="shared" si="0"/>
        <v>1348.464496000001</v>
      </c>
      <c r="W3" s="16">
        <f t="shared" si="0"/>
        <v>1422.8544960000011</v>
      </c>
      <c r="X3" s="16">
        <f t="shared" si="0"/>
        <v>4591.7968960000017</v>
      </c>
      <c r="Y3" s="16">
        <f t="shared" si="0"/>
        <v>5262.9768960000019</v>
      </c>
      <c r="Z3" s="16">
        <f t="shared" si="0"/>
        <v>5148.1968960000013</v>
      </c>
      <c r="AA3" s="16">
        <f t="shared" si="0"/>
        <v>5932.4168960000015</v>
      </c>
      <c r="AB3" s="16">
        <f t="shared" si="0"/>
        <v>2759.0168960000015</v>
      </c>
      <c r="AC3" s="16">
        <f>AB13-AB12</f>
        <v>2731.1968960000013</v>
      </c>
      <c r="AD3" s="16">
        <f t="shared" ref="AD3" si="1">AC13-AC12</f>
        <v>2019.0068960000012</v>
      </c>
      <c r="AE3" s="16">
        <f>AD13+AD12</f>
        <v>1476.2568960000008</v>
      </c>
      <c r="AF3" s="16">
        <f>AE13</f>
        <v>1782.0468960000007</v>
      </c>
      <c r="AG3" s="5">
        <f>B3</f>
        <v>1978.8700000000013</v>
      </c>
    </row>
    <row r="4" spans="1:36" ht="15" thickBot="1" x14ac:dyDescent="0.35">
      <c r="A4" s="5" t="s">
        <v>36</v>
      </c>
      <c r="B4" s="10"/>
      <c r="C4" s="16"/>
      <c r="D4" s="16">
        <v>-50</v>
      </c>
      <c r="E4" s="16">
        <f>-50-225.81</f>
        <v>-275.81</v>
      </c>
      <c r="F4" s="16"/>
      <c r="G4" s="16"/>
      <c r="H4" s="16"/>
      <c r="I4" s="16"/>
      <c r="J4" s="16"/>
      <c r="K4" s="16"/>
      <c r="L4" s="16">
        <f>-50-181.69-12.72+85.92</f>
        <v>-158.49</v>
      </c>
      <c r="M4" s="16"/>
      <c r="N4" s="16"/>
      <c r="O4" s="16"/>
      <c r="P4" s="16"/>
      <c r="Q4" s="16">
        <f>-50-194.41</f>
        <v>-244.41</v>
      </c>
      <c r="R4" s="16"/>
      <c r="S4" s="16"/>
      <c r="T4" s="16"/>
      <c r="U4" s="16"/>
      <c r="V4" s="16"/>
      <c r="W4" s="16"/>
      <c r="X4" s="16">
        <f>-50-190.22</f>
        <v>-240.22</v>
      </c>
      <c r="Y4" s="16"/>
      <c r="Z4" s="16"/>
      <c r="AA4" s="16"/>
      <c r="AB4" s="16"/>
      <c r="AC4" s="17">
        <f>-50-190.22</f>
        <v>-240.22</v>
      </c>
      <c r="AD4" s="17"/>
      <c r="AE4" s="17"/>
      <c r="AF4" s="34"/>
      <c r="AG4" s="5">
        <f t="shared" ref="AG4:AG12" si="2">SUM(B4:AF4)</f>
        <v>-1209.1500000000001</v>
      </c>
    </row>
    <row r="5" spans="1:36" ht="15.6" customHeight="1" thickBot="1" x14ac:dyDescent="0.35">
      <c r="A5" s="5" t="s">
        <v>20</v>
      </c>
      <c r="B5" s="11">
        <f>-410-93</f>
        <v>-503</v>
      </c>
      <c r="C5" s="17">
        <f>-418</f>
        <v>-418</v>
      </c>
      <c r="D5" s="17">
        <f t="shared" ref="D5:N5" si="3">-418</f>
        <v>-418</v>
      </c>
      <c r="E5" s="17">
        <f>-418-93</f>
        <v>-511</v>
      </c>
      <c r="F5" s="17">
        <f t="shared" si="3"/>
        <v>-418</v>
      </c>
      <c r="G5" s="17">
        <f t="shared" si="3"/>
        <v>-418</v>
      </c>
      <c r="H5" s="17">
        <f t="shared" si="3"/>
        <v>-418</v>
      </c>
      <c r="I5" s="17">
        <f t="shared" si="3"/>
        <v>-418</v>
      </c>
      <c r="J5" s="17">
        <f t="shared" si="3"/>
        <v>-418</v>
      </c>
      <c r="K5" s="17">
        <f t="shared" si="3"/>
        <v>-418</v>
      </c>
      <c r="L5" s="17">
        <f t="shared" si="3"/>
        <v>-418</v>
      </c>
      <c r="M5" s="17">
        <f t="shared" si="3"/>
        <v>-418</v>
      </c>
      <c r="N5" s="17">
        <f t="shared" si="3"/>
        <v>-418</v>
      </c>
      <c r="O5" s="17">
        <v>-425</v>
      </c>
      <c r="P5" s="17">
        <v>-425</v>
      </c>
      <c r="Q5" s="17">
        <v>-425</v>
      </c>
      <c r="R5" s="17">
        <v>-425</v>
      </c>
      <c r="S5" s="17">
        <v>-425</v>
      </c>
      <c r="T5" s="17">
        <v>-425</v>
      </c>
      <c r="U5" s="17">
        <v>-425</v>
      </c>
      <c r="V5" s="17">
        <v>-425</v>
      </c>
      <c r="W5" s="17">
        <v>-425</v>
      </c>
      <c r="X5" s="17">
        <v>-425</v>
      </c>
      <c r="Y5" s="17">
        <v>-425</v>
      </c>
      <c r="Z5" s="17">
        <v>-425</v>
      </c>
      <c r="AA5" s="17">
        <v>-440</v>
      </c>
      <c r="AB5" s="17">
        <v>-440</v>
      </c>
      <c r="AC5" s="17">
        <f>-440-49</f>
        <v>-489</v>
      </c>
      <c r="AD5" s="17">
        <f>-425+700</f>
        <v>275</v>
      </c>
      <c r="AE5" s="17">
        <f>-425-43</f>
        <v>-468</v>
      </c>
      <c r="AF5" s="34">
        <f>-425-43</f>
        <v>-468</v>
      </c>
      <c r="AG5" s="5">
        <f t="shared" si="2"/>
        <v>-12742</v>
      </c>
    </row>
    <row r="6" spans="1:36" ht="17.399999999999999" customHeight="1" thickBot="1" x14ac:dyDescent="0.35">
      <c r="A6" s="5" t="s">
        <v>22</v>
      </c>
      <c r="B6" s="11">
        <v>-76.8</v>
      </c>
      <c r="C6" s="17">
        <v>-76.8</v>
      </c>
      <c r="D6" s="17">
        <v>-76.8</v>
      </c>
      <c r="E6" s="17">
        <v>-37</v>
      </c>
      <c r="F6" s="17">
        <v>-37</v>
      </c>
      <c r="G6" s="17">
        <v>-37</v>
      </c>
      <c r="H6" s="17">
        <v>-37</v>
      </c>
      <c r="I6" s="17">
        <v>-37</v>
      </c>
      <c r="J6" s="17">
        <v>-37</v>
      </c>
      <c r="K6" s="17">
        <v>-37</v>
      </c>
      <c r="L6" s="17">
        <v>-37</v>
      </c>
      <c r="M6" s="17">
        <v>-37</v>
      </c>
      <c r="N6" s="17">
        <v>-37</v>
      </c>
      <c r="O6" s="17">
        <v>-37</v>
      </c>
      <c r="P6" s="17">
        <v>-37</v>
      </c>
      <c r="Q6" s="17">
        <v>-37</v>
      </c>
      <c r="R6" s="17">
        <v>-37</v>
      </c>
      <c r="S6" s="17">
        <v>-37</v>
      </c>
      <c r="T6" s="17">
        <v>-37</v>
      </c>
      <c r="U6" s="17">
        <v>-37</v>
      </c>
      <c r="V6" s="17">
        <v>-37</v>
      </c>
      <c r="W6" s="17">
        <v>-54</v>
      </c>
      <c r="X6" s="17">
        <v>-54</v>
      </c>
      <c r="Y6" s="17">
        <v>-54</v>
      </c>
      <c r="Z6" s="17">
        <v>-54</v>
      </c>
      <c r="AA6" s="17">
        <v>-54</v>
      </c>
      <c r="AB6" s="17">
        <v>-54</v>
      </c>
      <c r="AC6" s="17">
        <v>-54</v>
      </c>
      <c r="AD6" s="17">
        <v>-54</v>
      </c>
      <c r="AE6" s="17">
        <v>-54</v>
      </c>
      <c r="AF6" s="34">
        <v>-54</v>
      </c>
      <c r="AG6" s="5">
        <f t="shared" si="2"/>
        <v>-1436.4</v>
      </c>
    </row>
    <row r="7" spans="1:36" ht="17.399999999999999" customHeight="1" thickBot="1" x14ac:dyDescent="0.35">
      <c r="A7" s="5" t="s">
        <v>24</v>
      </c>
      <c r="B7" s="11">
        <f>-150-244.96+15</f>
        <v>-379.96000000000004</v>
      </c>
      <c r="C7" s="17">
        <f>-170.27-150</f>
        <v>-320.27</v>
      </c>
      <c r="D7" s="17">
        <f>-150-166.01</f>
        <v>-316.01</v>
      </c>
      <c r="E7" s="17">
        <f>-250-19.4</f>
        <v>-269.39999999999998</v>
      </c>
      <c r="F7" s="17">
        <f>-195-22.23</f>
        <v>-217.23</v>
      </c>
      <c r="G7" s="17">
        <f>-195-41.68</f>
        <v>-236.68</v>
      </c>
      <c r="H7" s="17">
        <f>-195-101.93-1.61</f>
        <v>-298.54000000000002</v>
      </c>
      <c r="I7" s="17">
        <f>-305+10.19</f>
        <v>-294.81</v>
      </c>
      <c r="J7" s="17">
        <f>-442.65-(105+46.98+121.95)</f>
        <v>-716.57999999999993</v>
      </c>
      <c r="K7" s="17">
        <f>-195-158.67</f>
        <v>-353.66999999999996</v>
      </c>
      <c r="L7" s="17">
        <f>-445.82-110-182.2-79-24.95</f>
        <v>-841.97</v>
      </c>
      <c r="M7" s="17">
        <f>-195-89.95-383.51-204.81</f>
        <v>-873.27</v>
      </c>
      <c r="N7" s="17">
        <f>-195-154.64-45.16-109.95</f>
        <v>-504.74999999999994</v>
      </c>
      <c r="O7" s="17">
        <f>-195-419.64+29.67</f>
        <v>-584.97</v>
      </c>
      <c r="P7" s="17">
        <v>-563.26</v>
      </c>
      <c r="Q7" s="17">
        <f>-402-13.63</f>
        <v>-415.63</v>
      </c>
      <c r="R7" s="17">
        <f>-669.74</f>
        <v>-669.74</v>
      </c>
      <c r="S7" s="17">
        <f>-325-123.41-100.72</f>
        <v>-549.13</v>
      </c>
      <c r="T7" s="17">
        <f>-325-160.35-200</f>
        <v>-685.35</v>
      </c>
      <c r="U7" s="17">
        <f>-205.06-12.24-16.25-104.17</f>
        <v>-337.72</v>
      </c>
      <c r="V7" s="17">
        <f>-325-200-106.63</f>
        <v>-631.63</v>
      </c>
      <c r="W7" s="17">
        <f>-350-526.93-468.05</f>
        <v>-1344.98</v>
      </c>
      <c r="X7" s="17">
        <f>-350-38.18</f>
        <v>-388.18</v>
      </c>
      <c r="Y7" s="17">
        <f>-350-74.34-476-104.48-173.98</f>
        <v>-1178.8</v>
      </c>
      <c r="Z7" s="17">
        <f>-350-203.01</f>
        <v>-553.01</v>
      </c>
      <c r="AA7" s="17">
        <f>-814.43-145</f>
        <v>-959.43</v>
      </c>
      <c r="AB7" s="17">
        <f>-350-633.47-36.98-70</f>
        <v>-1090.45</v>
      </c>
      <c r="AC7" s="17">
        <f>-46.97-5-48.45-15.75-55+1.49-24-150-17.23-20.53-17.9-13.45-19.6-59.9-11.78-10.29-5.69-147.99-10-10.9-105-14.94-42-35.01-26.03-29.82-9.8-77.03-30.99-3.98-18.86-3.4-7.98-12.95</f>
        <v>-1106.7300000000002</v>
      </c>
      <c r="AD7" s="17">
        <f>-96.45-59.8-12.29-5.68-11.22-17.99-32.1-107.6-10.74-22.55-4.75-17.4-21.61-30.48-36.2-69.4-31.89-17.55-28.9-471.98-8.75-30.9-36-101-31.2-59.2-20.16-60.36-33.7-31.4-59.63+426.3-96.45</f>
        <v>-1249.0300000000004</v>
      </c>
      <c r="AE7" s="17">
        <f>-17.4-20-47.5-24.6-45.93-10.15-8.75-7.89+4.82-18.99-22.52-11.48-6.9-37.16-80-21.49-23.82+12.99</f>
        <v>-386.77000000000004</v>
      </c>
      <c r="AF7" s="34">
        <f>29.85-240.85</f>
        <v>-211</v>
      </c>
      <c r="AG7" s="5">
        <f t="shared" si="2"/>
        <v>-18528.949999999997</v>
      </c>
    </row>
    <row r="8" spans="1:36" ht="27.6" customHeight="1" thickBot="1" x14ac:dyDescent="0.35">
      <c r="A8" s="5" t="s">
        <v>35</v>
      </c>
      <c r="B8" s="11">
        <v>-600</v>
      </c>
      <c r="C8" s="17"/>
      <c r="D8" s="17">
        <f>1916+600</f>
        <v>2516</v>
      </c>
      <c r="E8" s="17">
        <f>-600+60</f>
        <v>-540</v>
      </c>
      <c r="F8" s="17"/>
      <c r="G8" s="17"/>
      <c r="H8" s="17"/>
      <c r="I8" s="17"/>
      <c r="J8" s="17"/>
      <c r="K8" s="17"/>
      <c r="L8" s="17">
        <v>70</v>
      </c>
      <c r="M8" s="17"/>
      <c r="N8" s="17"/>
      <c r="O8" s="17"/>
      <c r="P8" s="17"/>
      <c r="Q8" s="17"/>
      <c r="R8" s="17"/>
      <c r="S8" s="17"/>
      <c r="T8" s="17">
        <v>200</v>
      </c>
      <c r="U8" s="17">
        <f>405+200-200+350</f>
        <v>755</v>
      </c>
      <c r="V8" s="17"/>
      <c r="W8" s="17">
        <f>2901+450</f>
        <v>3351</v>
      </c>
      <c r="X8" s="17">
        <f>146.7+375</f>
        <v>521.70000000000005</v>
      </c>
      <c r="Y8" s="17">
        <v>375</v>
      </c>
      <c r="Z8" s="17">
        <v>387</v>
      </c>
      <c r="AA8" s="17">
        <v>387</v>
      </c>
      <c r="AB8" s="17">
        <v>387</v>
      </c>
      <c r="AC8" s="17">
        <v>0</v>
      </c>
      <c r="AD8" s="17">
        <v>0</v>
      </c>
      <c r="AE8" s="17">
        <v>0</v>
      </c>
      <c r="AF8" s="34"/>
      <c r="AG8" s="5">
        <f t="shared" si="2"/>
        <v>7809.7</v>
      </c>
    </row>
    <row r="9" spans="1:36" ht="27.6" customHeight="1" thickBot="1" x14ac:dyDescent="0.35">
      <c r="A9" s="5" t="s">
        <v>27</v>
      </c>
      <c r="B9" s="11">
        <v>650</v>
      </c>
      <c r="C9" s="17">
        <v>650</v>
      </c>
      <c r="D9" s="17">
        <v>0</v>
      </c>
      <c r="E9" s="17">
        <v>1300</v>
      </c>
      <c r="F9" s="17">
        <v>650</v>
      </c>
      <c r="G9" s="17">
        <v>650</v>
      </c>
      <c r="H9" s="17">
        <v>650</v>
      </c>
      <c r="I9" s="17">
        <v>650</v>
      </c>
      <c r="J9" s="17">
        <v>650</v>
      </c>
      <c r="K9" s="17">
        <v>650</v>
      </c>
      <c r="L9" s="17">
        <v>650</v>
      </c>
      <c r="M9" s="17">
        <v>650</v>
      </c>
      <c r="N9" s="17">
        <v>650</v>
      </c>
      <c r="O9" s="17">
        <v>650</v>
      </c>
      <c r="P9" s="17">
        <f>560.57</f>
        <v>560.57000000000005</v>
      </c>
      <c r="Q9" s="17">
        <f>557.13</f>
        <v>557.13</v>
      </c>
      <c r="R9" s="17">
        <v>553.69000000000005</v>
      </c>
      <c r="S9" s="17">
        <v>550.25</v>
      </c>
      <c r="T9" s="17">
        <v>546.80999999999995</v>
      </c>
      <c r="U9" s="17">
        <v>-106.63</v>
      </c>
      <c r="V9" s="17">
        <v>-131.97999999999999</v>
      </c>
      <c r="W9" s="17">
        <v>-131.97999999999999</v>
      </c>
      <c r="X9" s="17">
        <v>-131.97999999999999</v>
      </c>
      <c r="Y9" s="17">
        <v>-131.97999999999999</v>
      </c>
      <c r="Z9" s="17">
        <f>-131.98</f>
        <v>-131.97999999999999</v>
      </c>
      <c r="AA9" s="17">
        <f>-3250-131.98</f>
        <v>-3381.98</v>
      </c>
      <c r="AB9" s="17">
        <v>-123.03</v>
      </c>
      <c r="AC9" s="17">
        <v>-122.24</v>
      </c>
      <c r="AD9" s="17">
        <v>-122.24</v>
      </c>
      <c r="AE9" s="17">
        <v>-122.24</v>
      </c>
      <c r="AF9" s="34">
        <v>-122.24</v>
      </c>
      <c r="AG9" s="5">
        <f t="shared" si="2"/>
        <v>7107.9500000000035</v>
      </c>
    </row>
    <row r="10" spans="1:36" ht="15" thickBot="1" x14ac:dyDescent="0.35">
      <c r="A10" s="5" t="s">
        <v>23</v>
      </c>
      <c r="B10" s="11"/>
      <c r="C10" s="17"/>
      <c r="D10" s="17"/>
      <c r="E10" s="17"/>
      <c r="F10" s="17"/>
      <c r="G10" s="17"/>
      <c r="H10" s="17"/>
      <c r="I10" s="17"/>
      <c r="J10" s="17">
        <f>(12*33.5)-(77.8*18.6/100)</f>
        <v>387.5292</v>
      </c>
      <c r="K10" s="17">
        <f>(12*33.5)-(77.8*18.6/100)</f>
        <v>387.5292</v>
      </c>
      <c r="L10" s="17">
        <f>(12*33.5)-(77.8*18.6/100)</f>
        <v>387.5292</v>
      </c>
      <c r="M10" s="17">
        <f>(12*33.5)-(77.8*18.6/100)</f>
        <v>387.5292</v>
      </c>
      <c r="N10" s="17">
        <f>25.5*12*1.689216</f>
        <v>516.90009599999996</v>
      </c>
      <c r="O10" s="17">
        <f>23.5*12-10.15</f>
        <v>271.85000000000002</v>
      </c>
      <c r="P10" s="17">
        <f>(12*33.5)-(77.8*18.6/100)</f>
        <v>387.5292</v>
      </c>
      <c r="Q10" s="17">
        <f>(12*33.5)-(77.8*18.6/100)</f>
        <v>387.5292</v>
      </c>
      <c r="R10" s="17">
        <f>(12*33.5)-(77.8*18.6/100)+9.37</f>
        <v>396.89920000000001</v>
      </c>
      <c r="S10" s="17"/>
      <c r="T10" s="17"/>
      <c r="U10" s="17">
        <v>1300</v>
      </c>
      <c r="V10" s="17">
        <f>1300</f>
        <v>1300</v>
      </c>
      <c r="W10" s="17">
        <f>1300+(12.29*38.56)</f>
        <v>1773.9023999999999</v>
      </c>
      <c r="X10" s="17">
        <f>1300+(11.848*7.5)</f>
        <v>1388.86</v>
      </c>
      <c r="Y10" s="17">
        <v>1300</v>
      </c>
      <c r="Z10" s="17">
        <f>290.27+1300</f>
        <v>1590.27</v>
      </c>
      <c r="AA10" s="17">
        <v>1300</v>
      </c>
      <c r="AB10" s="17">
        <v>1300</v>
      </c>
      <c r="AC10" s="17">
        <v>1300</v>
      </c>
      <c r="AD10" s="17">
        <v>1300</v>
      </c>
      <c r="AE10" s="17">
        <v>1300</v>
      </c>
      <c r="AF10" s="34"/>
      <c r="AG10" s="5">
        <f t="shared" si="2"/>
        <v>18663.856895999998</v>
      </c>
    </row>
    <row r="11" spans="1:36" ht="15" thickBot="1" x14ac:dyDescent="0.35">
      <c r="A11" s="5" t="s">
        <v>38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f>-110.16+14.69+7.34+14.69+14.69+14.69+15</f>
        <v>-29.060000000000002</v>
      </c>
      <c r="AA11" s="12">
        <v>-24.99</v>
      </c>
      <c r="AB11" s="12">
        <v>-7.34</v>
      </c>
      <c r="AC11" s="12"/>
      <c r="AD11" s="24"/>
      <c r="AE11" s="24"/>
      <c r="AF11" s="35">
        <f>-18.36+2.3+2.3+2.3+2.3+2.3+2.3</f>
        <v>-4.5599999999999969</v>
      </c>
      <c r="AG11" s="8">
        <f t="shared" si="2"/>
        <v>-65.95</v>
      </c>
    </row>
    <row r="12" spans="1:36" ht="15" thickBot="1" x14ac:dyDescent="0.35">
      <c r="A12" s="5" t="s">
        <v>40</v>
      </c>
      <c r="B12" s="22"/>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v>63.2</v>
      </c>
      <c r="AC12" s="23">
        <v>305</v>
      </c>
      <c r="AD12" s="23">
        <f>178.09+79.2+5.6+19.6+17.2-600-45.93</f>
        <v>-346.23999999999995</v>
      </c>
      <c r="AE12" s="23">
        <v>36.799999999999997</v>
      </c>
      <c r="AF12" s="36"/>
      <c r="AG12" s="8">
        <f t="shared" si="2"/>
        <v>58.760000000000034</v>
      </c>
    </row>
    <row r="13" spans="1:36" ht="15.6" customHeight="1" thickBot="1" x14ac:dyDescent="0.35">
      <c r="A13" s="5" t="s">
        <v>30</v>
      </c>
      <c r="B13" s="9">
        <f t="shared" ref="B13:AA13" si="4">SUM(B3:B11)</f>
        <v>1069.1100000000013</v>
      </c>
      <c r="C13" s="9">
        <f t="shared" si="4"/>
        <v>904.04000000000133</v>
      </c>
      <c r="D13" s="9">
        <f t="shared" si="4"/>
        <v>2559.2300000000014</v>
      </c>
      <c r="E13" s="9">
        <f t="shared" si="4"/>
        <v>2226.0200000000013</v>
      </c>
      <c r="F13" s="9">
        <f t="shared" si="4"/>
        <v>2203.7900000000013</v>
      </c>
      <c r="G13" s="9">
        <f t="shared" si="4"/>
        <v>2162.1100000000015</v>
      </c>
      <c r="H13" s="9">
        <f t="shared" si="4"/>
        <v>2058.5700000000015</v>
      </c>
      <c r="I13" s="9">
        <f t="shared" si="4"/>
        <v>1958.7600000000016</v>
      </c>
      <c r="J13" s="9">
        <f t="shared" si="4"/>
        <v>1824.7092000000016</v>
      </c>
      <c r="K13" s="9">
        <f t="shared" si="4"/>
        <v>2053.5684000000015</v>
      </c>
      <c r="L13" s="9">
        <f t="shared" si="4"/>
        <v>1705.6376000000014</v>
      </c>
      <c r="M13" s="9">
        <f t="shared" si="4"/>
        <v>1414.8968000000013</v>
      </c>
      <c r="N13" s="9">
        <f t="shared" si="4"/>
        <v>1622.0468960000012</v>
      </c>
      <c r="O13" s="9">
        <f t="shared" si="4"/>
        <v>1496.9268960000013</v>
      </c>
      <c r="P13" s="9">
        <f t="shared" si="4"/>
        <v>1419.7660960000012</v>
      </c>
      <c r="Q13" s="9">
        <f t="shared" si="4"/>
        <v>1242.3852960000011</v>
      </c>
      <c r="R13" s="9">
        <f t="shared" si="4"/>
        <v>1061.2344960000012</v>
      </c>
      <c r="S13" s="9">
        <f t="shared" si="4"/>
        <v>600.35449600000118</v>
      </c>
      <c r="T13" s="9">
        <f t="shared" si="4"/>
        <v>199.8144960000011</v>
      </c>
      <c r="U13" s="9">
        <f t="shared" si="4"/>
        <v>1348.464496000001</v>
      </c>
      <c r="V13" s="9">
        <f t="shared" si="4"/>
        <v>1422.8544960000011</v>
      </c>
      <c r="W13" s="9">
        <f t="shared" si="4"/>
        <v>4591.7968960000017</v>
      </c>
      <c r="X13" s="9">
        <f t="shared" si="4"/>
        <v>5262.9768960000019</v>
      </c>
      <c r="Y13" s="9">
        <f t="shared" si="4"/>
        <v>5148.1968960000013</v>
      </c>
      <c r="Z13" s="9">
        <f t="shared" si="4"/>
        <v>5932.4168960000015</v>
      </c>
      <c r="AA13" s="9">
        <f t="shared" si="4"/>
        <v>2759.0168960000015</v>
      </c>
      <c r="AB13" s="9">
        <f>SUM(AB3:AB12)</f>
        <v>2794.3968960000011</v>
      </c>
      <c r="AC13" s="9">
        <f t="shared" ref="AC13:AF13" si="5">SUM(AC3:AC12)</f>
        <v>2324.0068960000012</v>
      </c>
      <c r="AD13" s="9">
        <f t="shared" si="5"/>
        <v>1822.4968960000008</v>
      </c>
      <c r="AE13" s="9">
        <f t="shared" si="5"/>
        <v>1782.0468960000007</v>
      </c>
      <c r="AF13" s="9">
        <f t="shared" si="5"/>
        <v>922.24689600000079</v>
      </c>
      <c r="AG13" s="5">
        <f>SUM(AG3:AG12)</f>
        <v>1636.6868960000052</v>
      </c>
      <c r="AJ13" s="13"/>
    </row>
    <row r="14" spans="1:36" x14ac:dyDescent="0.3">
      <c r="A14" s="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7"/>
    </row>
    <row r="15" spans="1:36" x14ac:dyDescent="0.3">
      <c r="F15" s="13"/>
      <c r="M15" s="13"/>
      <c r="R15" s="13"/>
      <c r="S15" s="13"/>
      <c r="X15" s="13"/>
      <c r="Y15" s="13"/>
      <c r="Z15" s="13"/>
      <c r="AA15" s="13"/>
      <c r="AB15" s="13"/>
      <c r="AC15" s="13"/>
      <c r="AD15" s="7"/>
      <c r="AE15" s="13"/>
      <c r="AF15" s="13"/>
    </row>
    <row r="16" spans="1:36" x14ac:dyDescent="0.3">
      <c r="D16" s="13"/>
      <c r="Q16" s="13"/>
      <c r="U16" s="13"/>
      <c r="X16" s="13"/>
      <c r="AD16" s="13"/>
      <c r="AF16" s="13"/>
    </row>
    <row r="17" spans="3:33" x14ac:dyDescent="0.3">
      <c r="C17" s="13"/>
      <c r="D17" s="13"/>
      <c r="P17" s="13"/>
      <c r="U17" s="13"/>
      <c r="V17" s="13"/>
      <c r="X17" s="13"/>
      <c r="Y17" s="13"/>
      <c r="AA17" s="13"/>
    </row>
    <row r="18" spans="3:33" x14ac:dyDescent="0.3">
      <c r="P18" s="13"/>
      <c r="AB18" s="13"/>
    </row>
    <row r="19" spans="3:33" ht="14.4" customHeight="1" x14ac:dyDescent="0.3">
      <c r="C19" s="13"/>
      <c r="P19" s="20"/>
      <c r="Q19" s="20"/>
      <c r="R19" s="20"/>
      <c r="T19" s="13"/>
      <c r="U19" s="13"/>
      <c r="V19" s="13"/>
      <c r="AD19" s="13"/>
      <c r="AF19" s="13"/>
      <c r="AG19" s="13"/>
    </row>
    <row r="20" spans="3:33" x14ac:dyDescent="0.3">
      <c r="R20" s="20"/>
      <c r="S20" s="13"/>
      <c r="T20" s="13"/>
      <c r="U20" s="13"/>
      <c r="AA20" s="13"/>
      <c r="AD20" s="13"/>
    </row>
    <row r="21" spans="3:33" x14ac:dyDescent="0.3">
      <c r="P21" s="13"/>
      <c r="Q21" s="13"/>
      <c r="AA21" s="13"/>
      <c r="AG21" s="13"/>
    </row>
    <row r="22" spans="3:33" x14ac:dyDescent="0.3">
      <c r="AD22" s="13"/>
      <c r="AG22" s="13"/>
    </row>
    <row r="23" spans="3:33" x14ac:dyDescent="0.3">
      <c r="AF23" s="13"/>
      <c r="AG23" s="13"/>
    </row>
    <row r="24" spans="3:33" x14ac:dyDescent="0.3">
      <c r="U24" s="13"/>
    </row>
    <row r="25" spans="3:33" x14ac:dyDescent="0.3">
      <c r="Q25" s="20"/>
    </row>
    <row r="26" spans="3:33" x14ac:dyDescent="0.3">
      <c r="R26" s="20"/>
    </row>
  </sheetData>
  <mergeCells count="6">
    <mergeCell ref="AG1:AG2"/>
    <mergeCell ref="AD1:AF1"/>
    <mergeCell ref="A1:A2"/>
    <mergeCell ref="B1:E1"/>
    <mergeCell ref="F1:Q1"/>
    <mergeCell ref="R1:AC1"/>
  </mergeCells>
  <conditionalFormatting sqref="B13:AF13">
    <cfRule type="cellIs" dxfId="13" priority="1" operator="lessThan">
      <formula>0</formula>
    </cfRule>
  </conditionalFormatting>
  <pageMargins left="0.7" right="0.7" top="0.75" bottom="0.75" header="0.3" footer="0.3"/>
  <pageSetup paperSize="8" scale="61"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F3C1-0EA7-4DBE-999E-89C3683D17CC}">
  <sheetPr codeName="Sheet3"/>
  <dimension ref="A1:U45"/>
  <sheetViews>
    <sheetView tabSelected="1" workbookViewId="0">
      <selection activeCell="L7" sqref="L7"/>
    </sheetView>
  </sheetViews>
  <sheetFormatPr defaultColWidth="8.88671875" defaultRowHeight="14.4" x14ac:dyDescent="0.3"/>
  <cols>
    <col min="1" max="2" width="3.44140625" style="27" customWidth="1"/>
    <col min="3" max="3" width="23.21875" style="27" bestFit="1" customWidth="1"/>
    <col min="4" max="12" width="10.109375" style="27" customWidth="1"/>
    <col min="13" max="13" width="11.109375" style="27" customWidth="1"/>
    <col min="14" max="15" width="10.109375" style="27" customWidth="1"/>
    <col min="16" max="16" width="10.44140625" style="27" bestFit="1" customWidth="1"/>
    <col min="17" max="17" width="10.109375" style="27" bestFit="1" customWidth="1"/>
    <col min="18" max="18" width="10.44140625" style="27" bestFit="1" customWidth="1"/>
    <col min="19" max="19" width="9.44140625" style="27" bestFit="1" customWidth="1"/>
    <col min="20" max="20" width="10.44140625" style="27" bestFit="1" customWidth="1"/>
    <col min="21" max="16384" width="8.88671875" style="27"/>
  </cols>
  <sheetData>
    <row r="1" spans="1:20" ht="15" thickBot="1" x14ac:dyDescent="0.35">
      <c r="A1" s="171" t="s">
        <v>28</v>
      </c>
      <c r="B1" s="172"/>
      <c r="C1" s="173"/>
      <c r="D1" s="180">
        <v>2024</v>
      </c>
      <c r="E1" s="181"/>
      <c r="F1" s="181"/>
      <c r="G1" s="181"/>
      <c r="H1" s="181"/>
      <c r="I1" s="181"/>
      <c r="J1" s="181"/>
      <c r="K1" s="181"/>
      <c r="L1" s="182"/>
      <c r="M1" s="125" t="s">
        <v>41</v>
      </c>
    </row>
    <row r="2" spans="1:20" ht="15" thickBot="1" x14ac:dyDescent="0.35">
      <c r="A2" s="174"/>
      <c r="B2" s="175"/>
      <c r="C2" s="176"/>
      <c r="D2" s="28" t="s">
        <v>7</v>
      </c>
      <c r="E2" s="28" t="s">
        <v>33</v>
      </c>
      <c r="F2" s="28" t="s">
        <v>8</v>
      </c>
      <c r="G2" s="28" t="s">
        <v>9</v>
      </c>
      <c r="H2" s="28" t="s">
        <v>31</v>
      </c>
      <c r="I2" s="28" t="s">
        <v>1</v>
      </c>
      <c r="J2" s="28" t="s">
        <v>2</v>
      </c>
      <c r="K2" s="28" t="s">
        <v>3</v>
      </c>
      <c r="L2" s="28" t="s">
        <v>4</v>
      </c>
      <c r="M2" s="126"/>
    </row>
    <row r="3" spans="1:20" ht="16.95" customHeight="1" thickBot="1" x14ac:dyDescent="0.35">
      <c r="A3" s="177" t="s">
        <v>42</v>
      </c>
      <c r="B3" s="178"/>
      <c r="C3" s="179"/>
      <c r="D3" s="41">
        <f>1900+300-2*(43)</f>
        <v>2114</v>
      </c>
      <c r="E3" s="42">
        <f>D33</f>
        <v>2465.3732</v>
      </c>
      <c r="F3" s="42">
        <f t="shared" ref="F3:L3" si="0">E33</f>
        <v>2481.9431999999997</v>
      </c>
      <c r="G3" s="42">
        <f t="shared" si="0"/>
        <v>1076.4531999999997</v>
      </c>
      <c r="H3" s="42">
        <f t="shared" si="0"/>
        <v>1556.4732000000001</v>
      </c>
      <c r="I3" s="42">
        <f t="shared" si="0"/>
        <v>871.19320000000016</v>
      </c>
      <c r="J3" s="42">
        <f t="shared" si="0"/>
        <v>360.9941666666661</v>
      </c>
      <c r="K3" s="42">
        <f t="shared" si="0"/>
        <v>288.13416666666615</v>
      </c>
      <c r="L3" s="43">
        <f t="shared" si="0"/>
        <v>301.73416666666617</v>
      </c>
      <c r="M3" s="127"/>
    </row>
    <row r="4" spans="1:20" ht="14.4" customHeight="1" x14ac:dyDescent="0.3">
      <c r="A4" s="189" t="s">
        <v>50</v>
      </c>
      <c r="B4" s="190"/>
      <c r="C4" s="45" t="s">
        <v>62</v>
      </c>
      <c r="D4" s="47">
        <f>6*(2+4+4+4+4+2)*13</f>
        <v>1560</v>
      </c>
      <c r="E4" s="50">
        <f>115*13+65</f>
        <v>1560</v>
      </c>
      <c r="F4" s="53"/>
      <c r="G4" s="53">
        <f>(24+30+24+30)*13</f>
        <v>1404</v>
      </c>
      <c r="H4" s="53">
        <f>1287+58.5</f>
        <v>1345.5</v>
      </c>
      <c r="I4" s="53"/>
      <c r="J4" s="53"/>
      <c r="K4" s="96"/>
      <c r="L4" s="94"/>
      <c r="M4" s="83">
        <f t="shared" ref="M4:M12" si="1">SUM(D4:L4)</f>
        <v>5869.5</v>
      </c>
    </row>
    <row r="5" spans="1:20" ht="14.4" customHeight="1" x14ac:dyDescent="0.3">
      <c r="A5" s="191"/>
      <c r="B5" s="192"/>
      <c r="C5" s="39" t="s">
        <v>63</v>
      </c>
      <c r="D5" s="48"/>
      <c r="E5" s="51"/>
      <c r="F5" s="52"/>
      <c r="G5" s="52">
        <f>(8*2*12.5)+(8*3*12.5)+11.88</f>
        <v>511.88</v>
      </c>
      <c r="H5" s="52"/>
      <c r="I5" s="52">
        <v>502.74</v>
      </c>
      <c r="J5" s="52">
        <v>288.61</v>
      </c>
      <c r="K5" s="97"/>
      <c r="L5" s="66"/>
      <c r="M5" s="84">
        <f t="shared" si="1"/>
        <v>1303.23</v>
      </c>
    </row>
    <row r="6" spans="1:20" ht="14.4" customHeight="1" x14ac:dyDescent="0.3">
      <c r="A6" s="191"/>
      <c r="B6" s="192"/>
      <c r="C6" s="187" t="s">
        <v>75</v>
      </c>
      <c r="D6" s="60"/>
      <c r="E6" s="56"/>
      <c r="F6" s="61"/>
      <c r="G6" s="61"/>
      <c r="H6" s="61"/>
      <c r="I6" s="61"/>
      <c r="J6" s="61"/>
      <c r="K6" s="98">
        <f>1024.01+33.99</f>
        <v>1058</v>
      </c>
      <c r="L6" s="95">
        <f>1359.95+106.47+34.16</f>
        <v>1500.5800000000002</v>
      </c>
      <c r="M6" s="84">
        <f t="shared" si="1"/>
        <v>2558.58</v>
      </c>
      <c r="T6" s="37"/>
    </row>
    <row r="7" spans="1:20" x14ac:dyDescent="0.3">
      <c r="A7" s="191"/>
      <c r="B7" s="192"/>
      <c r="C7" s="188"/>
      <c r="D7" s="60"/>
      <c r="E7" s="56"/>
      <c r="F7" s="61"/>
      <c r="G7" s="61"/>
      <c r="H7" s="61"/>
      <c r="I7" s="61"/>
      <c r="J7" s="61">
        <f>18+37+34+9.5</f>
        <v>98.5</v>
      </c>
      <c r="K7" s="98">
        <f>17.7+28+35.5+21.5+37.6</f>
        <v>140.30000000000001</v>
      </c>
      <c r="L7" s="95">
        <f>13+36.25+13.5+31.4</f>
        <v>94.15</v>
      </c>
      <c r="M7" s="84">
        <f t="shared" si="1"/>
        <v>332.95000000000005</v>
      </c>
      <c r="T7" s="37"/>
    </row>
    <row r="8" spans="1:20" x14ac:dyDescent="0.3">
      <c r="A8" s="191"/>
      <c r="B8" s="192"/>
      <c r="C8" s="39" t="s">
        <v>64</v>
      </c>
      <c r="D8" s="48"/>
      <c r="E8" s="51"/>
      <c r="F8" s="52"/>
      <c r="G8" s="52"/>
      <c r="H8" s="52"/>
      <c r="I8" s="52">
        <f>250-9.13</f>
        <v>240.87</v>
      </c>
      <c r="J8" s="52">
        <f>-3.77-15</f>
        <v>-18.77</v>
      </c>
      <c r="K8" s="97">
        <f>0.98+4-1-25</f>
        <v>-21.02</v>
      </c>
      <c r="L8" s="66">
        <f>-9.58-(1+0.01)-14.68-5.8-1</f>
        <v>-32.07</v>
      </c>
      <c r="M8" s="84">
        <f t="shared" si="1"/>
        <v>169.01</v>
      </c>
      <c r="O8" s="33"/>
    </row>
    <row r="9" spans="1:20" ht="14.4" customHeight="1" thickBot="1" x14ac:dyDescent="0.35">
      <c r="A9" s="193"/>
      <c r="B9" s="194"/>
      <c r="C9" s="46" t="s">
        <v>76</v>
      </c>
      <c r="D9" s="67">
        <f>SUM(D4:D8)+D15</f>
        <v>1225.7231999999999</v>
      </c>
      <c r="E9" s="68">
        <f>SUM(E4:E8)+E15</f>
        <v>1248.1099999999999</v>
      </c>
      <c r="F9" s="68">
        <f t="shared" ref="F9:H9" si="2">SUM(F4:F8)+F15</f>
        <v>0</v>
      </c>
      <c r="G9" s="68">
        <f t="shared" si="2"/>
        <v>1661.42</v>
      </c>
      <c r="H9" s="68">
        <f t="shared" si="2"/>
        <v>1016.59</v>
      </c>
      <c r="I9" s="68">
        <f t="shared" ref="I9" si="3">SUM(I4:I8)+I15</f>
        <v>743.61</v>
      </c>
      <c r="J9" s="68">
        <f t="shared" ref="J9" si="4">SUM(J4:J8)+J15</f>
        <v>368.34000000000003</v>
      </c>
      <c r="K9" s="99">
        <f>SUM(K4:K8)+K15</f>
        <v>1011.79</v>
      </c>
      <c r="L9" s="69">
        <f>SUM(L4:L8)+L15</f>
        <v>1326.4700000000003</v>
      </c>
      <c r="M9" s="77">
        <f t="shared" si="1"/>
        <v>8602.0532000000003</v>
      </c>
      <c r="N9" s="33"/>
      <c r="O9" s="33"/>
    </row>
    <row r="10" spans="1:20" ht="13.95" customHeight="1" x14ac:dyDescent="0.3">
      <c r="A10" s="183" t="s">
        <v>43</v>
      </c>
      <c r="B10" s="44" t="s">
        <v>46</v>
      </c>
      <c r="C10" s="62" t="s">
        <v>60</v>
      </c>
      <c r="D10" s="63">
        <f>-D4*2.342/100</f>
        <v>-36.535200000000003</v>
      </c>
      <c r="E10" s="64">
        <f>-19.16</f>
        <v>-19.16</v>
      </c>
      <c r="F10" s="55"/>
      <c r="G10" s="57">
        <v>-6.08</v>
      </c>
      <c r="H10" s="57">
        <v>-53.34</v>
      </c>
      <c r="I10" s="57"/>
      <c r="J10" s="57"/>
      <c r="K10" s="100">
        <v>0</v>
      </c>
      <c r="L10" s="65">
        <v>-0.33</v>
      </c>
      <c r="M10" s="79">
        <f t="shared" si="1"/>
        <v>-115.4452</v>
      </c>
      <c r="N10" s="33"/>
    </row>
    <row r="11" spans="1:20" x14ac:dyDescent="0.3">
      <c r="A11" s="184"/>
      <c r="B11" s="186" t="s">
        <v>61</v>
      </c>
      <c r="C11" s="40" t="s">
        <v>45</v>
      </c>
      <c r="D11" s="48">
        <f>-D4*7.2865/100</f>
        <v>-113.66940000000001</v>
      </c>
      <c r="E11" s="51">
        <f>-111.71</f>
        <v>-111.71</v>
      </c>
      <c r="F11" s="85"/>
      <c r="G11" s="51">
        <v>-94.65</v>
      </c>
      <c r="H11" s="51">
        <v>-105.36</v>
      </c>
      <c r="I11" s="51"/>
      <c r="J11" s="51"/>
      <c r="K11" s="102">
        <v>-62.92</v>
      </c>
      <c r="L11" s="26">
        <v>-89.84</v>
      </c>
      <c r="M11" s="84">
        <f t="shared" si="1"/>
        <v>-578.14940000000001</v>
      </c>
    </row>
    <row r="12" spans="1:20" x14ac:dyDescent="0.3">
      <c r="A12" s="184"/>
      <c r="B12" s="168"/>
      <c r="C12" s="40" t="s">
        <v>59</v>
      </c>
      <c r="D12" s="48">
        <f>-D4*2.1335/100</f>
        <v>-33.282600000000002</v>
      </c>
      <c r="E12" s="51">
        <f>-32.82</f>
        <v>-32.82</v>
      </c>
      <c r="F12" s="85"/>
      <c r="G12" s="51">
        <v>-28.15</v>
      </c>
      <c r="H12" s="51">
        <v>-30.44</v>
      </c>
      <c r="I12" s="51"/>
      <c r="J12" s="51"/>
      <c r="K12" s="102">
        <v>-19.09</v>
      </c>
      <c r="L12" s="26">
        <v>-26.83</v>
      </c>
      <c r="M12" s="84">
        <f t="shared" si="1"/>
        <v>-170.61259999999999</v>
      </c>
      <c r="N12" s="33"/>
      <c r="O12" s="33"/>
    </row>
    <row r="13" spans="1:20" x14ac:dyDescent="0.3">
      <c r="A13" s="184"/>
      <c r="B13" s="168"/>
      <c r="C13" s="40" t="s">
        <v>57</v>
      </c>
      <c r="D13" s="48">
        <f>-D4*8.481/100</f>
        <v>-132.30360000000002</v>
      </c>
      <c r="E13" s="51">
        <f>-130.02</f>
        <v>-130.02000000000001</v>
      </c>
      <c r="F13" s="54"/>
      <c r="G13" s="54">
        <v>-110.18</v>
      </c>
      <c r="H13" s="54">
        <v>-122.63</v>
      </c>
      <c r="I13" s="54"/>
      <c r="J13" s="54"/>
      <c r="K13" s="102">
        <v>-73.239999999999995</v>
      </c>
      <c r="L13" s="26">
        <v>-104.57</v>
      </c>
      <c r="M13" s="80">
        <f t="shared" ref="M13:M14" si="5">SUM(D13:L13)</f>
        <v>-672.94360000000006</v>
      </c>
    </row>
    <row r="14" spans="1:20" x14ac:dyDescent="0.3">
      <c r="A14" s="184"/>
      <c r="B14" s="168"/>
      <c r="C14" s="73" t="s">
        <v>58</v>
      </c>
      <c r="D14" s="60">
        <f>-D4*1.185/100</f>
        <v>-18.486000000000001</v>
      </c>
      <c r="E14" s="56">
        <f>-18.18</f>
        <v>-18.18</v>
      </c>
      <c r="F14" s="71"/>
      <c r="G14" s="71">
        <v>-15.4</v>
      </c>
      <c r="H14" s="71">
        <v>-17.14</v>
      </c>
      <c r="I14" s="71"/>
      <c r="J14" s="71"/>
      <c r="K14" s="103">
        <v>-10.24</v>
      </c>
      <c r="L14" s="72">
        <v>-14.62</v>
      </c>
      <c r="M14" s="81">
        <f t="shared" si="5"/>
        <v>-94.065999999999988</v>
      </c>
      <c r="O14" s="33"/>
    </row>
    <row r="15" spans="1:20" ht="15" thickBot="1" x14ac:dyDescent="0.35">
      <c r="A15" s="184"/>
      <c r="B15" s="169"/>
      <c r="C15" s="46" t="s">
        <v>77</v>
      </c>
      <c r="D15" s="78">
        <f t="shared" ref="D15:J15" si="6">SUM(D10:D14)</f>
        <v>-334.27680000000004</v>
      </c>
      <c r="E15" s="78">
        <f t="shared" si="6"/>
        <v>-311.89000000000004</v>
      </c>
      <c r="F15" s="78">
        <f t="shared" si="6"/>
        <v>0</v>
      </c>
      <c r="G15" s="78">
        <f t="shared" si="6"/>
        <v>-254.46</v>
      </c>
      <c r="H15" s="78">
        <f t="shared" si="6"/>
        <v>-328.90999999999997</v>
      </c>
      <c r="I15" s="78">
        <f t="shared" si="6"/>
        <v>0</v>
      </c>
      <c r="J15" s="78">
        <f t="shared" si="6"/>
        <v>0</v>
      </c>
      <c r="K15" s="99">
        <f>SUM(K10:K14)</f>
        <v>-165.49</v>
      </c>
      <c r="L15" s="69">
        <f>SUM(L10:L14)</f>
        <v>-236.19</v>
      </c>
      <c r="M15" s="77">
        <f>SUM(D15:L15)</f>
        <v>-1631.2168000000001</v>
      </c>
      <c r="P15" s="33"/>
    </row>
    <row r="16" spans="1:20" ht="14.4" customHeight="1" x14ac:dyDescent="0.3">
      <c r="A16" s="184"/>
      <c r="B16" s="167" t="s">
        <v>55</v>
      </c>
      <c r="C16" s="70" t="s">
        <v>48</v>
      </c>
      <c r="D16" s="47">
        <v>-122.24</v>
      </c>
      <c r="E16" s="50">
        <f>-118.44</f>
        <v>-118.44</v>
      </c>
      <c r="F16" s="50">
        <f>-118.44</f>
        <v>-118.44</v>
      </c>
      <c r="G16" s="50">
        <f>-118.44</f>
        <v>-118.44</v>
      </c>
      <c r="H16" s="50">
        <f>-118.44</f>
        <v>-118.44</v>
      </c>
      <c r="I16" s="50">
        <f>-118.44</f>
        <v>-118.44</v>
      </c>
      <c r="J16" s="50">
        <f>-140</f>
        <v>-140</v>
      </c>
      <c r="K16" s="104">
        <f>-G38</f>
        <v>-140</v>
      </c>
      <c r="L16" s="25">
        <f>-G39</f>
        <v>-140</v>
      </c>
      <c r="M16" s="79">
        <f>SUM(D16:L16)</f>
        <v>-1134.44</v>
      </c>
    </row>
    <row r="17" spans="1:21" x14ac:dyDescent="0.3">
      <c r="A17" s="184"/>
      <c r="B17" s="168"/>
      <c r="C17" s="38" t="s">
        <v>53</v>
      </c>
      <c r="D17" s="48">
        <f>0</f>
        <v>0</v>
      </c>
      <c r="E17" s="51">
        <v>0</v>
      </c>
      <c r="F17" s="51">
        <f>-IF(M4&gt;=25000,M4*H45,0)</f>
        <v>0</v>
      </c>
      <c r="G17" s="51">
        <f>$F$17</f>
        <v>0</v>
      </c>
      <c r="H17" s="51">
        <f t="shared" ref="H17:L17" si="7">$F$17</f>
        <v>0</v>
      </c>
      <c r="I17" s="51">
        <f t="shared" si="7"/>
        <v>0</v>
      </c>
      <c r="J17" s="51">
        <f t="shared" si="7"/>
        <v>0</v>
      </c>
      <c r="K17" s="102">
        <f t="shared" si="7"/>
        <v>0</v>
      </c>
      <c r="L17" s="26">
        <f t="shared" si="7"/>
        <v>0</v>
      </c>
      <c r="M17" s="84">
        <f>SUM(D17:L17)</f>
        <v>0</v>
      </c>
      <c r="O17" s="33"/>
    </row>
    <row r="18" spans="1:21" x14ac:dyDescent="0.3">
      <c r="A18" s="184"/>
      <c r="B18" s="168"/>
      <c r="C18" s="38" t="s">
        <v>56</v>
      </c>
      <c r="D18" s="48">
        <f>-10-12.69-6.36-20-9.65-28.08-22.27-14.75-0.8-6.76-22.38-19.9-30-21.54-10.79-36.02+9.37</f>
        <v>-262.61999999999995</v>
      </c>
      <c r="E18" s="51">
        <f>-16.57-55.9-19.76-100-7.9-23.04-13.94-14.64-22.84-18.04-14.07-12.59-9.84-16.62-22.02-33.82-17.5-8-85-(3.8*3)-17.9-25.7-40-3.8-7.9</f>
        <v>-618.78999999999985</v>
      </c>
      <c r="F18" s="51">
        <f>-15-38-15-14.99-1.79-55-8.75-3.08-17-17-18.26-15.33-50-4.9-35.2-16.98-19.99-11.45-9.65-31-104.95+15-2.5-141-29-6.59-8.68-7.99-2-1-46.41-3.8-6.59-3-25-28.44+56.75</f>
        <v>-743.56999999999994</v>
      </c>
      <c r="G18" s="51">
        <f>-(16.96+49+29+50+18)-12.53-10-8-12.93-4.97-17.03-4.8-10.29-8.32-10.2-12.58-16.34-70-13.65-8.49-60.4-6.27-55-2.8-33.9-31.2-15.3-18.24-19.99-15.44-11.56-12.36-12.25-14-19.5-5.91-38.4-16.16-19.93-5.77-46.07-38-1-46.41-11.02</f>
        <v>-939.9699999999998</v>
      </c>
      <c r="H18" s="51">
        <f>-427.09+26.17+49-46.41-11.02-34.99</f>
        <v>-444.33999999999992</v>
      </c>
      <c r="I18" s="51">
        <f>-(995+29.98)+40-0.08+0.000966666665817684+17.5+14.99+32+27.54+23.83+49+9.13+118.8</f>
        <v>-692.26903333333428</v>
      </c>
      <c r="J18" s="51">
        <f>-29.98-18.14-12.12-7.7-5-3.77-5.99-7-3.5-8.49-4.36-12.49-7.36-39.9-10.07-11.68-7-8.12-(18+37+34+9.5)-15</f>
        <v>-316.16999999999996</v>
      </c>
      <c r="K18" s="102">
        <f>-4.5-9.2-28.53-19-5-9.06-7-6.9-12.99-10-19.99-29.47-(17.7+28+35.5+21.5+37.6)-19.2-13-32.9+29</f>
        <v>-338.04</v>
      </c>
      <c r="L18" s="26">
        <f>-L7-17.27-17.4-24.87-9.56-11.66-27-17.78-8.97-105.99-15.11-31+37.5</f>
        <v>-343.26</v>
      </c>
      <c r="M18" s="84">
        <f t="shared" ref="M18:M20" si="8">SUM(D18:L18)</f>
        <v>-4699.0290333333351</v>
      </c>
      <c r="N18" s="33"/>
      <c r="O18" s="33"/>
      <c r="P18" s="33"/>
    </row>
    <row r="19" spans="1:21" x14ac:dyDescent="0.3">
      <c r="A19" s="184"/>
      <c r="B19" s="168"/>
      <c r="C19" s="38" t="s">
        <v>66</v>
      </c>
      <c r="D19" s="49">
        <f>-21.49</f>
        <v>-21.49</v>
      </c>
      <c r="E19" s="51">
        <f>$D$19-4.82</f>
        <v>-26.31</v>
      </c>
      <c r="F19" s="51">
        <f>$D$19-4.99</f>
        <v>-26.479999999999997</v>
      </c>
      <c r="G19" s="51">
        <v>-24.99</v>
      </c>
      <c r="H19" s="51">
        <v>-26.17</v>
      </c>
      <c r="I19" s="51">
        <v>-23.83</v>
      </c>
      <c r="J19" s="51">
        <v>-24.61</v>
      </c>
      <c r="K19" s="102">
        <f>-24.67-11.12+25</f>
        <v>-10.79</v>
      </c>
      <c r="L19" s="26">
        <f>-(42.99-21.5)-(24.99-10)</f>
        <v>-36.480000000000004</v>
      </c>
      <c r="M19" s="84">
        <f t="shared" si="8"/>
        <v>-221.14999999999998</v>
      </c>
      <c r="N19" s="33"/>
      <c r="R19" s="33"/>
    </row>
    <row r="20" spans="1:21" x14ac:dyDescent="0.3">
      <c r="A20" s="184"/>
      <c r="B20" s="168"/>
      <c r="C20" s="38" t="s">
        <v>67</v>
      </c>
      <c r="D20" s="49"/>
      <c r="E20" s="51"/>
      <c r="F20" s="51">
        <v>-49</v>
      </c>
      <c r="G20" s="51">
        <f>-49-49</f>
        <v>-98</v>
      </c>
      <c r="H20" s="51">
        <v>-49</v>
      </c>
      <c r="I20" s="51">
        <v>-49</v>
      </c>
      <c r="J20" s="51">
        <v>-49</v>
      </c>
      <c r="K20" s="102">
        <v>-49</v>
      </c>
      <c r="L20" s="26">
        <v>-49</v>
      </c>
      <c r="M20" s="84">
        <f t="shared" si="8"/>
        <v>-392</v>
      </c>
    </row>
    <row r="21" spans="1:21" ht="15" thickBot="1" x14ac:dyDescent="0.35">
      <c r="A21" s="184"/>
      <c r="B21" s="169"/>
      <c r="C21" s="76" t="s">
        <v>54</v>
      </c>
      <c r="D21" s="67">
        <f t="shared" ref="D21:K21" si="9">SUM(D16:D20)</f>
        <v>-406.34999999999997</v>
      </c>
      <c r="E21" s="68">
        <f t="shared" si="9"/>
        <v>-763.53999999999974</v>
      </c>
      <c r="F21" s="68">
        <f t="shared" si="9"/>
        <v>-937.49</v>
      </c>
      <c r="G21" s="68">
        <f t="shared" si="9"/>
        <v>-1181.3999999999999</v>
      </c>
      <c r="H21" s="68">
        <f t="shared" si="9"/>
        <v>-637.94999999999993</v>
      </c>
      <c r="I21" s="68">
        <f t="shared" si="9"/>
        <v>-883.53903333333426</v>
      </c>
      <c r="J21" s="68">
        <f t="shared" si="9"/>
        <v>-529.78</v>
      </c>
      <c r="K21" s="99">
        <f t="shared" si="9"/>
        <v>-537.83000000000004</v>
      </c>
      <c r="L21" s="69">
        <f>SUM(L16:L20)</f>
        <v>-568.74</v>
      </c>
      <c r="M21" s="77">
        <f>SUM(D21:L21)</f>
        <v>-6446.6190333333334</v>
      </c>
      <c r="O21" s="27" t="s">
        <v>84</v>
      </c>
    </row>
    <row r="22" spans="1:21" x14ac:dyDescent="0.3">
      <c r="A22" s="184"/>
      <c r="B22" s="168" t="s">
        <v>72</v>
      </c>
      <c r="C22" s="74" t="s">
        <v>44</v>
      </c>
      <c r="D22" s="75">
        <f>-310-115-43</f>
        <v>-468</v>
      </c>
      <c r="E22" s="57">
        <f>$D$22</f>
        <v>-468</v>
      </c>
      <c r="F22" s="57">
        <f>$D$22</f>
        <v>-468</v>
      </c>
      <c r="G22" s="57"/>
      <c r="H22" s="57">
        <f>-(531.42+1355+241.42)</f>
        <v>-2127.84</v>
      </c>
      <c r="I22" s="57">
        <f>-(531.42+241.42)</f>
        <v>-772.83999999999992</v>
      </c>
      <c r="J22" s="57">
        <f>-531.42+150</f>
        <v>-381.41999999999996</v>
      </c>
      <c r="K22" s="100">
        <v>-531.41999999999996</v>
      </c>
      <c r="L22" s="65">
        <v>-531.41999999999996</v>
      </c>
      <c r="M22" s="82">
        <f>SUM(D22:L22)</f>
        <v>-5748.9400000000005</v>
      </c>
      <c r="N22" s="33">
        <f t="shared" ref="N22:N27" si="10">L22</f>
        <v>-531.41999999999996</v>
      </c>
      <c r="O22" s="163">
        <f>SUM(N22:N27)</f>
        <v>-755.62850000000003</v>
      </c>
      <c r="P22" s="199">
        <f>O22/2</f>
        <v>-377.81425000000002</v>
      </c>
      <c r="Q22" s="161" t="s">
        <v>79</v>
      </c>
      <c r="R22" s="161">
        <f>SUM(N22:N23)</f>
        <v>-556.4</v>
      </c>
      <c r="S22" s="101">
        <f>P22-R22</f>
        <v>178.58574999999996</v>
      </c>
      <c r="T22" s="163">
        <f>SUM(S22:S23)</f>
        <v>158.58574999999996</v>
      </c>
      <c r="U22" s="33"/>
    </row>
    <row r="23" spans="1:21" x14ac:dyDescent="0.3">
      <c r="A23" s="184"/>
      <c r="B23" s="168"/>
      <c r="C23" s="38" t="s">
        <v>74</v>
      </c>
      <c r="D23" s="49"/>
      <c r="E23" s="51"/>
      <c r="F23" s="51"/>
      <c r="G23" s="51"/>
      <c r="H23" s="51"/>
      <c r="I23" s="51"/>
      <c r="J23" s="51"/>
      <c r="K23" s="102">
        <f>-(39.18+109.97)+117.39</f>
        <v>-31.760000000000005</v>
      </c>
      <c r="L23" s="26">
        <f>-(44.98-20)</f>
        <v>-24.979999999999997</v>
      </c>
      <c r="M23" s="84">
        <f>SUM(D23:L23)</f>
        <v>-56.74</v>
      </c>
      <c r="N23" s="33">
        <f t="shared" si="10"/>
        <v>-24.979999999999997</v>
      </c>
      <c r="O23" s="170"/>
      <c r="P23" s="200"/>
      <c r="Q23" s="162"/>
      <c r="R23" s="162"/>
      <c r="S23" s="101">
        <v>-20</v>
      </c>
      <c r="T23" s="201"/>
    </row>
    <row r="24" spans="1:21" x14ac:dyDescent="0.3">
      <c r="A24" s="184"/>
      <c r="B24" s="168"/>
      <c r="C24" s="38" t="s">
        <v>68</v>
      </c>
      <c r="D24" s="49"/>
      <c r="E24" s="51"/>
      <c r="F24" s="51"/>
      <c r="G24" s="51"/>
      <c r="H24" s="51"/>
      <c r="I24" s="51">
        <f>-64</f>
        <v>-64</v>
      </c>
      <c r="J24" s="51">
        <f>-64</f>
        <v>-64</v>
      </c>
      <c r="K24" s="102">
        <v>-64</v>
      </c>
      <c r="L24" s="26">
        <v>-64</v>
      </c>
      <c r="M24" s="84">
        <f t="shared" ref="M24:M27" si="11">SUM(D24:L24)</f>
        <v>-256</v>
      </c>
      <c r="N24" s="33">
        <f t="shared" si="10"/>
        <v>-64</v>
      </c>
      <c r="O24" s="170"/>
      <c r="P24" s="199">
        <f>O22/2</f>
        <v>-377.81425000000002</v>
      </c>
      <c r="Q24" s="161" t="s">
        <v>80</v>
      </c>
      <c r="R24" s="163">
        <f>SUM(N24:N27)</f>
        <v>-199.2285</v>
      </c>
      <c r="S24" s="101">
        <f>P24-R24</f>
        <v>-178.58575000000002</v>
      </c>
      <c r="T24" s="163">
        <f>SUM(S24:S25)</f>
        <v>-158.58575000000002</v>
      </c>
    </row>
    <row r="25" spans="1:21" x14ac:dyDescent="0.3">
      <c r="A25" s="184"/>
      <c r="B25" s="168"/>
      <c r="C25" s="38" t="s">
        <v>69</v>
      </c>
      <c r="D25" s="49"/>
      <c r="E25" s="51"/>
      <c r="F25" s="51"/>
      <c r="G25" s="51"/>
      <c r="H25" s="51"/>
      <c r="I25" s="51">
        <f>-35</f>
        <v>-35</v>
      </c>
      <c r="J25" s="51">
        <f>-35</f>
        <v>-35</v>
      </c>
      <c r="K25" s="102">
        <v>-35</v>
      </c>
      <c r="L25" s="26">
        <v>-35</v>
      </c>
      <c r="M25" s="84">
        <f t="shared" si="11"/>
        <v>-140</v>
      </c>
      <c r="N25" s="33">
        <f t="shared" si="10"/>
        <v>-35</v>
      </c>
      <c r="O25" s="170"/>
      <c r="P25" s="200"/>
      <c r="Q25" s="162"/>
      <c r="R25" s="162"/>
      <c r="S25" s="101">
        <v>20</v>
      </c>
      <c r="T25" s="201"/>
      <c r="U25" s="33"/>
    </row>
    <row r="26" spans="1:21" x14ac:dyDescent="0.3">
      <c r="A26" s="184"/>
      <c r="B26" s="168"/>
      <c r="C26" s="38" t="s">
        <v>70</v>
      </c>
      <c r="D26" s="49"/>
      <c r="E26" s="51"/>
      <c r="F26" s="51"/>
      <c r="G26" s="51"/>
      <c r="H26" s="51"/>
      <c r="I26" s="51">
        <f>-55.08</f>
        <v>-55.08</v>
      </c>
      <c r="J26" s="51"/>
      <c r="K26" s="102"/>
      <c r="L26" s="26">
        <v>-55.08</v>
      </c>
      <c r="M26" s="84">
        <f t="shared" si="11"/>
        <v>-110.16</v>
      </c>
      <c r="N26" s="33">
        <f t="shared" si="10"/>
        <v>-55.08</v>
      </c>
      <c r="O26" s="170"/>
    </row>
    <row r="27" spans="1:21" x14ac:dyDescent="0.3">
      <c r="A27" s="184"/>
      <c r="B27" s="168"/>
      <c r="C27" s="38" t="s">
        <v>73</v>
      </c>
      <c r="D27" s="58"/>
      <c r="E27" s="56"/>
      <c r="F27" s="56"/>
      <c r="G27" s="56"/>
      <c r="H27" s="56"/>
      <c r="I27" s="56">
        <f>-38.96-25.99-53.85</f>
        <v>-118.80000000000001</v>
      </c>
      <c r="J27" s="56">
        <f>-150</f>
        <v>-150</v>
      </c>
      <c r="K27" s="103">
        <f>-29.7-33.9-10.95-3.1-3.29</f>
        <v>-80.94</v>
      </c>
      <c r="L27" s="26">
        <f>-(649+54.99*3+89)/20</f>
        <v>-45.148499999999999</v>
      </c>
      <c r="M27" s="84">
        <f t="shared" si="11"/>
        <v>-394.88850000000002</v>
      </c>
      <c r="N27" s="33">
        <f t="shared" si="10"/>
        <v>-45.148499999999999</v>
      </c>
      <c r="O27" s="162"/>
    </row>
    <row r="28" spans="1:21" x14ac:dyDescent="0.3">
      <c r="A28" s="184"/>
      <c r="B28" s="168"/>
      <c r="C28" s="38" t="s">
        <v>78</v>
      </c>
      <c r="D28" s="58"/>
      <c r="E28" s="56"/>
      <c r="F28" s="56"/>
      <c r="G28" s="56"/>
      <c r="H28" s="56">
        <f>-H22/2</f>
        <v>1063.92</v>
      </c>
      <c r="I28" s="56">
        <f>-(I22-29.98)/2+SUM(I24:I26)/2+197</f>
        <v>521.37</v>
      </c>
      <c r="J28" s="56">
        <f>-(-531.42-29.98)/2+SUM(J24:J26)/2+(100-11.2)+300</f>
        <v>620</v>
      </c>
      <c r="K28" s="103">
        <f>(SUM(K24:K26)-(SUM(K22:K23)+K27))/2-(100-11.2)</f>
        <v>183.75999999999993</v>
      </c>
      <c r="L28" s="72">
        <f>(SUM(L24:L27)-SUM(L22:L23))/2-208-20</f>
        <v>-49.41425000000001</v>
      </c>
      <c r="M28" s="84">
        <f>SUM(D28:L28)</f>
        <v>2339.6357499999999</v>
      </c>
      <c r="O28" s="33"/>
      <c r="P28" s="33"/>
      <c r="Q28" s="33"/>
    </row>
    <row r="29" spans="1:21" ht="15" thickBot="1" x14ac:dyDescent="0.35">
      <c r="A29" s="185"/>
      <c r="B29" s="168"/>
      <c r="C29" s="38" t="s">
        <v>71</v>
      </c>
      <c r="D29" s="67">
        <f t="shared" ref="D29:G29" si="12">SUM(D22:D28)</f>
        <v>-468</v>
      </c>
      <c r="E29" s="68">
        <f t="shared" si="12"/>
        <v>-468</v>
      </c>
      <c r="F29" s="68">
        <f t="shared" si="12"/>
        <v>-468</v>
      </c>
      <c r="G29" s="68">
        <f t="shared" si="12"/>
        <v>0</v>
      </c>
      <c r="H29" s="68">
        <f>SUM(H22:H23)+SUM(H27:H28)</f>
        <v>-1063.92</v>
      </c>
      <c r="I29" s="68">
        <f>SUM(I22:I23)+SUM(I27:I28)</f>
        <v>-370.26999999999992</v>
      </c>
      <c r="J29" s="68">
        <f>SUM(J22:J23)+SUM(J27:J28)</f>
        <v>88.580000000000041</v>
      </c>
      <c r="K29" s="99">
        <f>SUM(K22:K23)+SUM(K27:K28)</f>
        <v>-460.36</v>
      </c>
      <c r="L29" s="69">
        <f>SUM(L22:L23)+SUM(L28)</f>
        <v>-605.81425000000002</v>
      </c>
      <c r="M29" s="77">
        <f>SUM(D29:L29)-45.1485</f>
        <v>-3860.9327499999999</v>
      </c>
      <c r="N29" s="33"/>
      <c r="O29" s="165" t="s">
        <v>91</v>
      </c>
      <c r="P29" s="165"/>
      <c r="Q29" s="33"/>
    </row>
    <row r="30" spans="1:21" ht="15" thickBot="1" x14ac:dyDescent="0.35">
      <c r="A30" s="158" t="s">
        <v>81</v>
      </c>
      <c r="B30" s="159"/>
      <c r="C30" s="160"/>
      <c r="D30" s="59"/>
      <c r="E30" s="59"/>
      <c r="F30" s="59"/>
      <c r="G30" s="59"/>
      <c r="H30" s="59"/>
      <c r="I30" s="59"/>
      <c r="J30" s="59"/>
      <c r="K30" s="59"/>
      <c r="L30" s="59"/>
      <c r="M30" s="90"/>
      <c r="N30" s="92"/>
      <c r="O30" s="116" t="s">
        <v>92</v>
      </c>
      <c r="P30" s="166" t="s">
        <v>93</v>
      </c>
      <c r="Q30" s="166"/>
      <c r="R30" s="156" t="s">
        <v>77</v>
      </c>
      <c r="S30" s="156"/>
      <c r="T30" s="33">
        <v>200.48</v>
      </c>
    </row>
    <row r="31" spans="1:21" ht="15" thickBot="1" x14ac:dyDescent="0.35">
      <c r="A31" s="158" t="s">
        <v>83</v>
      </c>
      <c r="B31" s="159"/>
      <c r="C31" s="160"/>
      <c r="D31" s="59"/>
      <c r="E31" s="59"/>
      <c r="F31" s="59"/>
      <c r="G31" s="59"/>
      <c r="H31" s="59"/>
      <c r="I31" s="59"/>
      <c r="J31" s="59"/>
      <c r="K31" s="59"/>
      <c r="L31" s="59"/>
      <c r="M31" s="90"/>
      <c r="N31" s="92"/>
      <c r="O31" s="102">
        <v>197</v>
      </c>
      <c r="P31" s="102">
        <f>(500+25+15.24+380)*0.026</f>
        <v>23.92624</v>
      </c>
      <c r="Q31" s="157">
        <f>P31+P32</f>
        <v>57.553660000000001</v>
      </c>
      <c r="R31" s="101">
        <f>O31+P31</f>
        <v>220.92624000000001</v>
      </c>
      <c r="S31" s="157">
        <f>R31+R32</f>
        <v>554.55366000000004</v>
      </c>
      <c r="T31" s="33">
        <f>(S31-T30)/2</f>
        <v>177.03683000000001</v>
      </c>
    </row>
    <row r="32" spans="1:21" ht="15" thickBot="1" x14ac:dyDescent="0.35">
      <c r="A32" s="158" t="s">
        <v>82</v>
      </c>
      <c r="B32" s="159"/>
      <c r="C32" s="160"/>
      <c r="D32" s="59"/>
      <c r="E32" s="59"/>
      <c r="F32" s="59"/>
      <c r="G32" s="59"/>
      <c r="H32" s="59"/>
      <c r="I32" s="59"/>
      <c r="J32" s="59"/>
      <c r="K32" s="59"/>
      <c r="L32" s="59">
        <f>L3+L9+L21+L23-208</f>
        <v>826.4841666666664</v>
      </c>
      <c r="M32" s="90"/>
      <c r="N32" s="92"/>
      <c r="O32" s="102">
        <v>300</v>
      </c>
      <c r="P32" s="102">
        <f>(809.52+40.48+22.46+373)*0.027</f>
        <v>33.627420000000001</v>
      </c>
      <c r="Q32" s="157"/>
      <c r="R32" s="101">
        <f>O32+P32</f>
        <v>333.62742000000003</v>
      </c>
      <c r="S32" s="156"/>
      <c r="T32" s="33">
        <f>(S31-T30)/2</f>
        <v>177.03683000000001</v>
      </c>
    </row>
    <row r="33" spans="1:20" ht="15" customHeight="1" thickBot="1" x14ac:dyDescent="0.35">
      <c r="A33" s="158" t="s">
        <v>47</v>
      </c>
      <c r="B33" s="159"/>
      <c r="C33" s="160"/>
      <c r="D33" s="59">
        <f t="shared" ref="D33:K33" si="13">D3+D9+D21+D29</f>
        <v>2465.3732</v>
      </c>
      <c r="E33" s="59">
        <f t="shared" si="13"/>
        <v>2481.9431999999997</v>
      </c>
      <c r="F33" s="59">
        <f t="shared" si="13"/>
        <v>1076.4531999999997</v>
      </c>
      <c r="G33" s="59">
        <f t="shared" si="13"/>
        <v>1556.4732000000001</v>
      </c>
      <c r="H33" s="59">
        <f t="shared" si="13"/>
        <v>871.19320000000016</v>
      </c>
      <c r="I33" s="59">
        <f t="shared" si="13"/>
        <v>360.9941666666661</v>
      </c>
      <c r="J33" s="59">
        <f>J3+J9+J21+J29</f>
        <v>288.13416666666615</v>
      </c>
      <c r="K33" s="59">
        <f t="shared" si="13"/>
        <v>301.73416666666617</v>
      </c>
      <c r="L33" s="59">
        <f>L3+L9+L21+L29</f>
        <v>453.6499166666664</v>
      </c>
      <c r="M33" s="90">
        <f>D3+M9+M21+M29+45.1485</f>
        <v>453.64991666666697</v>
      </c>
      <c r="R33" s="33"/>
      <c r="S33" s="33"/>
    </row>
    <row r="34" spans="1:20" x14ac:dyDescent="0.3">
      <c r="A34" s="32"/>
      <c r="E34" s="33"/>
      <c r="F34" s="33"/>
      <c r="I34" s="7"/>
      <c r="J34" s="7"/>
      <c r="K34" s="33"/>
      <c r="O34" s="33"/>
      <c r="P34" s="117"/>
      <c r="Q34" s="33"/>
      <c r="T34" s="33"/>
    </row>
    <row r="35" spans="1:20" x14ac:dyDescent="0.3">
      <c r="B35" s="7"/>
      <c r="C35" s="30"/>
      <c r="D35" s="30"/>
      <c r="E35" s="7"/>
      <c r="F35" s="7"/>
      <c r="G35" s="7"/>
      <c r="H35" s="7"/>
      <c r="I35" s="7"/>
      <c r="O35" s="120"/>
      <c r="P35" s="120"/>
      <c r="Q35" s="33"/>
    </row>
    <row r="36" spans="1:20" ht="15" customHeight="1" x14ac:dyDescent="0.3">
      <c r="B36" s="156" t="s">
        <v>48</v>
      </c>
      <c r="C36" s="156" t="s">
        <v>65</v>
      </c>
      <c r="D36" s="111" t="s">
        <v>96</v>
      </c>
      <c r="E36" s="118" t="s">
        <v>95</v>
      </c>
      <c r="F36" s="111" t="s">
        <v>51</v>
      </c>
      <c r="G36" s="111" t="s">
        <v>52</v>
      </c>
      <c r="H36" s="111" t="s">
        <v>97</v>
      </c>
    </row>
    <row r="37" spans="1:20" x14ac:dyDescent="0.3">
      <c r="B37" s="156"/>
      <c r="C37" s="156"/>
      <c r="D37" s="119">
        <v>16878.439999999999</v>
      </c>
      <c r="E37" s="102"/>
      <c r="F37" s="102"/>
      <c r="G37" s="102"/>
      <c r="H37" s="111">
        <v>10.202400000000001</v>
      </c>
      <c r="I37" s="7"/>
      <c r="J37" s="33"/>
      <c r="O37" s="164"/>
      <c r="P37" s="164"/>
      <c r="R37" s="164"/>
      <c r="S37" s="164"/>
      <c r="T37" s="164"/>
    </row>
    <row r="38" spans="1:20" x14ac:dyDescent="0.3">
      <c r="B38" s="156"/>
      <c r="C38" s="156"/>
      <c r="D38" s="119">
        <f>$D$37-E38</f>
        <v>16846.743323333332</v>
      </c>
      <c r="E38" s="102">
        <f>G38-F38</f>
        <v>31.696676666666676</v>
      </c>
      <c r="F38" s="102">
        <f>$D$37*$C$43/12</f>
        <v>108.30332333333332</v>
      </c>
      <c r="G38" s="102">
        <f>140</f>
        <v>140</v>
      </c>
      <c r="H38" s="111">
        <v>11.202400000000001</v>
      </c>
    </row>
    <row r="39" spans="1:20" x14ac:dyDescent="0.3">
      <c r="B39" s="156"/>
      <c r="C39" s="156"/>
      <c r="D39" s="119">
        <f>D38-E39</f>
        <v>16814.843259658053</v>
      </c>
      <c r="E39" s="102">
        <f t="shared" ref="E39" si="14">G39-F39</f>
        <v>31.900063675277792</v>
      </c>
      <c r="F39" s="102">
        <f>D38*$C$43/12</f>
        <v>108.09993632472221</v>
      </c>
      <c r="G39" s="102">
        <f>140</f>
        <v>140</v>
      </c>
      <c r="H39" s="111">
        <v>12.202400000000001</v>
      </c>
    </row>
    <row r="40" spans="1:20" x14ac:dyDescent="0.3">
      <c r="B40" s="156"/>
      <c r="C40" s="156"/>
      <c r="D40" s="119">
        <f t="shared" ref="D40:D41" si="15">D39-E40</f>
        <v>16782.738503907527</v>
      </c>
      <c r="E40" s="102">
        <f t="shared" ref="E40:E41" si="16">G40-F40</f>
        <v>32.104755750527488</v>
      </c>
      <c r="F40" s="102">
        <f>D39*$C$43/12</f>
        <v>107.89524424947251</v>
      </c>
      <c r="G40" s="102">
        <f>140</f>
        <v>140</v>
      </c>
      <c r="H40" s="111">
        <v>1.2024999999999999</v>
      </c>
      <c r="J40" s="27" t="s">
        <v>94</v>
      </c>
    </row>
    <row r="41" spans="1:20" x14ac:dyDescent="0.3">
      <c r="B41" s="156"/>
      <c r="C41" s="156"/>
      <c r="D41" s="119">
        <f t="shared" si="15"/>
        <v>16750.427742640935</v>
      </c>
      <c r="E41" s="102">
        <f t="shared" si="16"/>
        <v>32.310761266593374</v>
      </c>
      <c r="F41" s="102">
        <f>D40*$C$43/12</f>
        <v>107.68923873340663</v>
      </c>
      <c r="G41" s="102">
        <f>140</f>
        <v>140</v>
      </c>
      <c r="H41" s="111">
        <v>2.2025000000000001</v>
      </c>
    </row>
    <row r="42" spans="1:20" x14ac:dyDescent="0.3">
      <c r="B42" s="156"/>
      <c r="C42" s="156"/>
      <c r="D42" s="119">
        <f t="shared" ref="D42:D43" si="17">D41-E42</f>
        <v>16717.909653989547</v>
      </c>
      <c r="E42" s="102">
        <f t="shared" ref="E42:E43" si="18">G42-F42</f>
        <v>32.518088651387345</v>
      </c>
      <c r="F42" s="102">
        <f>D41*$C$43/12</f>
        <v>107.48191134861266</v>
      </c>
      <c r="G42" s="102">
        <f>140</f>
        <v>140</v>
      </c>
      <c r="H42" s="111">
        <v>3.2025000000000001</v>
      </c>
    </row>
    <row r="43" spans="1:20" x14ac:dyDescent="0.3">
      <c r="B43" s="156"/>
      <c r="C43" s="111">
        <f>7.7/100</f>
        <v>7.6999999999999999E-2</v>
      </c>
      <c r="D43" s="119">
        <f t="shared" si="17"/>
        <v>16685.182907602648</v>
      </c>
      <c r="E43" s="102">
        <f t="shared" si="18"/>
        <v>32.726746386900402</v>
      </c>
      <c r="F43" s="102">
        <f>D42*$C$43/12</f>
        <v>107.2732536130996</v>
      </c>
      <c r="G43" s="102">
        <f>140</f>
        <v>140</v>
      </c>
      <c r="H43" s="111">
        <v>4.2024999999999997</v>
      </c>
    </row>
    <row r="45" spans="1:20" x14ac:dyDescent="0.3">
      <c r="B45" s="7" t="s">
        <v>49</v>
      </c>
      <c r="C45" s="7"/>
      <c r="D45" s="7"/>
      <c r="E45" s="7">
        <v>18000</v>
      </c>
      <c r="F45" s="7"/>
      <c r="G45" s="7"/>
      <c r="H45" s="7">
        <f>5.6/100</f>
        <v>5.5999999999999994E-2</v>
      </c>
      <c r="I45" s="31">
        <f>M4*H45</f>
        <v>328.69199999999995</v>
      </c>
    </row>
  </sheetData>
  <mergeCells count="32">
    <mergeCell ref="M1:M3"/>
    <mergeCell ref="A1:C2"/>
    <mergeCell ref="A33:C33"/>
    <mergeCell ref="A3:C3"/>
    <mergeCell ref="D1:L1"/>
    <mergeCell ref="A10:A29"/>
    <mergeCell ref="B22:B29"/>
    <mergeCell ref="B11:B15"/>
    <mergeCell ref="A30:C30"/>
    <mergeCell ref="A31:C31"/>
    <mergeCell ref="C6:C7"/>
    <mergeCell ref="A4:B9"/>
    <mergeCell ref="B16:B21"/>
    <mergeCell ref="P22:P23"/>
    <mergeCell ref="P24:P25"/>
    <mergeCell ref="Q22:Q23"/>
    <mergeCell ref="Q24:Q25"/>
    <mergeCell ref="O22:O27"/>
    <mergeCell ref="B36:B43"/>
    <mergeCell ref="S31:S32"/>
    <mergeCell ref="A32:C32"/>
    <mergeCell ref="R22:R23"/>
    <mergeCell ref="R24:R25"/>
    <mergeCell ref="O37:P37"/>
    <mergeCell ref="R37:T37"/>
    <mergeCell ref="O29:P29"/>
    <mergeCell ref="P30:Q30"/>
    <mergeCell ref="Q31:Q32"/>
    <mergeCell ref="R30:S30"/>
    <mergeCell ref="C36:C42"/>
    <mergeCell ref="T22:T23"/>
    <mergeCell ref="T24:T25"/>
  </mergeCells>
  <conditionalFormatting sqref="K4:L29">
    <cfRule type="expression" dxfId="12" priority="14">
      <formula>TODAY() &gt; EOMONTH(DATE($D$1, MONTH(DATEVALUE("1 " &amp; K$2)), 1), 0)</formula>
    </cfRule>
  </conditionalFormatting>
  <conditionalFormatting sqref="M9">
    <cfRule type="cellIs" dxfId="11" priority="13" operator="notEqual">
      <formula>SUM($M$4:$M$8)+SUM($M$10:$M$14)</formula>
    </cfRule>
  </conditionalFormatting>
  <conditionalFormatting sqref="M15">
    <cfRule type="cellIs" dxfId="10" priority="12" operator="notEqual">
      <formula>SUM($M$10:$M$14)</formula>
    </cfRule>
  </conditionalFormatting>
  <conditionalFormatting sqref="M21">
    <cfRule type="cellIs" dxfId="9" priority="10" operator="notEqual">
      <formula>SUM($M$16:$M$20)</formula>
    </cfRule>
  </conditionalFormatting>
  <conditionalFormatting sqref="M29">
    <cfRule type="cellIs" dxfId="8" priority="9" operator="notEqual">
      <formula>$M$22+$M$23+$M$27+$M$28</formula>
    </cfRule>
  </conditionalFormatting>
  <conditionalFormatting sqref="M33">
    <cfRule type="expression" dxfId="7" priority="3">
      <formula>IF(ROUND(M33, 2)&lt;&gt;ROUND(L33, 2), TRUE, 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A0C8-E3E6-4C3D-ABDA-ABF564D33ED8}">
  <sheetPr codeName="Sheet4"/>
  <dimension ref="A1:W41"/>
  <sheetViews>
    <sheetView topLeftCell="A6" workbookViewId="0">
      <selection activeCell="R26" sqref="R26"/>
    </sheetView>
  </sheetViews>
  <sheetFormatPr defaultColWidth="8.88671875" defaultRowHeight="14.4" x14ac:dyDescent="0.3"/>
  <cols>
    <col min="1" max="1" width="3.33203125" style="27" customWidth="1"/>
    <col min="2" max="2" width="3.44140625" style="27" customWidth="1"/>
    <col min="3" max="3" width="23.21875" style="27" bestFit="1" customWidth="1"/>
    <col min="4" max="15" width="10.109375" style="27" customWidth="1"/>
    <col min="16" max="16" width="10.5546875" style="27" customWidth="1"/>
    <col min="17" max="24" width="10.109375" style="27" customWidth="1"/>
    <col min="25" max="16384" width="8.88671875" style="27"/>
  </cols>
  <sheetData>
    <row r="1" spans="1:20" ht="15" thickBot="1" x14ac:dyDescent="0.35">
      <c r="A1" s="171" t="s">
        <v>28</v>
      </c>
      <c r="B1" s="172"/>
      <c r="C1" s="173"/>
      <c r="D1" s="195">
        <v>2025</v>
      </c>
      <c r="E1" s="195"/>
      <c r="F1" s="195"/>
      <c r="G1" s="195"/>
      <c r="H1" s="195"/>
      <c r="I1" s="195"/>
      <c r="J1" s="195"/>
      <c r="K1" s="195"/>
      <c r="L1" s="195"/>
      <c r="M1" s="195"/>
      <c r="N1" s="195"/>
      <c r="O1" s="195"/>
      <c r="P1" s="125" t="s">
        <v>41</v>
      </c>
    </row>
    <row r="2" spans="1:20" ht="15" thickBot="1" x14ac:dyDescent="0.35">
      <c r="A2" s="174"/>
      <c r="B2" s="175"/>
      <c r="C2" s="176"/>
      <c r="D2" s="29" t="s">
        <v>32</v>
      </c>
      <c r="E2" s="29" t="s">
        <v>39</v>
      </c>
      <c r="F2" s="29" t="s">
        <v>6</v>
      </c>
      <c r="G2" s="29" t="s">
        <v>7</v>
      </c>
      <c r="H2" s="29" t="s">
        <v>33</v>
      </c>
      <c r="I2" s="29" t="s">
        <v>8</v>
      </c>
      <c r="J2" s="29" t="s">
        <v>9</v>
      </c>
      <c r="K2" s="29" t="s">
        <v>31</v>
      </c>
      <c r="L2" s="29" t="s">
        <v>1</v>
      </c>
      <c r="M2" s="29" t="s">
        <v>2</v>
      </c>
      <c r="N2" s="29" t="s">
        <v>3</v>
      </c>
      <c r="O2" s="29" t="s">
        <v>4</v>
      </c>
      <c r="P2" s="126"/>
    </row>
    <row r="3" spans="1:20" ht="16.95" customHeight="1" thickBot="1" x14ac:dyDescent="0.35">
      <c r="A3" s="158" t="s">
        <v>42</v>
      </c>
      <c r="B3" s="159"/>
      <c r="C3" s="160"/>
      <c r="D3" s="59">
        <f>CF_2024!L33</f>
        <v>453.6499166666664</v>
      </c>
      <c r="E3" s="86">
        <f>D32</f>
        <v>393.33566666666627</v>
      </c>
      <c r="F3" s="86">
        <f t="shared" ref="F3:O3" si="0">E32</f>
        <v>333.02141666666637</v>
      </c>
      <c r="G3" s="86">
        <f t="shared" si="0"/>
        <v>429.20716666666647</v>
      </c>
      <c r="H3" s="86">
        <f t="shared" si="0"/>
        <v>552.93291666666664</v>
      </c>
      <c r="I3" s="86">
        <f t="shared" si="0"/>
        <v>676.65866666666648</v>
      </c>
      <c r="J3" s="86">
        <f t="shared" si="0"/>
        <v>772.84441666666658</v>
      </c>
      <c r="K3" s="86">
        <f t="shared" si="0"/>
        <v>896.57016666666664</v>
      </c>
      <c r="L3" s="86">
        <f t="shared" si="0"/>
        <v>1020.2959166666667</v>
      </c>
      <c r="M3" s="86">
        <f t="shared" si="0"/>
        <v>1116.4816666666668</v>
      </c>
      <c r="N3" s="86">
        <f t="shared" si="0"/>
        <v>1240.2074166666664</v>
      </c>
      <c r="O3" s="87">
        <f t="shared" si="0"/>
        <v>1363.933166666666</v>
      </c>
      <c r="P3" s="127"/>
    </row>
    <row r="4" spans="1:20" ht="17.399999999999999" customHeight="1" x14ac:dyDescent="0.3">
      <c r="A4" s="189" t="s">
        <v>50</v>
      </c>
      <c r="B4" s="190"/>
      <c r="C4" s="62" t="s">
        <v>63</v>
      </c>
      <c r="D4" s="105"/>
      <c r="E4" s="104"/>
      <c r="F4" s="104"/>
      <c r="G4" s="104"/>
      <c r="H4" s="104"/>
      <c r="I4" s="104"/>
      <c r="J4" s="104"/>
      <c r="K4" s="104"/>
      <c r="L4" s="104"/>
      <c r="M4" s="104"/>
      <c r="N4" s="104"/>
      <c r="O4" s="25"/>
      <c r="P4" s="83">
        <f>SUM(D4:O4)</f>
        <v>0</v>
      </c>
    </row>
    <row r="5" spans="1:20" ht="17.399999999999999" customHeight="1" x14ac:dyDescent="0.3">
      <c r="A5" s="191"/>
      <c r="B5" s="192"/>
      <c r="C5" s="187" t="s">
        <v>75</v>
      </c>
      <c r="D5" s="106">
        <v>1000</v>
      </c>
      <c r="E5" s="100">
        <f>D$5</f>
        <v>1000</v>
      </c>
      <c r="F5" s="100">
        <f t="shared" ref="F5:O5" si="1">E$5</f>
        <v>1000</v>
      </c>
      <c r="G5" s="100">
        <f t="shared" si="1"/>
        <v>1000</v>
      </c>
      <c r="H5" s="100">
        <f t="shared" si="1"/>
        <v>1000</v>
      </c>
      <c r="I5" s="100">
        <f t="shared" si="1"/>
        <v>1000</v>
      </c>
      <c r="J5" s="100">
        <f t="shared" si="1"/>
        <v>1000</v>
      </c>
      <c r="K5" s="100">
        <f t="shared" si="1"/>
        <v>1000</v>
      </c>
      <c r="L5" s="100">
        <f t="shared" si="1"/>
        <v>1000</v>
      </c>
      <c r="M5" s="100">
        <f t="shared" si="1"/>
        <v>1000</v>
      </c>
      <c r="N5" s="100">
        <f t="shared" si="1"/>
        <v>1000</v>
      </c>
      <c r="O5" s="100">
        <f t="shared" si="1"/>
        <v>1000</v>
      </c>
      <c r="P5" s="89">
        <f>SUM(D5:O5)</f>
        <v>12000</v>
      </c>
    </row>
    <row r="6" spans="1:20" ht="17.399999999999999" customHeight="1" x14ac:dyDescent="0.3">
      <c r="A6" s="191"/>
      <c r="B6" s="192"/>
      <c r="C6" s="188"/>
      <c r="D6" s="107"/>
      <c r="E6" s="102"/>
      <c r="F6" s="102"/>
      <c r="G6" s="102"/>
      <c r="H6" s="102"/>
      <c r="I6" s="102"/>
      <c r="J6" s="102"/>
      <c r="K6" s="102"/>
      <c r="L6" s="102"/>
      <c r="M6" s="102"/>
      <c r="N6" s="102"/>
      <c r="O6" s="26"/>
      <c r="P6" s="89">
        <f t="shared" ref="P6:P7" si="2">SUM(D6:O6)</f>
        <v>0</v>
      </c>
      <c r="Q6" s="33"/>
    </row>
    <row r="7" spans="1:20" ht="17.399999999999999" customHeight="1" x14ac:dyDescent="0.3">
      <c r="A7" s="191"/>
      <c r="B7" s="192"/>
      <c r="C7" s="39" t="s">
        <v>64</v>
      </c>
      <c r="D7" s="108"/>
      <c r="E7" s="103"/>
      <c r="F7" s="103"/>
      <c r="G7" s="103"/>
      <c r="H7" s="103"/>
      <c r="I7" s="103"/>
      <c r="J7" s="103"/>
      <c r="K7" s="103"/>
      <c r="L7" s="103"/>
      <c r="M7" s="103"/>
      <c r="N7" s="103"/>
      <c r="O7" s="72"/>
      <c r="P7" s="89">
        <f t="shared" si="2"/>
        <v>0</v>
      </c>
    </row>
    <row r="8" spans="1:20" ht="17.399999999999999" customHeight="1" thickBot="1" x14ac:dyDescent="0.35">
      <c r="A8" s="193"/>
      <c r="B8" s="194"/>
      <c r="C8" s="46" t="s">
        <v>76</v>
      </c>
      <c r="D8" s="109">
        <f>SUM(D4:D7)+D14</f>
        <v>1000</v>
      </c>
      <c r="E8" s="99">
        <f>SUM(E4:E7)+E14</f>
        <v>1000</v>
      </c>
      <c r="F8" s="99">
        <f t="shared" ref="F8:J8" si="3">SUM(F4:F7)+F14</f>
        <v>1000</v>
      </c>
      <c r="G8" s="99">
        <f t="shared" si="3"/>
        <v>1000</v>
      </c>
      <c r="H8" s="99">
        <f t="shared" si="3"/>
        <v>1000</v>
      </c>
      <c r="I8" s="99">
        <f t="shared" si="3"/>
        <v>1000</v>
      </c>
      <c r="J8" s="99">
        <f t="shared" si="3"/>
        <v>1000</v>
      </c>
      <c r="K8" s="99">
        <f>SUM(K4:K7)+K14</f>
        <v>1000</v>
      </c>
      <c r="L8" s="99">
        <f t="shared" ref="L8:O8" si="4">SUM(L4:L7)+L14</f>
        <v>1000</v>
      </c>
      <c r="M8" s="99">
        <f t="shared" si="4"/>
        <v>1000</v>
      </c>
      <c r="N8" s="99">
        <f t="shared" si="4"/>
        <v>1000</v>
      </c>
      <c r="O8" s="69">
        <f t="shared" si="4"/>
        <v>1000</v>
      </c>
      <c r="P8" s="77">
        <f>SUM(D8:O8)</f>
        <v>12000</v>
      </c>
    </row>
    <row r="9" spans="1:20" ht="14.4" customHeight="1" x14ac:dyDescent="0.3">
      <c r="A9" s="183" t="s">
        <v>43</v>
      </c>
      <c r="B9" s="44" t="s">
        <v>46</v>
      </c>
      <c r="C9" s="62" t="s">
        <v>60</v>
      </c>
      <c r="D9" s="110"/>
      <c r="E9" s="96"/>
      <c r="F9" s="96"/>
      <c r="G9" s="96"/>
      <c r="H9" s="96"/>
      <c r="I9" s="96"/>
      <c r="J9" s="96"/>
      <c r="K9" s="96"/>
      <c r="L9" s="96"/>
      <c r="M9" s="96"/>
      <c r="N9" s="96"/>
      <c r="O9" s="94"/>
      <c r="P9" s="79">
        <f>SUM(D9:O9)</f>
        <v>0</v>
      </c>
    </row>
    <row r="10" spans="1:20" ht="14.4" customHeight="1" x14ac:dyDescent="0.3">
      <c r="A10" s="184"/>
      <c r="B10" s="186" t="s">
        <v>61</v>
      </c>
      <c r="C10" s="40" t="s">
        <v>45</v>
      </c>
      <c r="D10" s="107"/>
      <c r="E10" s="102"/>
      <c r="F10" s="102"/>
      <c r="G10" s="102"/>
      <c r="H10" s="102"/>
      <c r="I10" s="102"/>
      <c r="J10" s="102"/>
      <c r="K10" s="102"/>
      <c r="L10" s="102"/>
      <c r="M10" s="102"/>
      <c r="N10" s="102"/>
      <c r="O10" s="26"/>
      <c r="P10" s="84">
        <f>SUM(D10:O10)</f>
        <v>0</v>
      </c>
    </row>
    <row r="11" spans="1:20" ht="14.4" customHeight="1" x14ac:dyDescent="0.3">
      <c r="A11" s="184"/>
      <c r="B11" s="168"/>
      <c r="C11" s="40" t="s">
        <v>59</v>
      </c>
      <c r="D11" s="107"/>
      <c r="E11" s="102"/>
      <c r="F11" s="102"/>
      <c r="G11" s="102"/>
      <c r="H11" s="102"/>
      <c r="I11" s="102"/>
      <c r="J11" s="102"/>
      <c r="K11" s="102"/>
      <c r="L11" s="102"/>
      <c r="M11" s="102"/>
      <c r="N11" s="102"/>
      <c r="O11" s="26"/>
      <c r="P11" s="84">
        <f t="shared" ref="P11:P12" si="5">SUM(D11:O11)</f>
        <v>0</v>
      </c>
    </row>
    <row r="12" spans="1:20" ht="14.4" customHeight="1" x14ac:dyDescent="0.3">
      <c r="A12" s="184"/>
      <c r="B12" s="168"/>
      <c r="C12" s="40" t="s">
        <v>57</v>
      </c>
      <c r="D12" s="107"/>
      <c r="E12" s="102"/>
      <c r="F12" s="102"/>
      <c r="G12" s="102"/>
      <c r="H12" s="102"/>
      <c r="I12" s="102"/>
      <c r="J12" s="102"/>
      <c r="K12" s="102"/>
      <c r="L12" s="102"/>
      <c r="M12" s="102"/>
      <c r="N12" s="102"/>
      <c r="O12" s="26"/>
      <c r="P12" s="80">
        <f t="shared" si="5"/>
        <v>0</v>
      </c>
    </row>
    <row r="13" spans="1:20" ht="14.4" customHeight="1" x14ac:dyDescent="0.3">
      <c r="A13" s="184"/>
      <c r="B13" s="168"/>
      <c r="C13" s="73" t="s">
        <v>58</v>
      </c>
      <c r="D13" s="108"/>
      <c r="E13" s="103"/>
      <c r="F13" s="103"/>
      <c r="G13" s="103"/>
      <c r="H13" s="103"/>
      <c r="I13" s="103"/>
      <c r="J13" s="103"/>
      <c r="K13" s="103"/>
      <c r="L13" s="103"/>
      <c r="M13" s="103"/>
      <c r="N13" s="103"/>
      <c r="O13" s="72"/>
      <c r="P13" s="81">
        <f>SUM(D13:O13)</f>
        <v>0</v>
      </c>
    </row>
    <row r="14" spans="1:20" ht="14.4" customHeight="1" thickBot="1" x14ac:dyDescent="0.35">
      <c r="A14" s="184"/>
      <c r="B14" s="169"/>
      <c r="C14" s="46" t="s">
        <v>77</v>
      </c>
      <c r="D14" s="109">
        <f t="shared" ref="D14:J14" si="6">SUM(D9:D13)</f>
        <v>0</v>
      </c>
      <c r="E14" s="99">
        <f t="shared" si="6"/>
        <v>0</v>
      </c>
      <c r="F14" s="99">
        <f t="shared" si="6"/>
        <v>0</v>
      </c>
      <c r="G14" s="99">
        <f t="shared" si="6"/>
        <v>0</v>
      </c>
      <c r="H14" s="99">
        <f t="shared" si="6"/>
        <v>0</v>
      </c>
      <c r="I14" s="99">
        <f t="shared" si="6"/>
        <v>0</v>
      </c>
      <c r="J14" s="99">
        <f t="shared" si="6"/>
        <v>0</v>
      </c>
      <c r="K14" s="99">
        <f>SUM(K9:K13)</f>
        <v>0</v>
      </c>
      <c r="L14" s="99">
        <f>SUM(L9:L13)</f>
        <v>0</v>
      </c>
      <c r="M14" s="99">
        <f t="shared" ref="M14" si="7">SUM(M9:M13)</f>
        <v>0</v>
      </c>
      <c r="N14" s="99">
        <f>SUM(N9:N13)</f>
        <v>0</v>
      </c>
      <c r="O14" s="69">
        <f>SUM(O9:O13)</f>
        <v>0</v>
      </c>
      <c r="P14" s="77">
        <f>SUM(D14:O14)</f>
        <v>0</v>
      </c>
    </row>
    <row r="15" spans="1:20" ht="14.4" customHeight="1" x14ac:dyDescent="0.3">
      <c r="A15" s="184"/>
      <c r="B15" s="167" t="s">
        <v>55</v>
      </c>
      <c r="C15" s="70" t="s">
        <v>48</v>
      </c>
      <c r="D15" s="105">
        <f>-CF_2024!G40</f>
        <v>-140</v>
      </c>
      <c r="E15" s="104">
        <f>-CF_2024!G41</f>
        <v>-140</v>
      </c>
      <c r="F15" s="104">
        <f>-CF_2024!G42</f>
        <v>-140</v>
      </c>
      <c r="G15" s="104">
        <f>-CF_2024!G43</f>
        <v>-140</v>
      </c>
      <c r="H15" s="104">
        <v>-140</v>
      </c>
      <c r="I15" s="104">
        <v>-140</v>
      </c>
      <c r="J15" s="104">
        <v>-140</v>
      </c>
      <c r="K15" s="104">
        <v>-140</v>
      </c>
      <c r="L15" s="104">
        <v>-140</v>
      </c>
      <c r="M15" s="104">
        <v>-140</v>
      </c>
      <c r="N15" s="104">
        <v>-140</v>
      </c>
      <c r="O15" s="104">
        <v>-140</v>
      </c>
      <c r="P15" s="79">
        <f>SUM(D15:O15)</f>
        <v>-1680</v>
      </c>
    </row>
    <row r="16" spans="1:20" ht="14.4" customHeight="1" x14ac:dyDescent="0.3">
      <c r="A16" s="184"/>
      <c r="B16" s="168"/>
      <c r="C16" s="38" t="s">
        <v>53</v>
      </c>
      <c r="D16" s="107"/>
      <c r="E16" s="102"/>
      <c r="F16" s="102"/>
      <c r="G16" s="102"/>
      <c r="H16" s="102"/>
      <c r="I16" s="102"/>
      <c r="J16" s="102"/>
      <c r="K16" s="102"/>
      <c r="L16" s="102"/>
      <c r="M16" s="102"/>
      <c r="N16" s="102"/>
      <c r="O16" s="102"/>
      <c r="P16" s="84">
        <f>SUM(D16:O16)</f>
        <v>0</v>
      </c>
      <c r="S16" s="113"/>
      <c r="T16" s="113"/>
    </row>
    <row r="17" spans="1:23" ht="14.4" customHeight="1" x14ac:dyDescent="0.3">
      <c r="A17" s="184"/>
      <c r="B17" s="168"/>
      <c r="C17" s="38" t="s">
        <v>56</v>
      </c>
      <c r="D17" s="107">
        <v>-300</v>
      </c>
      <c r="E17" s="102">
        <v>-300</v>
      </c>
      <c r="F17" s="102">
        <v>-300</v>
      </c>
      <c r="G17" s="102">
        <v>-300</v>
      </c>
      <c r="H17" s="102">
        <v>-300</v>
      </c>
      <c r="I17" s="102">
        <v>-300</v>
      </c>
      <c r="J17" s="102">
        <v>-300</v>
      </c>
      <c r="K17" s="102">
        <v>-300</v>
      </c>
      <c r="L17" s="102">
        <v>-300</v>
      </c>
      <c r="M17" s="102">
        <v>-300</v>
      </c>
      <c r="N17" s="102">
        <v>-300</v>
      </c>
      <c r="O17" s="102">
        <v>-300</v>
      </c>
      <c r="P17" s="84">
        <f t="shared" ref="P17:P18" si="8">SUM(D17:O17)</f>
        <v>-3600</v>
      </c>
      <c r="S17" s="113"/>
    </row>
    <row r="18" spans="1:23" ht="14.4" customHeight="1" x14ac:dyDescent="0.3">
      <c r="A18" s="184"/>
      <c r="B18" s="168"/>
      <c r="C18" s="38" t="s">
        <v>66</v>
      </c>
      <c r="D18" s="107">
        <v>-24.61</v>
      </c>
      <c r="E18" s="102">
        <v>-24.61</v>
      </c>
      <c r="F18" s="102">
        <v>-24.61</v>
      </c>
      <c r="G18" s="102">
        <v>-24.61</v>
      </c>
      <c r="H18" s="102">
        <v>-24.61</v>
      </c>
      <c r="I18" s="102">
        <v>-24.61</v>
      </c>
      <c r="J18" s="102">
        <v>-24.61</v>
      </c>
      <c r="K18" s="102">
        <v>-24.61</v>
      </c>
      <c r="L18" s="102">
        <v>-24.61</v>
      </c>
      <c r="M18" s="102">
        <v>-24.61</v>
      </c>
      <c r="N18" s="102">
        <v>-24.61</v>
      </c>
      <c r="O18" s="102">
        <v>-24.61</v>
      </c>
      <c r="P18" s="84">
        <f t="shared" si="8"/>
        <v>-295.32000000000005</v>
      </c>
    </row>
    <row r="19" spans="1:23" ht="14.4" customHeight="1" x14ac:dyDescent="0.3">
      <c r="A19" s="184"/>
      <c r="B19" s="168"/>
      <c r="C19" s="38" t="s">
        <v>67</v>
      </c>
      <c r="D19" s="107">
        <v>-58</v>
      </c>
      <c r="E19" s="102">
        <v>-58</v>
      </c>
      <c r="F19" s="102">
        <v>-58</v>
      </c>
      <c r="G19" s="102">
        <v>-58</v>
      </c>
      <c r="H19" s="102">
        <v>-58</v>
      </c>
      <c r="I19" s="102">
        <v>-58</v>
      </c>
      <c r="J19" s="102">
        <v>-58</v>
      </c>
      <c r="K19" s="102">
        <v>-58</v>
      </c>
      <c r="L19" s="102">
        <v>-58</v>
      </c>
      <c r="M19" s="102">
        <v>-58</v>
      </c>
      <c r="N19" s="102">
        <v>-58</v>
      </c>
      <c r="O19" s="102">
        <v>-58</v>
      </c>
      <c r="P19" s="84">
        <f>SUM(D19:O19)</f>
        <v>-696</v>
      </c>
    </row>
    <row r="20" spans="1:23" ht="14.4" customHeight="1" thickBot="1" x14ac:dyDescent="0.35">
      <c r="A20" s="184"/>
      <c r="B20" s="169"/>
      <c r="C20" s="76" t="s">
        <v>54</v>
      </c>
      <c r="D20" s="109">
        <f t="shared" ref="D20:O20" si="9">SUM(D15:D19)</f>
        <v>-522.61</v>
      </c>
      <c r="E20" s="99">
        <f t="shared" si="9"/>
        <v>-522.61</v>
      </c>
      <c r="F20" s="99">
        <f t="shared" si="9"/>
        <v>-522.61</v>
      </c>
      <c r="G20" s="99">
        <f t="shared" si="9"/>
        <v>-522.61</v>
      </c>
      <c r="H20" s="99">
        <f t="shared" si="9"/>
        <v>-522.61</v>
      </c>
      <c r="I20" s="99">
        <f t="shared" si="9"/>
        <v>-522.61</v>
      </c>
      <c r="J20" s="99">
        <f t="shared" si="9"/>
        <v>-522.61</v>
      </c>
      <c r="K20" s="99">
        <f t="shared" si="9"/>
        <v>-522.61</v>
      </c>
      <c r="L20" s="99">
        <f t="shared" si="9"/>
        <v>-522.61</v>
      </c>
      <c r="M20" s="99">
        <f t="shared" si="9"/>
        <v>-522.61</v>
      </c>
      <c r="N20" s="99">
        <f t="shared" si="9"/>
        <v>-522.61</v>
      </c>
      <c r="O20" s="69">
        <f t="shared" si="9"/>
        <v>-522.61</v>
      </c>
      <c r="P20" s="77">
        <f>SUM(D20:O20)</f>
        <v>-6271.3199999999988</v>
      </c>
    </row>
    <row r="21" spans="1:23" ht="14.4" customHeight="1" x14ac:dyDescent="0.3">
      <c r="A21" s="184"/>
      <c r="B21" s="167" t="s">
        <v>72</v>
      </c>
      <c r="C21" s="74" t="s">
        <v>44</v>
      </c>
      <c r="D21" s="106">
        <v>-531.41999999999996</v>
      </c>
      <c r="E21" s="100">
        <v>-531.41999999999996</v>
      </c>
      <c r="F21" s="100">
        <v>-531.41999999999996</v>
      </c>
      <c r="G21" s="100">
        <v>-531.41999999999996</v>
      </c>
      <c r="H21" s="100">
        <v>-531.41999999999996</v>
      </c>
      <c r="I21" s="100">
        <v>-531.41999999999996</v>
      </c>
      <c r="J21" s="100">
        <v>-531.41999999999996</v>
      </c>
      <c r="K21" s="100">
        <v>-531.41999999999996</v>
      </c>
      <c r="L21" s="100">
        <v>-531.41999999999996</v>
      </c>
      <c r="M21" s="100">
        <v>-531.41999999999996</v>
      </c>
      <c r="N21" s="100">
        <v>-531.41999999999996</v>
      </c>
      <c r="O21" s="100">
        <v>-531.41999999999996</v>
      </c>
      <c r="P21" s="82">
        <f>SUM(D21:O21)</f>
        <v>-6377.04</v>
      </c>
    </row>
    <row r="22" spans="1:23" ht="14.4" customHeight="1" x14ac:dyDescent="0.3">
      <c r="A22" s="184"/>
      <c r="B22" s="168"/>
      <c r="C22" s="38" t="s">
        <v>74</v>
      </c>
      <c r="D22" s="107">
        <v>-31.760000000000005</v>
      </c>
      <c r="E22" s="102">
        <v>-31.760000000000005</v>
      </c>
      <c r="F22" s="102">
        <v>-31.760000000000005</v>
      </c>
      <c r="G22" s="102">
        <v>-31.760000000000005</v>
      </c>
      <c r="H22" s="102">
        <v>-31.760000000000005</v>
      </c>
      <c r="I22" s="102">
        <v>-31.760000000000005</v>
      </c>
      <c r="J22" s="102">
        <v>-31.76</v>
      </c>
      <c r="K22" s="102">
        <v>-31.76</v>
      </c>
      <c r="L22" s="102">
        <v>-31.76</v>
      </c>
      <c r="M22" s="102">
        <v>-31.76</v>
      </c>
      <c r="N22" s="102">
        <v>-31.76</v>
      </c>
      <c r="O22" s="102">
        <v>-31.76</v>
      </c>
      <c r="P22" s="84">
        <f>SUM(D22:O22)</f>
        <v>-381.11999999999995</v>
      </c>
    </row>
    <row r="23" spans="1:23" ht="14.4" customHeight="1" x14ac:dyDescent="0.3">
      <c r="A23" s="184"/>
      <c r="B23" s="168"/>
      <c r="C23" s="38" t="s">
        <v>68</v>
      </c>
      <c r="D23" s="107">
        <v>-64</v>
      </c>
      <c r="E23" s="102">
        <v>-64</v>
      </c>
      <c r="F23" s="102">
        <v>-64</v>
      </c>
      <c r="G23" s="102">
        <v>-64</v>
      </c>
      <c r="H23" s="102">
        <v>-64</v>
      </c>
      <c r="I23" s="102">
        <v>-64</v>
      </c>
      <c r="J23" s="102">
        <v>-64</v>
      </c>
      <c r="K23" s="102">
        <v>-64</v>
      </c>
      <c r="L23" s="102">
        <v>-64</v>
      </c>
      <c r="M23" s="102">
        <v>-64</v>
      </c>
      <c r="N23" s="102">
        <v>-64</v>
      </c>
      <c r="O23" s="102">
        <v>-64</v>
      </c>
      <c r="P23" s="84">
        <f t="shared" ref="P23:P24" si="10">SUM(D23:O23)</f>
        <v>-768</v>
      </c>
    </row>
    <row r="24" spans="1:23" ht="14.4" customHeight="1" x14ac:dyDescent="0.3">
      <c r="A24" s="184"/>
      <c r="B24" s="168"/>
      <c r="C24" s="38" t="s">
        <v>69</v>
      </c>
      <c r="D24" s="107">
        <v>-35</v>
      </c>
      <c r="E24" s="102">
        <v>-35</v>
      </c>
      <c r="F24" s="102">
        <v>-35</v>
      </c>
      <c r="G24" s="102">
        <v>-35</v>
      </c>
      <c r="H24" s="102">
        <v>-35</v>
      </c>
      <c r="I24" s="102">
        <v>-35</v>
      </c>
      <c r="J24" s="102">
        <v>-35</v>
      </c>
      <c r="K24" s="102">
        <v>-35</v>
      </c>
      <c r="L24" s="102">
        <v>-35</v>
      </c>
      <c r="M24" s="102">
        <v>-35</v>
      </c>
      <c r="N24" s="102">
        <v>-35</v>
      </c>
      <c r="O24" s="102">
        <v>-35</v>
      </c>
      <c r="P24" s="84">
        <f t="shared" si="10"/>
        <v>-420</v>
      </c>
    </row>
    <row r="25" spans="1:23" ht="14.4" customHeight="1" x14ac:dyDescent="0.3">
      <c r="A25" s="184"/>
      <c r="B25" s="168"/>
      <c r="C25" s="38" t="s">
        <v>70</v>
      </c>
      <c r="D25" s="107"/>
      <c r="E25" s="102"/>
      <c r="F25" s="102">
        <f>-55.08</f>
        <v>-55.08</v>
      </c>
      <c r="G25" s="102"/>
      <c r="H25" s="102"/>
      <c r="I25" s="102">
        <f>-55.08</f>
        <v>-55.08</v>
      </c>
      <c r="J25" s="102"/>
      <c r="K25" s="102"/>
      <c r="L25" s="102">
        <f>-55.08</f>
        <v>-55.08</v>
      </c>
      <c r="M25" s="102"/>
      <c r="N25" s="102"/>
      <c r="O25" s="102">
        <f>-55.08</f>
        <v>-55.08</v>
      </c>
      <c r="P25" s="84">
        <f>SUM(D25:O25)</f>
        <v>-220.32</v>
      </c>
    </row>
    <row r="26" spans="1:23" ht="14.4" customHeight="1" x14ac:dyDescent="0.3">
      <c r="A26" s="184"/>
      <c r="B26" s="168"/>
      <c r="C26" s="38" t="s">
        <v>73</v>
      </c>
      <c r="D26" s="108">
        <f>-(649+54.99*3+89)/20</f>
        <v>-45.148499999999999</v>
      </c>
      <c r="E26" s="103">
        <f>$D26</f>
        <v>-45.148499999999999</v>
      </c>
      <c r="F26" s="103">
        <f t="shared" ref="F26:O26" si="11">$D26</f>
        <v>-45.148499999999999</v>
      </c>
      <c r="G26" s="103">
        <f t="shared" si="11"/>
        <v>-45.148499999999999</v>
      </c>
      <c r="H26" s="103">
        <f t="shared" si="11"/>
        <v>-45.148499999999999</v>
      </c>
      <c r="I26" s="103">
        <f t="shared" si="11"/>
        <v>-45.148499999999999</v>
      </c>
      <c r="J26" s="103">
        <f t="shared" si="11"/>
        <v>-45.148499999999999</v>
      </c>
      <c r="K26" s="103">
        <f t="shared" si="11"/>
        <v>-45.148499999999999</v>
      </c>
      <c r="L26" s="103">
        <f t="shared" si="11"/>
        <v>-45.148499999999999</v>
      </c>
      <c r="M26" s="103">
        <f t="shared" si="11"/>
        <v>-45.148499999999999</v>
      </c>
      <c r="N26" s="103">
        <f t="shared" si="11"/>
        <v>-45.148499999999999</v>
      </c>
      <c r="O26" s="103">
        <f t="shared" si="11"/>
        <v>-45.148499999999999</v>
      </c>
      <c r="P26" s="84">
        <f>SUM(D26:O26)</f>
        <v>-541.78200000000004</v>
      </c>
      <c r="R26" s="33"/>
      <c r="W26" s="33"/>
    </row>
    <row r="27" spans="1:23" ht="14.4" customHeight="1" x14ac:dyDescent="0.3">
      <c r="A27" s="184"/>
      <c r="B27" s="168"/>
      <c r="C27" s="38" t="s">
        <v>78</v>
      </c>
      <c r="D27" s="107">
        <f>(SUM(D23:D26)-SUM(D21:D22))/2-(177.04+7)</f>
        <v>25.475749999999977</v>
      </c>
      <c r="E27" s="102">
        <f>(SUM(E23:E26)-SUM(E21:E22))/2-(177.04+7)</f>
        <v>25.475749999999977</v>
      </c>
      <c r="F27" s="102">
        <f t="shared" ref="F27:I27" si="12">(SUM(F23:F26)-SUM(F21:F22))/2</f>
        <v>181.97574999999998</v>
      </c>
      <c r="G27" s="102">
        <f t="shared" si="12"/>
        <v>209.51574999999997</v>
      </c>
      <c r="H27" s="102">
        <f t="shared" si="12"/>
        <v>209.51574999999997</v>
      </c>
      <c r="I27" s="102">
        <f t="shared" si="12"/>
        <v>181.97574999999998</v>
      </c>
      <c r="J27" s="102">
        <f t="shared" ref="J27" si="13">(SUM(J23:J26)-SUM(J21:J22))/2</f>
        <v>209.51574999999997</v>
      </c>
      <c r="K27" s="102">
        <f t="shared" ref="K27" si="14">(SUM(K23:K26)-SUM(K21:K22))/2</f>
        <v>209.51574999999997</v>
      </c>
      <c r="L27" s="102">
        <f t="shared" ref="L27" si="15">(SUM(L23:L26)-SUM(L21:L22))/2</f>
        <v>181.97574999999998</v>
      </c>
      <c r="M27" s="102">
        <f t="shared" ref="M27" si="16">(SUM(M23:M26)-SUM(M21:M22))/2</f>
        <v>209.51574999999997</v>
      </c>
      <c r="N27" s="102">
        <f t="shared" ref="N27:O27" si="17">(SUM(N23:N26)-SUM(N21:N22))/2</f>
        <v>209.51574999999997</v>
      </c>
      <c r="O27" s="102">
        <f t="shared" si="17"/>
        <v>181.97574999999998</v>
      </c>
      <c r="P27" s="84">
        <f>SUM(D27:O27)</f>
        <v>2035.9489999999998</v>
      </c>
    </row>
    <row r="28" spans="1:23" ht="14.4" customHeight="1" thickBot="1" x14ac:dyDescent="0.35">
      <c r="A28" s="185"/>
      <c r="B28" s="169"/>
      <c r="C28" s="38" t="s">
        <v>71</v>
      </c>
      <c r="D28" s="109">
        <f>SUM(D21:D22)+SUM(D27)</f>
        <v>-537.70425</v>
      </c>
      <c r="E28" s="99">
        <f t="shared" ref="E28:O28" si="18">SUM(E21:E22)+SUM(E27)</f>
        <v>-537.70425</v>
      </c>
      <c r="F28" s="99">
        <f t="shared" si="18"/>
        <v>-381.20425</v>
      </c>
      <c r="G28" s="99">
        <f t="shared" si="18"/>
        <v>-353.66424999999998</v>
      </c>
      <c r="H28" s="99">
        <f t="shared" si="18"/>
        <v>-353.66424999999998</v>
      </c>
      <c r="I28" s="99">
        <f t="shared" si="18"/>
        <v>-381.20425</v>
      </c>
      <c r="J28" s="99">
        <f t="shared" si="18"/>
        <v>-353.66424999999998</v>
      </c>
      <c r="K28" s="99">
        <f t="shared" si="18"/>
        <v>-353.66424999999998</v>
      </c>
      <c r="L28" s="99">
        <f t="shared" si="18"/>
        <v>-381.20425</v>
      </c>
      <c r="M28" s="99">
        <f t="shared" si="18"/>
        <v>-353.66424999999998</v>
      </c>
      <c r="N28" s="99">
        <f t="shared" si="18"/>
        <v>-353.66424999999998</v>
      </c>
      <c r="O28" s="69">
        <f t="shared" si="18"/>
        <v>-381.20425</v>
      </c>
      <c r="P28" s="88">
        <f>SUM(D28:O28)</f>
        <v>-4722.2109999999984</v>
      </c>
      <c r="W28" s="33"/>
    </row>
    <row r="29" spans="1:23" ht="15.6" customHeight="1" thickBot="1" x14ac:dyDescent="0.35">
      <c r="A29" s="158" t="s">
        <v>81</v>
      </c>
      <c r="B29" s="159"/>
      <c r="C29" s="160"/>
      <c r="D29" s="59">
        <f>D3+D6+D7+(D15+IF(D17&gt;-50,D17,-50)+D19)</f>
        <v>205.6499166666664</v>
      </c>
      <c r="E29" s="59">
        <f>E3+E6+E7+(E15+IF(E17&gt;-50,E17,-50)+E19)</f>
        <v>145.33566666666627</v>
      </c>
      <c r="F29" s="59">
        <f t="shared" ref="F29:O29" si="19">F3+F6+F7+(F15+IF(F17&gt;-50,F17,-50)+F19)</f>
        <v>85.021416666666369</v>
      </c>
      <c r="G29" s="59">
        <f t="shared" si="19"/>
        <v>181.20716666666647</v>
      </c>
      <c r="H29" s="59">
        <f t="shared" si="19"/>
        <v>304.93291666666664</v>
      </c>
      <c r="I29" s="59">
        <f t="shared" si="19"/>
        <v>428.65866666666648</v>
      </c>
      <c r="J29" s="59">
        <f t="shared" si="19"/>
        <v>524.84441666666658</v>
      </c>
      <c r="K29" s="59">
        <f t="shared" si="19"/>
        <v>648.57016666666664</v>
      </c>
      <c r="L29" s="59">
        <f t="shared" si="19"/>
        <v>772.2959166666667</v>
      </c>
      <c r="M29" s="59">
        <f t="shared" si="19"/>
        <v>868.4816666666668</v>
      </c>
      <c r="N29" s="59">
        <f t="shared" si="19"/>
        <v>992.2074166666664</v>
      </c>
      <c r="O29" s="59">
        <f t="shared" si="19"/>
        <v>1115.933166666666</v>
      </c>
      <c r="P29" s="90"/>
    </row>
    <row r="30" spans="1:23" ht="15.6" customHeight="1" thickBot="1" x14ac:dyDescent="0.35">
      <c r="A30" s="158" t="s">
        <v>83</v>
      </c>
      <c r="B30" s="159"/>
      <c r="C30" s="160"/>
      <c r="D30" s="59">
        <f>D3+D8+(D15+IF(D17&gt;-150,D17,-150)+D19)</f>
        <v>1105.6499166666663</v>
      </c>
      <c r="E30" s="59">
        <f t="shared" ref="E30:O30" si="20">E3+E8+(E15+IF(E17&gt;-150,E17,-150)+E19)</f>
        <v>1045.3356666666664</v>
      </c>
      <c r="F30" s="59">
        <f t="shared" si="20"/>
        <v>985.02141666666648</v>
      </c>
      <c r="G30" s="59">
        <f t="shared" si="20"/>
        <v>1081.2071666666666</v>
      </c>
      <c r="H30" s="59">
        <f t="shared" si="20"/>
        <v>1204.9329166666666</v>
      </c>
      <c r="I30" s="59">
        <f t="shared" si="20"/>
        <v>1328.6586666666665</v>
      </c>
      <c r="J30" s="59">
        <f t="shared" si="20"/>
        <v>1424.8444166666666</v>
      </c>
      <c r="K30" s="59">
        <f t="shared" si="20"/>
        <v>1548.5701666666666</v>
      </c>
      <c r="L30" s="59">
        <f t="shared" si="20"/>
        <v>1672.2959166666667</v>
      </c>
      <c r="M30" s="59">
        <f t="shared" si="20"/>
        <v>1768.4816666666666</v>
      </c>
      <c r="N30" s="59">
        <f t="shared" si="20"/>
        <v>1892.2074166666662</v>
      </c>
      <c r="O30" s="59">
        <f t="shared" si="20"/>
        <v>2015.9331666666658</v>
      </c>
      <c r="P30" s="90"/>
      <c r="R30" s="33"/>
    </row>
    <row r="31" spans="1:23" ht="15.6" customHeight="1" thickBot="1" x14ac:dyDescent="0.35">
      <c r="A31" s="158" t="s">
        <v>82</v>
      </c>
      <c r="B31" s="159"/>
      <c r="C31" s="160"/>
      <c r="D31" s="59">
        <f>D3+D8+D20+D22</f>
        <v>899.27991666666628</v>
      </c>
      <c r="E31" s="59">
        <f>E3+E8+E20+E22</f>
        <v>838.96566666666638</v>
      </c>
      <c r="F31" s="59">
        <f t="shared" ref="F31:O31" si="21">F3+F8+F20+F22</f>
        <v>778.65141666666648</v>
      </c>
      <c r="G31" s="59">
        <f t="shared" si="21"/>
        <v>874.83716666666658</v>
      </c>
      <c r="H31" s="59">
        <f t="shared" si="21"/>
        <v>998.56291666666652</v>
      </c>
      <c r="I31" s="59">
        <f t="shared" si="21"/>
        <v>1122.2886666666666</v>
      </c>
      <c r="J31" s="59">
        <f t="shared" si="21"/>
        <v>1218.4744166666667</v>
      </c>
      <c r="K31" s="59">
        <f t="shared" si="21"/>
        <v>1342.2001666666667</v>
      </c>
      <c r="L31" s="59">
        <f t="shared" si="21"/>
        <v>1465.9259166666668</v>
      </c>
      <c r="M31" s="59">
        <f t="shared" si="21"/>
        <v>1562.1116666666665</v>
      </c>
      <c r="N31" s="59">
        <f t="shared" si="21"/>
        <v>1685.8374166666661</v>
      </c>
      <c r="O31" s="59">
        <f t="shared" si="21"/>
        <v>1809.5631666666657</v>
      </c>
      <c r="P31" s="90"/>
    </row>
    <row r="32" spans="1:23" ht="15" customHeight="1" thickBot="1" x14ac:dyDescent="0.35">
      <c r="A32" s="158" t="s">
        <v>47</v>
      </c>
      <c r="B32" s="159"/>
      <c r="C32" s="160"/>
      <c r="D32" s="59">
        <f t="shared" ref="D32:O32" si="22">D3+D8+D20+D28</f>
        <v>393.33566666666627</v>
      </c>
      <c r="E32" s="59">
        <f t="shared" si="22"/>
        <v>333.02141666666637</v>
      </c>
      <c r="F32" s="59">
        <f t="shared" si="22"/>
        <v>429.20716666666647</v>
      </c>
      <c r="G32" s="59">
        <f t="shared" si="22"/>
        <v>552.93291666666664</v>
      </c>
      <c r="H32" s="59">
        <f t="shared" si="22"/>
        <v>676.65866666666648</v>
      </c>
      <c r="I32" s="59">
        <f t="shared" si="22"/>
        <v>772.84441666666658</v>
      </c>
      <c r="J32" s="59">
        <f>J3+J8+J20+J28</f>
        <v>896.57016666666664</v>
      </c>
      <c r="K32" s="59">
        <f t="shared" si="22"/>
        <v>1020.2959166666667</v>
      </c>
      <c r="L32" s="93">
        <f t="shared" si="22"/>
        <v>1116.4816666666668</v>
      </c>
      <c r="M32" s="93">
        <f>M3+M8+M20+M28</f>
        <v>1240.2074166666664</v>
      </c>
      <c r="N32" s="59">
        <f t="shared" si="22"/>
        <v>1363.933166666666</v>
      </c>
      <c r="O32" s="59">
        <f t="shared" si="22"/>
        <v>1460.1189166666657</v>
      </c>
      <c r="P32" s="90">
        <f>D3+P8+P20+P28</f>
        <v>1460.11891666667</v>
      </c>
    </row>
    <row r="34" spans="4:15" x14ac:dyDescent="0.3">
      <c r="E34" s="27" t="s">
        <v>85</v>
      </c>
    </row>
    <row r="35" spans="4:15" x14ac:dyDescent="0.3">
      <c r="D35" s="33">
        <f>D21</f>
        <v>-531.41999999999996</v>
      </c>
      <c r="E35" s="157">
        <f>SUM(D35:D40)</f>
        <v>-707.32849999999996</v>
      </c>
      <c r="F35" s="156">
        <f>E35/2</f>
        <v>-353.66424999999998</v>
      </c>
      <c r="G35" s="156" t="s">
        <v>79</v>
      </c>
      <c r="H35" s="156">
        <f>SUM(D35:D36)</f>
        <v>-563.17999999999995</v>
      </c>
      <c r="I35" s="198">
        <f>F35-H35</f>
        <v>209.51574999999997</v>
      </c>
      <c r="J35" s="198">
        <f>SUM(I35:I37)</f>
        <v>25.475749999999977</v>
      </c>
      <c r="K35" s="196">
        <f>SUM(J35:J41)</f>
        <v>0</v>
      </c>
      <c r="M35" s="91" t="s">
        <v>87</v>
      </c>
      <c r="N35" s="101">
        <f>F21/2</f>
        <v>-265.70999999999998</v>
      </c>
      <c r="O35" s="101">
        <f>G21/2</f>
        <v>-265.70999999999998</v>
      </c>
    </row>
    <row r="36" spans="4:15" x14ac:dyDescent="0.3">
      <c r="D36" s="33">
        <f t="shared" ref="D36:D39" si="23">D22</f>
        <v>-31.760000000000005</v>
      </c>
      <c r="E36" s="156"/>
      <c r="F36" s="156"/>
      <c r="G36" s="156"/>
      <c r="H36" s="156"/>
      <c r="I36" s="198"/>
      <c r="J36" s="198"/>
      <c r="K36" s="197"/>
      <c r="L36" s="33"/>
      <c r="M36" s="101" t="s">
        <v>74</v>
      </c>
      <c r="N36" s="101">
        <f t="shared" ref="N36:O40" si="24">F22/2</f>
        <v>-15.880000000000003</v>
      </c>
      <c r="O36" s="101">
        <f t="shared" si="24"/>
        <v>-15.880000000000003</v>
      </c>
    </row>
    <row r="37" spans="4:15" x14ac:dyDescent="0.3">
      <c r="D37" s="33">
        <f t="shared" si="23"/>
        <v>-64</v>
      </c>
      <c r="E37" s="156"/>
      <c r="F37" s="156"/>
      <c r="G37" s="156"/>
      <c r="H37" s="156"/>
      <c r="I37" s="112">
        <f>-I41</f>
        <v>-184.04</v>
      </c>
      <c r="J37" s="198"/>
      <c r="K37" s="197"/>
      <c r="M37" s="91" t="s">
        <v>68</v>
      </c>
      <c r="N37" s="101">
        <f t="shared" si="24"/>
        <v>-32</v>
      </c>
      <c r="O37" s="101">
        <f t="shared" si="24"/>
        <v>-32</v>
      </c>
    </row>
    <row r="38" spans="4:15" x14ac:dyDescent="0.3">
      <c r="D38" s="33">
        <f t="shared" si="23"/>
        <v>-35</v>
      </c>
      <c r="E38" s="156"/>
      <c r="F38" s="156">
        <f>E35/2</f>
        <v>-353.66424999999998</v>
      </c>
      <c r="G38" s="156" t="s">
        <v>80</v>
      </c>
      <c r="H38" s="157">
        <f>SUM(D37:D40)</f>
        <v>-144.14850000000001</v>
      </c>
      <c r="I38" s="198">
        <f>F38-H38</f>
        <v>-209.51574999999997</v>
      </c>
      <c r="J38" s="198">
        <f>SUM(I38:I40)</f>
        <v>-209.51574999999997</v>
      </c>
      <c r="K38" s="197"/>
      <c r="M38" s="91" t="s">
        <v>69</v>
      </c>
      <c r="N38" s="101">
        <f t="shared" si="24"/>
        <v>-17.5</v>
      </c>
      <c r="O38" s="101">
        <f t="shared" si="24"/>
        <v>-17.5</v>
      </c>
    </row>
    <row r="39" spans="4:15" x14ac:dyDescent="0.3">
      <c r="D39" s="33">
        <f t="shared" si="23"/>
        <v>0</v>
      </c>
      <c r="E39" s="156"/>
      <c r="F39" s="156"/>
      <c r="G39" s="156"/>
      <c r="H39" s="157"/>
      <c r="I39" s="198"/>
      <c r="J39" s="198"/>
      <c r="K39" s="197"/>
      <c r="M39" s="91" t="s">
        <v>88</v>
      </c>
      <c r="N39" s="101">
        <f t="shared" si="24"/>
        <v>-27.54</v>
      </c>
      <c r="O39" s="101">
        <f t="shared" si="24"/>
        <v>0</v>
      </c>
    </row>
    <row r="40" spans="4:15" x14ac:dyDescent="0.3">
      <c r="D40" s="33">
        <f>D26</f>
        <v>-45.148499999999999</v>
      </c>
      <c r="E40" s="156"/>
      <c r="F40" s="156"/>
      <c r="G40" s="156"/>
      <c r="H40" s="157"/>
      <c r="I40" s="112">
        <v>0</v>
      </c>
      <c r="J40" s="198"/>
      <c r="K40" s="197"/>
      <c r="M40" s="91" t="s">
        <v>89</v>
      </c>
      <c r="N40" s="101">
        <f t="shared" si="24"/>
        <v>-22.574249999999999</v>
      </c>
      <c r="O40" s="101">
        <f t="shared" si="24"/>
        <v>-22.574249999999999</v>
      </c>
    </row>
    <row r="41" spans="4:15" x14ac:dyDescent="0.3">
      <c r="D41" s="33">
        <f>-(177.04+7)</f>
        <v>-184.04</v>
      </c>
      <c r="E41" s="102">
        <f>D41</f>
        <v>-184.04</v>
      </c>
      <c r="F41" s="102">
        <f>E41</f>
        <v>-184.04</v>
      </c>
      <c r="G41" s="111" t="s">
        <v>86</v>
      </c>
      <c r="H41" s="91"/>
      <c r="I41" s="112">
        <f>-F41</f>
        <v>184.04</v>
      </c>
      <c r="J41" s="112">
        <f>I41</f>
        <v>184.04</v>
      </c>
      <c r="K41" s="197"/>
      <c r="M41" s="114" t="s">
        <v>90</v>
      </c>
      <c r="N41" s="115">
        <f>SUM(N35:N40)</f>
        <v>-381.20425</v>
      </c>
      <c r="O41" s="115">
        <f>SUM(O35:O40)</f>
        <v>-353.66424999999998</v>
      </c>
    </row>
  </sheetData>
  <mergeCells count="26">
    <mergeCell ref="K35:K41"/>
    <mergeCell ref="E35:E40"/>
    <mergeCell ref="F35:F37"/>
    <mergeCell ref="F38:F40"/>
    <mergeCell ref="G35:G37"/>
    <mergeCell ref="G38:G40"/>
    <mergeCell ref="H35:H37"/>
    <mergeCell ref="H38:H40"/>
    <mergeCell ref="J35:J37"/>
    <mergeCell ref="J38:J40"/>
    <mergeCell ref="I38:I39"/>
    <mergeCell ref="I35:I36"/>
    <mergeCell ref="C5:C6"/>
    <mergeCell ref="A32:C32"/>
    <mergeCell ref="P1:P3"/>
    <mergeCell ref="D1:O1"/>
    <mergeCell ref="A1:C2"/>
    <mergeCell ref="A3:C3"/>
    <mergeCell ref="A4:B8"/>
    <mergeCell ref="A9:A28"/>
    <mergeCell ref="B21:B28"/>
    <mergeCell ref="B10:B14"/>
    <mergeCell ref="B15:B20"/>
    <mergeCell ref="A29:C29"/>
    <mergeCell ref="A30:C30"/>
    <mergeCell ref="A31:C31"/>
  </mergeCells>
  <conditionalFormatting sqref="D4:D28 E27:O28">
    <cfRule type="expression" dxfId="6" priority="24">
      <formula>TODAY() &gt; EOMONTH(DATE($D$1, MONTH(DATEVALUE("1 " &amp; $D$2)), 1), 0)</formula>
    </cfRule>
  </conditionalFormatting>
  <conditionalFormatting sqref="D29:O32">
    <cfRule type="cellIs" dxfId="5" priority="1" operator="lessThan">
      <formula>0</formula>
    </cfRule>
  </conditionalFormatting>
  <conditionalFormatting sqref="E4:O26">
    <cfRule type="expression" dxfId="4" priority="2">
      <formula>TODAY() &gt; EOMONTH(DATE($D$1, MONTH(DATEVALUE("1 " &amp; E$2)), 1), 0)</formula>
    </cfRule>
  </conditionalFormatting>
  <conditionalFormatting sqref="P8">
    <cfRule type="cellIs" dxfId="3" priority="30" operator="notEqual">
      <formula>SUM($P$4:$P$7)+SUM($P$9:$P$13)</formula>
    </cfRule>
  </conditionalFormatting>
  <conditionalFormatting sqref="P14">
    <cfRule type="cellIs" dxfId="2" priority="29" operator="notEqual">
      <formula>SUM($P$9:$P$13)</formula>
    </cfRule>
  </conditionalFormatting>
  <conditionalFormatting sqref="P20">
    <cfRule type="cellIs" dxfId="1" priority="28" operator="notEqual">
      <formula>SUM($P$15:$P$19)</formula>
    </cfRule>
  </conditionalFormatting>
  <conditionalFormatting sqref="P28">
    <cfRule type="cellIs" dxfId="0" priority="27" operator="notEqual">
      <formula>$P$21+$P$22+$P$27</formula>
    </cfRule>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livelihood_student</vt:lpstr>
      <vt:lpstr>livelihood_graduate</vt:lpstr>
      <vt:lpstr>CF_2024</vt:lpstr>
      <vt:lpstr>CF_2025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 Kosif</dc:creator>
  <cp:lastModifiedBy>Serhat Kosif</cp:lastModifiedBy>
  <dcterms:created xsi:type="dcterms:W3CDTF">2015-06-05T18:17:20Z</dcterms:created>
  <dcterms:modified xsi:type="dcterms:W3CDTF">2024-12-21T07:58:18Z</dcterms:modified>
</cp:coreProperties>
</file>