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Users\serko\workspace\excel-python\"/>
    </mc:Choice>
  </mc:AlternateContent>
  <xr:revisionPtr revIDLastSave="0" documentId="8_{32112FE4-B7D2-49B3-BF28-B101B86B46BF}" xr6:coauthVersionLast="47" xr6:coauthVersionMax="47" xr10:uidLastSave="{00000000-0000-0000-0000-000000000000}"/>
  <bookViews>
    <workbookView xWindow="1152" yWindow="1152" windowWidth="19260" windowHeight="10956" xr2:uid="{00000000-000D-0000-FFFF-FFFF00000000}"/>
  </bookViews>
  <sheets>
    <sheet name="Sheet1" sheetId="1" r:id="rId1"/>
  </sheets>
  <definedNames>
    <definedName name="_xlnm._FilterDatabase" localSheetId="0" hidden="1">Sheet1!$A$1:$AK$31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 l="1"/>
  <c r="Y14" i="1"/>
  <c r="V14" i="1"/>
  <c r="H14" i="1"/>
  <c r="I11" i="1" s="1"/>
  <c r="F14" i="1"/>
  <c r="AC23" i="1"/>
  <c r="C14" i="1"/>
  <c r="C15" i="1"/>
  <c r="AJ15" i="1"/>
  <c r="AD14" i="1"/>
  <c r="H13" i="1"/>
  <c r="H12" i="1"/>
  <c r="H11" i="1"/>
  <c r="I22" i="1"/>
  <c r="I17" i="1"/>
  <c r="I6" i="1" l="1"/>
  <c r="I8" i="1"/>
  <c r="H9" i="1"/>
  <c r="H8" i="1"/>
  <c r="H10" i="1"/>
  <c r="H7" i="1"/>
  <c r="H6" i="1"/>
  <c r="H5" i="1"/>
  <c r="I2" i="1"/>
  <c r="H4" i="1"/>
  <c r="H3" i="1"/>
  <c r="H2" i="1"/>
  <c r="V13" i="1"/>
  <c r="F13" i="1"/>
  <c r="Y13" i="1"/>
  <c r="C18" i="1"/>
  <c r="AE14" i="1"/>
  <c r="AK20" i="1"/>
  <c r="AK21" i="1"/>
  <c r="AK19" i="1"/>
  <c r="AK18" i="1"/>
  <c r="D14" i="1"/>
  <c r="T6" i="1"/>
  <c r="C10" i="1"/>
  <c r="N6" i="1"/>
  <c r="L6" i="1"/>
  <c r="AG14" i="1"/>
  <c r="AF14" i="1"/>
  <c r="F12" i="1"/>
  <c r="V12" i="1"/>
  <c r="Y12" i="1"/>
  <c r="C11" i="1"/>
  <c r="AH14" i="1"/>
  <c r="C13" i="1" l="1"/>
  <c r="Z22" i="1" l="1"/>
  <c r="W22" i="1"/>
  <c r="R22" i="1"/>
  <c r="Z17" i="1"/>
  <c r="R17" i="1"/>
  <c r="G22" i="1"/>
  <c r="O22" i="1" s="1"/>
  <c r="G17" i="1"/>
  <c r="O17" i="1" s="1"/>
  <c r="D23" i="1"/>
  <c r="J23" i="1" s="1"/>
  <c r="D24" i="1"/>
  <c r="J24" i="1" s="1"/>
  <c r="D25" i="1"/>
  <c r="J25" i="1" s="1"/>
  <c r="D26" i="1"/>
  <c r="J26" i="1" s="1"/>
  <c r="D21" i="1"/>
  <c r="J21" i="1" s="1"/>
  <c r="D20" i="1"/>
  <c r="J20" i="1" s="1"/>
  <c r="W17" i="1"/>
  <c r="V5" i="1"/>
  <c r="V4" i="1"/>
  <c r="V3" i="1"/>
  <c r="W2" i="1" s="1"/>
  <c r="V2" i="1"/>
  <c r="V10" i="1"/>
  <c r="V9" i="1"/>
  <c r="V8" i="1"/>
  <c r="W6" i="1" s="1"/>
  <c r="V7" i="1"/>
  <c r="V6" i="1"/>
  <c r="W11" i="1"/>
  <c r="R6" i="1"/>
  <c r="AK15" i="1"/>
  <c r="AK16" i="1"/>
  <c r="C9" i="1"/>
  <c r="D9" i="1"/>
  <c r="J9" i="1" s="1"/>
  <c r="V11" i="1"/>
  <c r="R11" i="1"/>
  <c r="F11" i="1"/>
  <c r="G11" i="1" s="1"/>
  <c r="O11" i="1" s="1"/>
  <c r="Y11" i="1"/>
  <c r="Z11" i="1" s="1"/>
  <c r="Y10" i="1"/>
  <c r="F10" i="1"/>
  <c r="AK14" i="1"/>
  <c r="C12" i="1"/>
  <c r="D12" i="1" s="1"/>
  <c r="J12" i="1" s="1"/>
  <c r="AK13" i="1"/>
  <c r="AK12" i="1"/>
  <c r="F9" i="1"/>
  <c r="Y9" i="1"/>
  <c r="AK11" i="1"/>
  <c r="D11" i="1"/>
  <c r="J11" i="1" s="1"/>
  <c r="D10" i="1"/>
  <c r="J10" i="1" s="1"/>
  <c r="C8" i="1"/>
  <c r="D8" i="1"/>
  <c r="J8" i="1" s="1"/>
  <c r="AK9" i="1"/>
  <c r="Y8" i="1"/>
  <c r="F8" i="1"/>
  <c r="Y7" i="1"/>
  <c r="F7" i="1"/>
  <c r="G6" i="1" s="1"/>
  <c r="O6" i="1" s="1"/>
  <c r="C7" i="1"/>
  <c r="D7" i="1" s="1"/>
  <c r="J7" i="1" s="1"/>
  <c r="P2" i="1"/>
  <c r="M2" i="1"/>
  <c r="L2" i="1"/>
  <c r="C4" i="1"/>
  <c r="D4" i="1" s="1"/>
  <c r="J4" i="1" s="1"/>
  <c r="F6" i="1"/>
  <c r="Y6" i="1"/>
  <c r="R2" i="1"/>
  <c r="C6" i="1"/>
  <c r="D6" i="1" s="1"/>
  <c r="F5" i="1"/>
  <c r="F4" i="1"/>
  <c r="F3" i="1"/>
  <c r="F2" i="1"/>
  <c r="C5" i="1"/>
  <c r="D5" i="1"/>
  <c r="J5" i="1" s="1"/>
  <c r="Y5" i="1"/>
  <c r="Y2" i="1"/>
  <c r="Y3" i="1"/>
  <c r="Y4" i="1"/>
  <c r="Z2" i="1" s="1"/>
  <c r="D18" i="1"/>
  <c r="J18" i="1"/>
  <c r="D19" i="1"/>
  <c r="J19" i="1" s="1"/>
  <c r="D22" i="1"/>
  <c r="J22" i="1" s="1"/>
  <c r="J14" i="1"/>
  <c r="D15" i="1"/>
  <c r="J15" i="1" s="1"/>
  <c r="D16" i="1"/>
  <c r="J16" i="1" s="1"/>
  <c r="D17" i="1"/>
  <c r="J17" i="1" s="1"/>
  <c r="C2" i="1"/>
  <c r="D2" i="1" s="1"/>
  <c r="C3" i="1"/>
  <c r="D3" i="1"/>
  <c r="J3" i="1" s="1"/>
  <c r="D13" i="1"/>
  <c r="K22" i="1" l="1"/>
  <c r="G2" i="1"/>
  <c r="O2" i="1" s="1"/>
  <c r="Z6" i="1"/>
  <c r="E22" i="1"/>
  <c r="E2" i="1"/>
  <c r="Q2" i="1" s="1"/>
  <c r="J2" i="1"/>
  <c r="K2" i="1" s="1"/>
  <c r="J6" i="1"/>
  <c r="K6" i="1" s="1"/>
  <c r="E6" i="1"/>
  <c r="Q6" i="1" s="1"/>
  <c r="E17" i="1"/>
  <c r="K17" i="1"/>
  <c r="E11" i="1"/>
  <c r="L11" i="1" s="1"/>
  <c r="J13" i="1"/>
  <c r="S6" i="1" l="1"/>
  <c r="U6" i="1" s="1"/>
  <c r="X6" i="1" s="1"/>
  <c r="AA6" i="1" s="1"/>
  <c r="Q22" i="1"/>
  <c r="L22" i="1"/>
  <c r="K11" i="1"/>
  <c r="Q17" i="1"/>
  <c r="L17" i="1"/>
  <c r="Q11" i="1"/>
  <c r="S2" i="1"/>
  <c r="U2" i="1" s="1"/>
  <c r="X2" i="1" s="1"/>
  <c r="AA2" i="1" s="1"/>
  <c r="S22" i="1" l="1"/>
  <c r="T22" i="1" s="1"/>
  <c r="U22" i="1" s="1"/>
  <c r="X22" i="1" s="1"/>
  <c r="AA22" i="1" s="1"/>
  <c r="S11" i="1"/>
  <c r="T11" i="1" s="1"/>
  <c r="U11" i="1" s="1"/>
  <c r="X11" i="1" s="1"/>
  <c r="AA11" i="1" s="1"/>
  <c r="S17" i="1"/>
  <c r="T17" i="1" s="1"/>
  <c r="U17" i="1" s="1"/>
  <c r="X17" i="1" s="1"/>
  <c r="AA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Serhat Kosif</author>
    <author>tc={AA0EC779-D694-7B47-B4F9-3C2E282D6EDB}</author>
  </authors>
  <commentList>
    <comment ref="C1" authorId="0" shapeId="0" xr:uid="{069C07F8-561B-46FD-85E6-0CC1AE7A8AFC}">
      <text>
        <r>
          <rPr>
            <b/>
            <sz val="9"/>
            <color indexed="81"/>
            <rFont val="Tahoma"/>
            <charset val="1"/>
          </rPr>
          <t>Serhat Kosif:</t>
        </r>
        <r>
          <rPr>
            <sz val="9"/>
            <color indexed="81"/>
            <rFont val="Tahoma"/>
            <charset val="1"/>
          </rPr>
          <t xml:space="preserve">
giving 125% of the min. contract hours number. In my case, it is 25 hours but system displays it 28 hours for me acc. to phone conversation with hub coordination office.
Overtimes are counted btw shift ending and last delivery for remote drivers. They are counted btw shift ending and arrival to HUB for HUB drivers.</t>
        </r>
      </text>
    </comment>
    <comment ref="D1" authorId="0" shapeId="0" xr:uid="{CFA76206-9524-4385-8BE6-1DA9691A5102}">
      <text>
        <r>
          <rPr>
            <b/>
            <sz val="9"/>
            <color indexed="81"/>
            <rFont val="Tahoma"/>
            <charset val="1"/>
          </rPr>
          <t>Serhat Kosif:</t>
        </r>
        <r>
          <rPr>
            <sz val="9"/>
            <color indexed="81"/>
            <rFont val="Tahoma"/>
            <charset val="1"/>
          </rPr>
          <t xml:space="preserve">
usual opening hours (from 8:00 a.m. to 11:30 p.m.) - those are for customers.
in case demand of morning shifts, request starting from 10:30 - 11:00</t>
        </r>
      </text>
    </comment>
    <comment ref="J1" authorId="0" shapeId="0" xr:uid="{248B326D-A3AD-4074-A854-899642F3725D}">
      <text>
        <r>
          <rPr>
            <b/>
            <sz val="9"/>
            <color indexed="81"/>
            <rFont val="Tahoma"/>
            <charset val="1"/>
          </rPr>
          <t>Serhat Kosif:</t>
        </r>
        <r>
          <rPr>
            <sz val="9"/>
            <color indexed="81"/>
            <rFont val="Tahoma"/>
            <charset val="1"/>
          </rPr>
          <t xml:space="preserve">
salaries are paid btw the first 8-10 days each month</t>
        </r>
      </text>
    </comment>
    <comment ref="R1" authorId="0" shapeId="0" xr:uid="{C910A386-9298-4F0D-967E-216C26E9982A}">
      <text>
        <r>
          <rPr>
            <b/>
            <sz val="9"/>
            <color indexed="81"/>
            <rFont val="Tahoma"/>
            <family val="2"/>
          </rPr>
          <t>Serhat Kosif:</t>
        </r>
        <r>
          <rPr>
            <sz val="9"/>
            <color indexed="81"/>
            <rFont val="Tahoma"/>
            <family val="2"/>
          </rPr>
          <t xml:space="preserve">
bike: 0.14 €/km
scooter: 20 €/km
car: 30 €/km</t>
        </r>
      </text>
    </comment>
    <comment ref="I2" authorId="1" shapeId="0" xr:uid="{AA0EC779-D694-7B47-B4F9-3C2E282D6EDB}">
      <text>
        <t>[Threaded comment]
Your version of Excel allows you to read this threaded comment; however, any edits to it will get removed if the file is opened in a newer version of Excel. Learn more: https://go.microsoft.com/fwlink/?linkid=870924
Comment:
    with HUB e-bike</t>
      </text>
    </comment>
    <comment ref="C4" authorId="0" shapeId="0" xr:uid="{95ED61C5-FC0E-45E0-92F9-7AD2E778C5A7}">
      <text>
        <r>
          <rPr>
            <b/>
            <sz val="9"/>
            <color indexed="81"/>
            <rFont val="Tahoma"/>
            <charset val="1"/>
          </rPr>
          <t>Serhat Kosif:</t>
        </r>
        <r>
          <rPr>
            <sz val="9"/>
            <color indexed="81"/>
            <rFont val="Tahoma"/>
            <charset val="1"/>
          </rPr>
          <t xml:space="preserve">
18 mins added for bike inspection</t>
        </r>
      </text>
    </comment>
    <comment ref="I6" authorId="0" shapeId="0" xr:uid="{43AA45F9-1618-4EA1-9BBA-4B036A67B958}">
      <text>
        <r>
          <rPr>
            <b/>
            <sz val="9"/>
            <color indexed="81"/>
            <rFont val="Tahoma"/>
            <family val="2"/>
          </rPr>
          <t>Serhat Kosif:</t>
        </r>
        <r>
          <rPr>
            <sz val="9"/>
            <color indexed="81"/>
            <rFont val="Tahoma"/>
            <family val="2"/>
          </rPr>
          <t xml:space="preserve">
with HUB e-bike</t>
        </r>
      </text>
    </comment>
    <comment ref="R6" authorId="0" shapeId="0" xr:uid="{FF1D21D5-7D11-4496-88DD-435AB43F250D}">
      <text>
        <r>
          <rPr>
            <b/>
            <sz val="9"/>
            <color indexed="81"/>
            <rFont val="Tahoma"/>
            <family val="2"/>
          </rPr>
          <t>Serhat Kosif:</t>
        </r>
        <r>
          <rPr>
            <sz val="9"/>
            <color indexed="81"/>
            <rFont val="Tahoma"/>
            <family val="2"/>
          </rPr>
          <t xml:space="preserve">
this was paid as 13.66€ and the remained was paid in stundenlohn and business trip</t>
        </r>
      </text>
    </comment>
    <comment ref="F7" authorId="0" shapeId="0" xr:uid="{8B471768-2597-434D-86B7-1F32416D9377}">
      <text>
        <r>
          <rPr>
            <b/>
            <sz val="9"/>
            <color indexed="81"/>
            <rFont val="Tahoma"/>
            <charset val="1"/>
          </rPr>
          <t>Serhat Kosif:</t>
        </r>
        <r>
          <rPr>
            <sz val="9"/>
            <color indexed="81"/>
            <rFont val="Tahoma"/>
            <charset val="1"/>
          </rPr>
          <t xml:space="preserve">
one job was cancelled on November 8th but it is still considered for the bonus calculation</t>
        </r>
      </text>
    </comment>
    <comment ref="F8" authorId="0" shapeId="0" xr:uid="{62586C94-CBBD-48EF-B1C4-AB56E6F2A1F5}">
      <text>
        <r>
          <rPr>
            <b/>
            <sz val="9"/>
            <color indexed="81"/>
            <rFont val="Tahoma"/>
            <charset val="1"/>
          </rPr>
          <t>Serhat Kosif:</t>
        </r>
        <r>
          <rPr>
            <sz val="9"/>
            <color indexed="81"/>
            <rFont val="Tahoma"/>
            <charset val="1"/>
          </rPr>
          <t xml:space="preserve">
one order was cancelled by the customer on the last day?</t>
        </r>
      </text>
    </comment>
    <comment ref="I8" authorId="0" shapeId="0" xr:uid="{14B64280-12AC-42E0-8F11-9D86D72CC8E9}">
      <text>
        <r>
          <rPr>
            <b/>
            <sz val="9"/>
            <color indexed="81"/>
            <rFont val="Tahoma"/>
            <charset val="1"/>
          </rPr>
          <t>Serhat Kosif:</t>
        </r>
        <r>
          <rPr>
            <sz val="9"/>
            <color indexed="81"/>
            <rFont val="Tahoma"/>
            <charset val="1"/>
          </rPr>
          <t xml:space="preserve">
with own bike
on 24th, switched to e-bike for one day. 34,8km is from that day.
-5.2km, as correction add-on</t>
        </r>
      </text>
    </comment>
    <comment ref="AC15" authorId="0" shapeId="0" xr:uid="{D181AB40-CCF4-476E-824F-1B34356DF9F7}">
      <text>
        <r>
          <rPr>
            <b/>
            <sz val="9"/>
            <color indexed="81"/>
            <rFont val="Tahoma"/>
            <charset val="1"/>
          </rPr>
          <t>Serhat Kosif:</t>
        </r>
        <r>
          <rPr>
            <sz val="9"/>
            <color indexed="81"/>
            <rFont val="Tahoma"/>
            <charset val="1"/>
          </rPr>
          <t xml:space="preserve">
submit availabilities in the Scoober app by Tuesday, December 17, 2024.</t>
        </r>
      </text>
    </comment>
    <comment ref="AE15" authorId="0" shapeId="0" xr:uid="{0C515F12-640C-4778-A49A-B724F59B199B}">
      <text>
        <r>
          <rPr>
            <b/>
            <sz val="9"/>
            <color indexed="81"/>
            <rFont val="Tahoma"/>
            <charset val="1"/>
          </rPr>
          <t>Serhat Kosif:</t>
        </r>
        <r>
          <rPr>
            <sz val="9"/>
            <color indexed="81"/>
            <rFont val="Tahoma"/>
            <charset val="1"/>
          </rPr>
          <t xml:space="preserve">
lieferando is closed, no shift planning.</t>
        </r>
      </text>
    </comment>
    <comment ref="AF15" authorId="0" shapeId="0" xr:uid="{0B3E9652-EC1D-417C-A13B-B0F1AD41B940}">
      <text>
        <r>
          <rPr>
            <b/>
            <sz val="9"/>
            <color indexed="81"/>
            <rFont val="Tahoma"/>
            <charset val="1"/>
          </rPr>
          <t>Serhat Kosif:</t>
        </r>
        <r>
          <rPr>
            <sz val="9"/>
            <color indexed="81"/>
            <rFont val="Tahoma"/>
            <charset val="1"/>
          </rPr>
          <t xml:space="preserve">
25% surcharge on the hourly wage</t>
        </r>
      </text>
    </comment>
    <comment ref="AG15" authorId="0" shapeId="0" xr:uid="{BD7ED76F-15EA-40D8-A25B-F15D855F15F5}">
      <text>
        <r>
          <rPr>
            <b/>
            <sz val="9"/>
            <color indexed="81"/>
            <rFont val="Tahoma"/>
            <charset val="1"/>
          </rPr>
          <t>Serhat Kosif:</t>
        </r>
        <r>
          <rPr>
            <sz val="9"/>
            <color indexed="81"/>
            <rFont val="Tahoma"/>
            <charset val="1"/>
          </rPr>
          <t xml:space="preserve">
25% surcharge on the hourly wage</t>
        </r>
      </text>
    </comment>
    <comment ref="AC16" authorId="0" shapeId="0" xr:uid="{B8C66028-90A6-4861-ADA9-2B6AEE9859A9}">
      <text>
        <r>
          <rPr>
            <b/>
            <sz val="9"/>
            <color indexed="81"/>
            <rFont val="Tahoma"/>
            <charset val="1"/>
          </rPr>
          <t>Serhat Kosif:</t>
        </r>
        <r>
          <rPr>
            <sz val="9"/>
            <color indexed="81"/>
            <rFont val="Tahoma"/>
            <charset val="1"/>
          </rPr>
          <t xml:space="preserve">
submit availabilities in the Scoober app by Tuesday, December 17, 2024.</t>
        </r>
      </text>
    </comment>
    <comment ref="AE16" authorId="0" shapeId="0" xr:uid="{E486D199-1133-486E-8B1B-8A07EF890366}">
      <text>
        <r>
          <rPr>
            <b/>
            <sz val="9"/>
            <color indexed="81"/>
            <rFont val="Tahoma"/>
            <charset val="1"/>
          </rPr>
          <t>Serhat Kosif:</t>
        </r>
        <r>
          <rPr>
            <sz val="9"/>
            <color indexed="81"/>
            <rFont val="Tahoma"/>
            <charset val="1"/>
          </rPr>
          <t xml:space="preserve">
lieferando is closed, no shift planning.</t>
        </r>
      </text>
    </comment>
    <comment ref="AF16" authorId="0" shapeId="0" xr:uid="{E5C7D943-642E-4510-AC0E-519AE131018C}">
      <text>
        <r>
          <rPr>
            <b/>
            <sz val="9"/>
            <color indexed="81"/>
            <rFont val="Tahoma"/>
            <charset val="1"/>
          </rPr>
          <t>Serhat Kosif:</t>
        </r>
        <r>
          <rPr>
            <sz val="9"/>
            <color indexed="81"/>
            <rFont val="Tahoma"/>
            <charset val="1"/>
          </rPr>
          <t xml:space="preserve">
50% surcharge on the hourly wage</t>
        </r>
      </text>
    </comment>
    <comment ref="AC18" authorId="0" shapeId="0" xr:uid="{9746DAD3-3D47-41AC-BD08-8ECDD8F18010}">
      <text>
        <r>
          <rPr>
            <b/>
            <sz val="9"/>
            <color indexed="81"/>
            <rFont val="Tahoma"/>
            <charset val="1"/>
          </rPr>
          <t>Serhat Kosif:</t>
        </r>
        <r>
          <rPr>
            <sz val="9"/>
            <color indexed="81"/>
            <rFont val="Tahoma"/>
            <charset val="1"/>
          </rPr>
          <t xml:space="preserve">
submit availabilities in the Scoober app by Tuesday, December 17, 2024.</t>
        </r>
      </text>
    </comment>
    <comment ref="AC23" authorId="0" shapeId="0" xr:uid="{16DEF3C8-F128-4331-B07F-40041B54254F}">
      <text>
        <r>
          <rPr>
            <b/>
            <sz val="9"/>
            <color indexed="81"/>
            <rFont val="Tahoma"/>
            <charset val="1"/>
          </rPr>
          <t>Serhat Kosif:</t>
        </r>
        <r>
          <rPr>
            <sz val="9"/>
            <color indexed="81"/>
            <rFont val="Tahoma"/>
            <charset val="1"/>
          </rPr>
          <t xml:space="preserve">
holiday payment assumtion.
Normally, Sick and holiday payment:
● Average of the last 13 weeks 
</t>
        </r>
      </text>
    </comment>
  </commentList>
</comments>
</file>

<file path=xl/sharedStrings.xml><?xml version="1.0" encoding="utf-8"?>
<sst xmlns="http://schemas.openxmlformats.org/spreadsheetml/2006/main" count="56" uniqueCount="54">
  <si>
    <t>October</t>
  </si>
  <si>
    <t>November</t>
  </si>
  <si>
    <t>Week 41</t>
  </si>
  <si>
    <t>Week 42</t>
  </si>
  <si>
    <t>Week 43</t>
  </si>
  <si>
    <t>Week 44</t>
  </si>
  <si>
    <t>Week 45</t>
  </si>
  <si>
    <t>Week 46</t>
  </si>
  <si>
    <t>Week 47</t>
  </si>
  <si>
    <t>Week 48</t>
  </si>
  <si>
    <t>Week 49</t>
  </si>
  <si>
    <t>Week 50</t>
  </si>
  <si>
    <t>minutes</t>
  </si>
  <si>
    <t>hours</t>
  </si>
  <si>
    <t>wage</t>
  </si>
  <si>
    <t>cash tips</t>
  </si>
  <si>
    <t>total</t>
  </si>
  <si>
    <t>subtotal</t>
  </si>
  <si>
    <t>Week 51</t>
  </si>
  <si>
    <t>Week 52</t>
  </si>
  <si>
    <t>Week 1</t>
  </si>
  <si>
    <t>December</t>
  </si>
  <si>
    <t>January</t>
  </si>
  <si>
    <t>2024 -2025</t>
  </si>
  <si>
    <t>Week 2</t>
  </si>
  <si>
    <t>Week 3</t>
  </si>
  <si>
    <t>Week 4</t>
  </si>
  <si>
    <t>jobs</t>
  </si>
  <si>
    <t>bonus</t>
  </si>
  <si>
    <t>km</t>
  </si>
  <si>
    <t>cleaning time (Reinigungszeit)</t>
  </si>
  <si>
    <t>introduction (Unterweisung)</t>
  </si>
  <si>
    <t>Mindeststunden</t>
  </si>
  <si>
    <t>Handy- Nutzung</t>
  </si>
  <si>
    <t>Gesamt-Brutto</t>
  </si>
  <si>
    <t>trinkgeld</t>
  </si>
  <si>
    <t>mon</t>
  </si>
  <si>
    <t>tue</t>
  </si>
  <si>
    <t>wed</t>
  </si>
  <si>
    <t>thu</t>
  </si>
  <si>
    <t>fri</t>
  </si>
  <si>
    <t>sat</t>
  </si>
  <si>
    <t>sun</t>
  </si>
  <si>
    <t>week</t>
  </si>
  <si>
    <t>Week 5</t>
  </si>
  <si>
    <t>February</t>
  </si>
  <si>
    <t>Week 6</t>
  </si>
  <si>
    <t>Week 7</t>
  </si>
  <si>
    <t>Week 8</t>
  </si>
  <si>
    <t>Week 9</t>
  </si>
  <si>
    <t>March</t>
  </si>
  <si>
    <t>vehicle check</t>
  </si>
  <si>
    <t>Bike</t>
  </si>
  <si>
    <t>insurance, tax, 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</si>
</sst>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quot;€&quot;"/>
    <numFmt numFmtId="165" formatCode="#,##0.0"/>
    <numFmt numFmtId="166" formatCode="#,##0.000\ &quot;€&quot;"/>
    <numFmt numFmtId="167" formatCode="0.0"/>
  </numFmts>
  <fonts count="7"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right style="thin">
        <color auto="1"/>
      </right>
      <top style="thin">
        <color auto="1"/>
      </top>
      <bottom style="medium">
        <color auto="1"/>
      </bottom>
      <diagonal/>
    </border>
    <border>
      <left/>
      <right style="thin">
        <color auto="1"/>
      </right>
      <top style="thin">
        <color auto="1"/>
      </top>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top/>
      <bottom/>
      <diagonal/>
    </border>
    <border>
      <left style="thin">
        <color auto="1"/>
      </left>
      <right/>
      <top/>
      <bottom style="medium">
        <color auto="1"/>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
    <xf numFmtId="0" fontId="0" fillId="0" borderId="0"/>
  </cellStyleXfs>
  <cellXfs count="146">
    <xf numFmtId="0" fontId="0" fillId="0" borderId="0" xfId="0"/>
    <xf numFmtId="0" fontId="0" fillId="0" borderId="0" xfId="0" applyAlignment="1">
      <alignment horizontal="center" vertical="center"/>
    </xf>
    <xf numFmtId="0" fontId="0" fillId="0" borderId="0" xfId="0" applyAlignment="1">
      <alignment horizontal="left" vertical="center"/>
    </xf>
    <xf numFmtId="2" fontId="0" fillId="0" borderId="1" xfId="0" applyNumberFormat="1" applyBorder="1" applyAlignment="1">
      <alignment horizontal="center" vertical="center"/>
    </xf>
    <xf numFmtId="0" fontId="0" fillId="0" borderId="9" xfId="0" applyBorder="1" applyAlignment="1">
      <alignment horizontal="center" vertical="center"/>
    </xf>
    <xf numFmtId="2" fontId="0" fillId="0" borderId="4" xfId="0" applyNumberFormat="1" applyBorder="1" applyAlignment="1">
      <alignment horizontal="center" vertical="center"/>
    </xf>
    <xf numFmtId="2" fontId="0" fillId="0" borderId="6" xfId="0" applyNumberFormat="1" applyBorder="1" applyAlignment="1">
      <alignment horizontal="center" vertical="center"/>
    </xf>
    <xf numFmtId="2" fontId="0" fillId="0" borderId="8" xfId="0" applyNumberFormat="1" applyBorder="1" applyAlignment="1">
      <alignment horizontal="center" vertical="center"/>
    </xf>
    <xf numFmtId="2" fontId="0" fillId="0" borderId="2" xfId="0" applyNumberFormat="1" applyBorder="1" applyAlignment="1">
      <alignment horizontal="center" vertical="center"/>
    </xf>
    <xf numFmtId="1" fontId="0" fillId="0" borderId="8" xfId="0" applyNumberFormat="1" applyBorder="1" applyAlignment="1">
      <alignment horizontal="center" vertical="center"/>
    </xf>
    <xf numFmtId="1" fontId="0" fillId="0" borderId="1" xfId="0" applyNumberFormat="1" applyBorder="1" applyAlignment="1">
      <alignment horizontal="center" vertical="center"/>
    </xf>
    <xf numFmtId="1" fontId="0" fillId="0" borderId="6" xfId="0" applyNumberFormat="1" applyBorder="1" applyAlignment="1">
      <alignment horizontal="center" vertical="center"/>
    </xf>
    <xf numFmtId="0" fontId="1" fillId="2" borderId="7" xfId="0" applyFont="1" applyFill="1" applyBorder="1" applyAlignment="1">
      <alignment horizontal="center" vertical="center" wrapText="1"/>
    </xf>
    <xf numFmtId="0" fontId="1" fillId="2" borderId="21" xfId="0" applyFont="1"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164" fontId="0" fillId="0" borderId="31" xfId="0" applyNumberFormat="1" applyBorder="1" applyAlignment="1">
      <alignment horizontal="center" vertical="center"/>
    </xf>
    <xf numFmtId="164" fontId="0" fillId="0" borderId="32" xfId="0" applyNumberFormat="1" applyBorder="1" applyAlignment="1">
      <alignment horizontal="center" vertical="center"/>
    </xf>
    <xf numFmtId="164" fontId="0" fillId="0" borderId="33" xfId="0" applyNumberFormat="1" applyBorder="1" applyAlignment="1">
      <alignment horizontal="center" vertical="center"/>
    </xf>
    <xf numFmtId="164" fontId="0" fillId="0" borderId="34" xfId="0" applyNumberFormat="1" applyBorder="1" applyAlignment="1">
      <alignment horizontal="center" vertical="center"/>
    </xf>
    <xf numFmtId="164" fontId="0" fillId="0" borderId="35" xfId="0" applyNumberFormat="1" applyBorder="1" applyAlignment="1">
      <alignment horizontal="center" vertical="center"/>
    </xf>
    <xf numFmtId="0" fontId="1" fillId="2" borderId="18" xfId="0" applyFont="1" applyFill="1" applyBorder="1" applyAlignment="1">
      <alignment horizontal="center" vertical="center"/>
    </xf>
    <xf numFmtId="164" fontId="0" fillId="0" borderId="9" xfId="0" applyNumberFormat="1" applyBorder="1" applyAlignment="1">
      <alignment horizontal="center" vertical="center"/>
    </xf>
    <xf numFmtId="164" fontId="0" fillId="0" borderId="5" xfId="0" applyNumberFormat="1" applyBorder="1" applyAlignment="1">
      <alignment horizontal="center" vertical="center"/>
    </xf>
    <xf numFmtId="164" fontId="0" fillId="0" borderId="13" xfId="0" applyNumberFormat="1" applyBorder="1" applyAlignment="1">
      <alignment horizontal="center" vertical="center"/>
    </xf>
    <xf numFmtId="164" fontId="0" fillId="0" borderId="14" xfId="0" applyNumberFormat="1" applyBorder="1" applyAlignment="1">
      <alignment horizontal="center" vertical="center"/>
    </xf>
    <xf numFmtId="164" fontId="0" fillId="0" borderId="12" xfId="0" applyNumberFormat="1" applyBorder="1" applyAlignment="1">
      <alignment horizontal="center" vertical="center"/>
    </xf>
    <xf numFmtId="0" fontId="0" fillId="0" borderId="0" xfId="0" applyAlignment="1">
      <alignment vertical="center"/>
    </xf>
    <xf numFmtId="0" fontId="1" fillId="3" borderId="22"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2" xfId="0" applyFont="1" applyFill="1" applyBorder="1" applyAlignment="1">
      <alignment horizontal="center" vertical="center"/>
    </xf>
    <xf numFmtId="0" fontId="1" fillId="3" borderId="42" xfId="0" applyFont="1" applyFill="1" applyBorder="1" applyAlignment="1">
      <alignment horizontal="center" vertical="center"/>
    </xf>
    <xf numFmtId="165" fontId="0" fillId="0" borderId="0" xfId="0" applyNumberFormat="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3" borderId="21" xfId="0" applyFont="1" applyFill="1" applyBorder="1" applyAlignment="1">
      <alignment horizontal="center" vertical="center" wrapText="1"/>
    </xf>
    <xf numFmtId="0" fontId="1" fillId="3" borderId="7" xfId="0" applyFont="1" applyFill="1" applyBorder="1" applyAlignment="1">
      <alignment horizontal="center" vertical="center" wrapText="1"/>
    </xf>
    <xf numFmtId="164" fontId="0" fillId="0" borderId="25" xfId="0" applyNumberFormat="1" applyBorder="1" applyAlignment="1">
      <alignment horizontal="center" vertical="center"/>
    </xf>
    <xf numFmtId="20" fontId="0" fillId="4" borderId="1" xfId="0" applyNumberFormat="1" applyFill="1" applyBorder="1" applyAlignment="1">
      <alignment horizontal="center" vertical="center"/>
    </xf>
    <xf numFmtId="164" fontId="0" fillId="0" borderId="34" xfId="0" applyNumberFormat="1" applyBorder="1" applyAlignment="1">
      <alignment vertical="center"/>
    </xf>
    <xf numFmtId="164" fontId="0" fillId="0" borderId="32" xfId="0" applyNumberFormat="1" applyBorder="1" applyAlignment="1">
      <alignment vertical="center"/>
    </xf>
    <xf numFmtId="164" fontId="0" fillId="0" borderId="35" xfId="0" applyNumberFormat="1" applyBorder="1" applyAlignment="1">
      <alignment vertical="center"/>
    </xf>
    <xf numFmtId="164" fontId="0" fillId="0" borderId="33" xfId="0" applyNumberFormat="1" applyBorder="1" applyAlignment="1">
      <alignment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1" fontId="0" fillId="0" borderId="12" xfId="0" applyNumberFormat="1" applyBorder="1" applyAlignment="1">
      <alignment horizontal="center" vertical="center"/>
    </xf>
    <xf numFmtId="1" fontId="0" fillId="0" borderId="34" xfId="0" applyNumberFormat="1" applyBorder="1" applyAlignment="1">
      <alignment horizontal="center" vertical="center"/>
    </xf>
    <xf numFmtId="164" fontId="0" fillId="0" borderId="0" xfId="0" applyNumberFormat="1" applyAlignment="1">
      <alignment horizontal="center" vertical="center"/>
    </xf>
    <xf numFmtId="20" fontId="0" fillId="5" borderId="1" xfId="0" applyNumberFormat="1" applyFill="1" applyBorder="1" applyAlignment="1">
      <alignment horizontal="center" vertical="center"/>
    </xf>
    <xf numFmtId="0" fontId="0" fillId="6" borderId="1" xfId="0" applyFill="1" applyBorder="1" applyAlignment="1">
      <alignment horizontal="center" vertical="center"/>
    </xf>
    <xf numFmtId="20" fontId="0" fillId="6" borderId="1" xfId="0" applyNumberFormat="1" applyFill="1" applyBorder="1" applyAlignment="1">
      <alignment horizontal="center" vertical="center"/>
    </xf>
    <xf numFmtId="167" fontId="0" fillId="0" borderId="8" xfId="0" applyNumberFormat="1" applyBorder="1" applyAlignment="1">
      <alignment horizontal="center" vertical="center"/>
    </xf>
    <xf numFmtId="167" fontId="0" fillId="0" borderId="1" xfId="0" applyNumberFormat="1" applyBorder="1" applyAlignment="1">
      <alignment horizontal="center" vertical="center"/>
    </xf>
    <xf numFmtId="167" fontId="0" fillId="0" borderId="6" xfId="0" applyNumberFormat="1" applyBorder="1" applyAlignment="1">
      <alignment horizontal="center" vertical="center"/>
    </xf>
    <xf numFmtId="167" fontId="0" fillId="0" borderId="50" xfId="0" applyNumberFormat="1" applyBorder="1" applyAlignment="1">
      <alignment horizontal="center" vertical="center"/>
    </xf>
    <xf numFmtId="167" fontId="0" fillId="0" borderId="51" xfId="0" applyNumberFormat="1" applyBorder="1" applyAlignment="1">
      <alignment horizontal="center" vertical="center"/>
    </xf>
    <xf numFmtId="167" fontId="0" fillId="0" borderId="52" xfId="0" applyNumberFormat="1" applyBorder="1" applyAlignment="1">
      <alignment horizontal="center" vertical="center"/>
    </xf>
    <xf numFmtId="167" fontId="0" fillId="0" borderId="0" xfId="0" applyNumberFormat="1" applyAlignment="1">
      <alignment horizontal="center" vertical="center"/>
    </xf>
    <xf numFmtId="164" fontId="0" fillId="0" borderId="25" xfId="0" applyNumberFormat="1"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164" fontId="0" fillId="0" borderId="15" xfId="0" applyNumberFormat="1" applyBorder="1" applyAlignment="1">
      <alignment horizontal="center" vertical="center"/>
    </xf>
    <xf numFmtId="164" fontId="0" fillId="0" borderId="16"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3" xfId="0" applyNumberFormat="1" applyBorder="1" applyAlignment="1">
      <alignment horizontal="center" vertical="center"/>
    </xf>
    <xf numFmtId="164" fontId="0" fillId="0" borderId="11" xfId="0" applyNumberFormat="1" applyBorder="1" applyAlignment="1">
      <alignment horizontal="center" vertical="center"/>
    </xf>
    <xf numFmtId="165" fontId="0" fillId="0" borderId="46" xfId="0" applyNumberFormat="1" applyBorder="1" applyAlignment="1">
      <alignment horizontal="center" vertical="center" textRotation="90"/>
    </xf>
    <xf numFmtId="165" fontId="0" fillId="0" borderId="47" xfId="0" applyNumberFormat="1" applyBorder="1" applyAlignment="1">
      <alignment horizontal="center" vertical="center" textRotation="90"/>
    </xf>
    <xf numFmtId="165" fontId="0" fillId="0" borderId="48" xfId="0" applyNumberFormat="1" applyBorder="1" applyAlignment="1">
      <alignment horizontal="center" vertical="center" textRotation="90"/>
    </xf>
    <xf numFmtId="1" fontId="0" fillId="0" borderId="8" xfId="0" applyNumberFormat="1" applyBorder="1" applyAlignment="1">
      <alignment horizontal="center" vertical="center" textRotation="90"/>
    </xf>
    <xf numFmtId="1" fontId="0" fillId="0" borderId="1" xfId="0" applyNumberFormat="1" applyBorder="1" applyAlignment="1">
      <alignment horizontal="center" vertical="center" textRotation="90"/>
    </xf>
    <xf numFmtId="1" fontId="0" fillId="0" borderId="6" xfId="0" applyNumberFormat="1" applyBorder="1" applyAlignment="1">
      <alignment horizontal="center" vertical="center" textRotation="90"/>
    </xf>
    <xf numFmtId="0" fontId="1" fillId="2" borderId="49"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4" xfId="0" applyFont="1" applyFill="1" applyBorder="1" applyAlignment="1">
      <alignment horizontal="center" vertical="center"/>
    </xf>
    <xf numFmtId="164" fontId="0" fillId="0" borderId="10" xfId="0" applyNumberFormat="1" applyBorder="1" applyAlignment="1">
      <alignment horizontal="center" vertical="center" textRotation="90"/>
    </xf>
    <xf numFmtId="0" fontId="0" fillId="0" borderId="3" xfId="0" applyBorder="1" applyAlignment="1">
      <alignment horizontal="center" vertical="center" textRotation="90"/>
    </xf>
    <xf numFmtId="0" fontId="0" fillId="0" borderId="11" xfId="0" applyBorder="1" applyAlignment="1">
      <alignment horizontal="center" vertical="center" textRotation="90"/>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2" fontId="0" fillId="0" borderId="10" xfId="0" applyNumberFormat="1" applyBorder="1" applyAlignment="1">
      <alignment horizontal="center" vertical="center"/>
    </xf>
    <xf numFmtId="2" fontId="0" fillId="0" borderId="3" xfId="0" applyNumberFormat="1" applyBorder="1" applyAlignment="1">
      <alignment horizontal="center" vertical="center"/>
    </xf>
    <xf numFmtId="2" fontId="0" fillId="0" borderId="11" xfId="0" applyNumberFormat="1" applyBorder="1" applyAlignment="1">
      <alignment horizontal="center" vertical="center"/>
    </xf>
    <xf numFmtId="164" fontId="0" fillId="0" borderId="15" xfId="0" applyNumberFormat="1" applyBorder="1" applyAlignment="1">
      <alignment horizontal="center" vertical="center" textRotation="90"/>
    </xf>
    <xf numFmtId="164" fontId="0" fillId="0" borderId="16" xfId="0" applyNumberFormat="1" applyBorder="1" applyAlignment="1">
      <alignment horizontal="center" vertical="center" textRotation="90"/>
    </xf>
    <xf numFmtId="164" fontId="0" fillId="0" borderId="17" xfId="0" applyNumberFormat="1" applyBorder="1" applyAlignment="1">
      <alignment horizontal="center" vertical="center" textRotation="90"/>
    </xf>
    <xf numFmtId="0" fontId="1" fillId="2" borderId="29"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164" fontId="0" fillId="0" borderId="39" xfId="0" applyNumberFormat="1" applyBorder="1" applyAlignment="1">
      <alignment horizontal="center" vertical="center"/>
    </xf>
    <xf numFmtId="164" fontId="0" fillId="0" borderId="40" xfId="0" applyNumberFormat="1" applyBorder="1" applyAlignment="1">
      <alignment horizontal="center" vertical="center"/>
    </xf>
    <xf numFmtId="164" fontId="0" fillId="0" borderId="41" xfId="0" applyNumberFormat="1" applyBorder="1" applyAlignment="1">
      <alignment horizontal="center" vertical="center"/>
    </xf>
    <xf numFmtId="2" fontId="0" fillId="0" borderId="10" xfId="0" applyNumberFormat="1" applyBorder="1" applyAlignment="1">
      <alignment horizontal="center" vertical="center" textRotation="90"/>
    </xf>
    <xf numFmtId="2" fontId="0" fillId="0" borderId="3" xfId="0" applyNumberFormat="1" applyBorder="1" applyAlignment="1">
      <alignment horizontal="center" vertical="center" textRotation="90"/>
    </xf>
    <xf numFmtId="2" fontId="0" fillId="0" borderId="11" xfId="0" applyNumberFormat="1" applyBorder="1" applyAlignment="1">
      <alignment horizontal="center" vertical="center" textRotation="90"/>
    </xf>
    <xf numFmtId="0" fontId="0" fillId="0" borderId="8"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2" fontId="0" fillId="0" borderId="8" xfId="0" applyNumberFormat="1" applyBorder="1" applyAlignment="1">
      <alignment horizontal="center" vertical="center"/>
    </xf>
    <xf numFmtId="2" fontId="0" fillId="0" borderId="1" xfId="0" applyNumberFormat="1" applyBorder="1" applyAlignment="1">
      <alignment horizontal="center" vertical="center"/>
    </xf>
    <xf numFmtId="2" fontId="0" fillId="0" borderId="6" xfId="0" applyNumberFormat="1" applyBorder="1" applyAlignment="1">
      <alignment horizontal="center" vertical="center"/>
    </xf>
    <xf numFmtId="164" fontId="0" fillId="0" borderId="3" xfId="0" applyNumberFormat="1" applyBorder="1" applyAlignment="1">
      <alignment horizontal="center" vertical="center" textRotation="90"/>
    </xf>
    <xf numFmtId="164" fontId="0" fillId="0" borderId="11" xfId="0" applyNumberFormat="1" applyBorder="1" applyAlignment="1">
      <alignment horizontal="center" vertical="center" textRotation="90"/>
    </xf>
    <xf numFmtId="166" fontId="0" fillId="0" borderId="34" xfId="0" applyNumberFormat="1"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164" fontId="0" fillId="0" borderId="22" xfId="0" applyNumberFormat="1" applyBorder="1" applyAlignment="1">
      <alignment horizontal="center" vertical="center"/>
    </xf>
    <xf numFmtId="164" fontId="0" fillId="0" borderId="26" xfId="0" applyNumberFormat="1" applyBorder="1" applyAlignment="1">
      <alignment horizontal="center" vertical="center"/>
    </xf>
    <xf numFmtId="164" fontId="0" fillId="0" borderId="24" xfId="0" applyNumberFormat="1" applyBorder="1" applyAlignment="1">
      <alignment horizontal="center" vertical="center"/>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1" fontId="0" fillId="0" borderId="10" xfId="0" applyNumberFormat="1" applyBorder="1" applyAlignment="1">
      <alignment horizontal="center" vertical="center" textRotation="90"/>
    </xf>
    <xf numFmtId="1" fontId="0" fillId="0" borderId="3" xfId="0" applyNumberFormat="1" applyBorder="1" applyAlignment="1">
      <alignment horizontal="center" vertical="center" textRotation="90"/>
    </xf>
    <xf numFmtId="1" fontId="0" fillId="0" borderId="11" xfId="0" applyNumberFormat="1" applyBorder="1" applyAlignment="1">
      <alignment horizontal="center" vertical="center" textRotation="90"/>
    </xf>
    <xf numFmtId="164" fontId="0" fillId="0" borderId="42" xfId="0" applyNumberFormat="1" applyBorder="1" applyAlignment="1">
      <alignment horizontal="center" vertical="center"/>
    </xf>
    <xf numFmtId="164" fontId="0" fillId="0" borderId="43" xfId="0" applyNumberFormat="1" applyBorder="1" applyAlignment="1">
      <alignment horizontal="center" vertical="center"/>
    </xf>
    <xf numFmtId="164" fontId="0" fillId="0" borderId="44" xfId="0" applyNumberFormat="1" applyBorder="1" applyAlignment="1">
      <alignment horizontal="center" vertical="center"/>
    </xf>
    <xf numFmtId="164" fontId="0" fillId="0" borderId="45" xfId="0" applyNumberFormat="1" applyBorder="1" applyAlignment="1">
      <alignment horizontal="center" vertical="center"/>
    </xf>
    <xf numFmtId="0" fontId="1" fillId="2" borderId="3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42" xfId="0" applyFont="1" applyFill="1" applyBorder="1" applyAlignment="1">
      <alignment horizontal="center" vertical="center" wrapText="1"/>
    </xf>
    <xf numFmtId="164" fontId="0" fillId="0" borderId="18" xfId="0" applyNumberFormat="1" applyBorder="1" applyAlignment="1">
      <alignment horizontal="center" vertical="center"/>
    </xf>
    <xf numFmtId="165" fontId="0" fillId="0" borderId="15" xfId="0" applyNumberFormat="1" applyBorder="1" applyAlignment="1">
      <alignment horizontal="center" vertical="center" textRotation="90"/>
    </xf>
    <xf numFmtId="165" fontId="0" fillId="0" borderId="16" xfId="0" applyNumberFormat="1" applyBorder="1" applyAlignment="1">
      <alignment horizontal="center" vertical="center" textRotation="90"/>
    </xf>
    <xf numFmtId="165" fontId="0" fillId="0" borderId="17" xfId="0" applyNumberFormat="1" applyBorder="1" applyAlignment="1">
      <alignment horizontal="center" vertical="center" textRotation="90"/>
    </xf>
    <xf numFmtId="164" fontId="0" fillId="0" borderId="38" xfId="0" applyNumberFormat="1" applyBorder="1" applyAlignment="1">
      <alignment horizontal="center" vertical="center" textRotation="90"/>
    </xf>
    <xf numFmtId="164" fontId="0" fillId="0" borderId="36" xfId="0" applyNumberFormat="1" applyBorder="1" applyAlignment="1">
      <alignment horizontal="center" vertical="center" textRotation="90"/>
    </xf>
    <xf numFmtId="164" fontId="0" fillId="0" borderId="37" xfId="0" applyNumberFormat="1" applyBorder="1" applyAlignment="1">
      <alignment horizontal="center" vertical="center" textRotation="90"/>
    </xf>
    <xf numFmtId="0" fontId="1" fillId="2" borderId="23" xfId="0" applyFont="1" applyFill="1" applyBorder="1" applyAlignment="1">
      <alignment horizontal="center" vertical="center"/>
    </xf>
    <xf numFmtId="0" fontId="1" fillId="2" borderId="30" xfId="0" applyFont="1" applyFill="1" applyBorder="1" applyAlignment="1">
      <alignment horizontal="center" vertical="center" wrapText="1"/>
    </xf>
    <xf numFmtId="0" fontId="1" fillId="2" borderId="28" xfId="0" applyFont="1" applyFill="1" applyBorder="1" applyAlignment="1">
      <alignment horizontal="center" vertical="center"/>
    </xf>
    <xf numFmtId="0" fontId="1" fillId="2" borderId="22" xfId="0" applyFont="1" applyFill="1" applyBorder="1" applyAlignment="1">
      <alignment horizontal="center" vertical="center"/>
    </xf>
    <xf numFmtId="164" fontId="0" fillId="0" borderId="4" xfId="0" applyNumberFormat="1" applyBorder="1" applyAlignment="1">
      <alignment horizontal="center" vertical="center" textRotation="90"/>
    </xf>
    <xf numFmtId="0" fontId="0" fillId="0" borderId="1" xfId="0" applyBorder="1" applyAlignment="1">
      <alignment horizontal="center" vertical="center" textRotation="90"/>
    </xf>
    <xf numFmtId="0" fontId="0" fillId="0" borderId="2" xfId="0" applyBorder="1" applyAlignment="1">
      <alignment horizontal="center" vertical="center" textRotation="90"/>
    </xf>
    <xf numFmtId="0" fontId="1" fillId="2"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erhat Kosif" id="{BD80DA13-5FB7-5F4C-8970-846D0D5308DB}" userId="Serhat Kosif"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personId="{BD80DA13-5FB7-5F4C-8970-846D0D5308DB}" id="{AA0EC779-D694-7B47-B4F9-3C2E282D6EDB}">
    <text>with HUB e-bike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31"/>
  <sheetViews>
    <sheetView tabSelected="1" workbookViewId="0">
      <pane ySplit="1" topLeftCell="A2" activePane="bottomLeft" state="frozenSplit"/>
      <selection activeCell="H1" sqref="H1"/>
      <selection pane="bottomLeft" activeCell="AD25" sqref="AD25"/>
    </sheetView>
  </sheetViews>
  <sheetFormatPr defaultColWidth="8.88671875" defaultRowHeight="14.4" x14ac:dyDescent="0.3"/>
  <cols>
    <col min="1" max="1" width="9.77734375" style="2" bestFit="1" customWidth="1"/>
    <col min="2" max="2" width="9.5546875" style="2" customWidth="1"/>
    <col min="3" max="3" width="7.77734375" style="1" customWidth="1"/>
    <col min="4" max="4" width="6.44140625" style="1" customWidth="1"/>
    <col min="5" max="5" width="3.109375" style="1" customWidth="1"/>
    <col min="6" max="6" width="4.33203125" style="1" customWidth="1"/>
    <col min="7" max="7" width="3.109375" style="1" customWidth="1"/>
    <col min="8" max="8" width="6.5546875" style="1" customWidth="1"/>
    <col min="9" max="9" width="3.109375" style="1" customWidth="1"/>
    <col min="10" max="10" width="8.21875" style="1" customWidth="1"/>
    <col min="11" max="11" width="3.109375" style="31" customWidth="1"/>
    <col min="12" max="12" width="14.44140625" style="1" hidden="1" customWidth="1"/>
    <col min="13" max="14" width="14.109375" style="1" hidden="1" customWidth="1"/>
    <col min="15" max="15" width="7.88671875" style="1" bestFit="1" customWidth="1"/>
    <col min="16" max="16" width="7.88671875" style="1" hidden="1" customWidth="1"/>
    <col min="17" max="17" width="7.88671875" style="1" customWidth="1"/>
    <col min="18" max="18" width="7.21875" style="1" customWidth="1"/>
    <col min="19" max="19" width="10.44140625" style="1" hidden="1" customWidth="1"/>
    <col min="20" max="20" width="10" style="1" hidden="1" customWidth="1"/>
    <col min="21" max="21" width="9.33203125" style="1" hidden="1" customWidth="1"/>
    <col min="22" max="22" width="8.5546875" style="1" customWidth="1"/>
    <col min="23" max="23" width="3.109375" style="1" customWidth="1"/>
    <col min="24" max="24" width="9.44140625" style="1" hidden="1" customWidth="1"/>
    <col min="25" max="25" width="8.88671875" style="1"/>
    <col min="26" max="26" width="3.109375" style="31" customWidth="1"/>
    <col min="27" max="27" width="9.5546875" style="1" customWidth="1"/>
    <col min="28" max="28" width="3.6640625" style="1" customWidth="1"/>
    <col min="29" max="29" width="9.5546875" style="1" customWidth="1"/>
    <col min="30" max="16384" width="8.88671875" style="1"/>
  </cols>
  <sheetData>
    <row r="1" spans="1:37" ht="29.4" customHeight="1" thickBot="1" x14ac:dyDescent="0.35">
      <c r="A1" s="98" t="s">
        <v>23</v>
      </c>
      <c r="B1" s="141"/>
      <c r="C1" s="13" t="s">
        <v>12</v>
      </c>
      <c r="D1" s="145" t="s">
        <v>13</v>
      </c>
      <c r="E1" s="129"/>
      <c r="F1" s="119" t="s">
        <v>27</v>
      </c>
      <c r="G1" s="120"/>
      <c r="H1" s="119" t="s">
        <v>29</v>
      </c>
      <c r="I1" s="130"/>
      <c r="J1" s="128" t="s">
        <v>14</v>
      </c>
      <c r="K1" s="129"/>
      <c r="L1" s="39" t="s">
        <v>30</v>
      </c>
      <c r="M1" s="39" t="s">
        <v>31</v>
      </c>
      <c r="N1" s="39" t="s">
        <v>51</v>
      </c>
      <c r="O1" s="12" t="s">
        <v>28</v>
      </c>
      <c r="P1" s="40" t="s">
        <v>32</v>
      </c>
      <c r="Q1" s="12" t="s">
        <v>33</v>
      </c>
      <c r="R1" s="12" t="s">
        <v>52</v>
      </c>
      <c r="S1" s="32" t="s">
        <v>34</v>
      </c>
      <c r="T1" s="33" t="s">
        <v>53</v>
      </c>
      <c r="U1" s="34" t="s">
        <v>17</v>
      </c>
      <c r="V1" s="139" t="s">
        <v>35</v>
      </c>
      <c r="W1" s="120"/>
      <c r="X1" s="35" t="s">
        <v>17</v>
      </c>
      <c r="Y1" s="138" t="s">
        <v>15</v>
      </c>
      <c r="Z1" s="138"/>
      <c r="AA1" s="25" t="s">
        <v>16</v>
      </c>
      <c r="AC1" s="37" t="s">
        <v>43</v>
      </c>
      <c r="AD1" s="37" t="s">
        <v>36</v>
      </c>
      <c r="AE1" s="37" t="s">
        <v>37</v>
      </c>
      <c r="AF1" s="37" t="s">
        <v>38</v>
      </c>
      <c r="AG1" s="37" t="s">
        <v>39</v>
      </c>
      <c r="AH1" s="37" t="s">
        <v>40</v>
      </c>
      <c r="AI1" s="37" t="s">
        <v>41</v>
      </c>
      <c r="AJ1" s="37" t="s">
        <v>42</v>
      </c>
      <c r="AK1" s="38" t="s">
        <v>16</v>
      </c>
    </row>
    <row r="2" spans="1:37" ht="15" thickBot="1" x14ac:dyDescent="0.35">
      <c r="A2" s="98" t="s">
        <v>0</v>
      </c>
      <c r="B2" s="17" t="s">
        <v>2</v>
      </c>
      <c r="C2" s="4">
        <f>316+210+251</f>
        <v>777</v>
      </c>
      <c r="D2" s="5">
        <f>C2/60</f>
        <v>12.95</v>
      </c>
      <c r="E2" s="102">
        <f>SUM(D2:D5)</f>
        <v>72.45</v>
      </c>
      <c r="F2" s="9">
        <f>8+4+6</f>
        <v>18</v>
      </c>
      <c r="G2" s="121">
        <f>SUM(F2:F5)</f>
        <v>105</v>
      </c>
      <c r="H2" s="57">
        <f>30.9+13.7+30.8</f>
        <v>75.399999999999991</v>
      </c>
      <c r="I2" s="132">
        <f>SUM(H2:H5)</f>
        <v>419.69999999999993</v>
      </c>
      <c r="J2" s="20">
        <f>12.5*D2</f>
        <v>161.875</v>
      </c>
      <c r="K2" s="142">
        <f>SUM(J2:J5)</f>
        <v>905.625</v>
      </c>
      <c r="L2" s="90">
        <f>0.71*12.5</f>
        <v>8.875</v>
      </c>
      <c r="M2" s="70">
        <f>1*12.5</f>
        <v>12.5</v>
      </c>
      <c r="N2" s="70"/>
      <c r="O2" s="70">
        <f>IF(G2&gt;200,(G2-200)*2+100*1+75*0.25,IF(G2&gt;100,(G2-100)*1+75*0.25,IF(G2&gt;25,(G2-25)*0.25,0)))</f>
        <v>23.75</v>
      </c>
      <c r="P2" s="70">
        <f>5.28*12.5</f>
        <v>66</v>
      </c>
      <c r="Q2" s="70">
        <f>E2*0.1</f>
        <v>7.245000000000001</v>
      </c>
      <c r="R2" s="70">
        <f>0</f>
        <v>0</v>
      </c>
      <c r="S2" s="67">
        <f>SUM(K2:R5)</f>
        <v>1023.995</v>
      </c>
      <c r="T2" s="64">
        <v>-165.49</v>
      </c>
      <c r="U2" s="116">
        <f>SUM(S2:T5)</f>
        <v>858.505</v>
      </c>
      <c r="V2" s="23">
        <f>1.5</f>
        <v>1.5</v>
      </c>
      <c r="W2" s="84">
        <f>SUM(V2:V5)</f>
        <v>33.99</v>
      </c>
      <c r="X2" s="124">
        <f>U2+W2</f>
        <v>892.495</v>
      </c>
      <c r="Y2" s="26">
        <f>7+5+6</f>
        <v>18</v>
      </c>
      <c r="Z2" s="136">
        <f>SUM(Y2:Y5)</f>
        <v>98.5</v>
      </c>
      <c r="AA2" s="131">
        <f>X2+Z2</f>
        <v>990.995</v>
      </c>
      <c r="AC2" s="37"/>
      <c r="AD2" s="37"/>
      <c r="AE2" s="37"/>
      <c r="AF2" s="37"/>
      <c r="AG2" s="37"/>
      <c r="AH2" s="37"/>
      <c r="AI2" s="37"/>
      <c r="AJ2" s="37"/>
      <c r="AK2" s="38"/>
    </row>
    <row r="3" spans="1:37" ht="15" thickBot="1" x14ac:dyDescent="0.35">
      <c r="A3" s="98"/>
      <c r="B3" s="18" t="s">
        <v>3</v>
      </c>
      <c r="C3" s="14">
        <f>302+303+318+305</f>
        <v>1228</v>
      </c>
      <c r="D3" s="3">
        <f t="shared" ref="D3:D13" si="0">C3/60</f>
        <v>20.466666666666665</v>
      </c>
      <c r="E3" s="103"/>
      <c r="F3" s="10">
        <f>10+11+9+9</f>
        <v>39</v>
      </c>
      <c r="G3" s="122"/>
      <c r="H3" s="58">
        <f>36.5+24+39.5+41.5</f>
        <v>141.5</v>
      </c>
      <c r="I3" s="133"/>
      <c r="J3" s="21">
        <f t="shared" ref="J3:J5" si="1">12.5*D3</f>
        <v>255.83333333333331</v>
      </c>
      <c r="K3" s="143"/>
      <c r="L3" s="91"/>
      <c r="M3" s="71"/>
      <c r="N3" s="71"/>
      <c r="O3" s="71"/>
      <c r="P3" s="71"/>
      <c r="Q3" s="71"/>
      <c r="R3" s="71"/>
      <c r="S3" s="68"/>
      <c r="T3" s="117"/>
      <c r="U3" s="116"/>
      <c r="V3" s="21">
        <f>5+9.05+2.5+5.91</f>
        <v>22.46</v>
      </c>
      <c r="W3" s="111"/>
      <c r="X3" s="124"/>
      <c r="Y3" s="27">
        <f>10+12+8+7</f>
        <v>37</v>
      </c>
      <c r="Z3" s="136"/>
      <c r="AA3" s="131"/>
      <c r="AC3" s="37"/>
      <c r="AD3" s="37"/>
      <c r="AE3" s="37"/>
      <c r="AF3" s="37"/>
      <c r="AG3" s="37"/>
      <c r="AH3" s="37"/>
      <c r="AI3" s="37"/>
      <c r="AJ3" s="37"/>
      <c r="AK3" s="38"/>
    </row>
    <row r="4" spans="1:37" ht="15" thickBot="1" x14ac:dyDescent="0.35">
      <c r="A4" s="98"/>
      <c r="B4" s="18" t="s">
        <v>4</v>
      </c>
      <c r="C4" s="14">
        <f>260+180+199+270+280+405+18</f>
        <v>1612</v>
      </c>
      <c r="D4" s="3">
        <f t="shared" si="0"/>
        <v>26.866666666666667</v>
      </c>
      <c r="E4" s="103"/>
      <c r="F4" s="10">
        <f>3+4+4+4+2+9</f>
        <v>26</v>
      </c>
      <c r="G4" s="122"/>
      <c r="H4" s="58">
        <f>11.5+13.3+13.5+19.6+9.5+43.8</f>
        <v>111.2</v>
      </c>
      <c r="I4" s="133"/>
      <c r="J4" s="21">
        <f t="shared" si="1"/>
        <v>335.83333333333331</v>
      </c>
      <c r="K4" s="143"/>
      <c r="L4" s="91"/>
      <c r="M4" s="71"/>
      <c r="N4" s="71"/>
      <c r="O4" s="71"/>
      <c r="P4" s="71"/>
      <c r="Q4" s="71"/>
      <c r="R4" s="71"/>
      <c r="S4" s="68"/>
      <c r="T4" s="117"/>
      <c r="U4" s="116"/>
      <c r="V4" s="21">
        <f>1.5+1.5</f>
        <v>3</v>
      </c>
      <c r="W4" s="111"/>
      <c r="X4" s="124"/>
      <c r="Y4" s="27">
        <f>6+4+5+12+7</f>
        <v>34</v>
      </c>
      <c r="Z4" s="136"/>
      <c r="AA4" s="131"/>
      <c r="AC4" s="37"/>
      <c r="AD4" s="37"/>
      <c r="AE4" s="37"/>
      <c r="AF4" s="37"/>
      <c r="AG4" s="37"/>
      <c r="AH4" s="37"/>
      <c r="AI4" s="37"/>
      <c r="AJ4" s="37"/>
      <c r="AK4" s="38"/>
    </row>
    <row r="5" spans="1:37" ht="15" thickBot="1" x14ac:dyDescent="0.35">
      <c r="A5" s="98"/>
      <c r="B5" s="140" t="s">
        <v>5</v>
      </c>
      <c r="C5" s="15">
        <f>150+130+300+150</f>
        <v>730</v>
      </c>
      <c r="D5" s="8">
        <f t="shared" si="0"/>
        <v>12.166666666666666</v>
      </c>
      <c r="E5" s="104"/>
      <c r="F5" s="11">
        <f>4+3+8+7</f>
        <v>22</v>
      </c>
      <c r="G5" s="123"/>
      <c r="H5" s="59">
        <f>17.2+13.6+36.7+24.1</f>
        <v>91.6</v>
      </c>
      <c r="I5" s="134"/>
      <c r="J5" s="22">
        <f t="shared" si="1"/>
        <v>152.08333333333331</v>
      </c>
      <c r="K5" s="144"/>
      <c r="L5" s="92"/>
      <c r="M5" s="72"/>
      <c r="N5" s="72"/>
      <c r="O5" s="72"/>
      <c r="P5" s="72"/>
      <c r="Q5" s="72"/>
      <c r="R5" s="72"/>
      <c r="S5" s="69"/>
      <c r="T5" s="118"/>
      <c r="U5" s="116"/>
      <c r="V5" s="24">
        <f>1.5+5.53</f>
        <v>7.03</v>
      </c>
      <c r="W5" s="112"/>
      <c r="X5" s="124"/>
      <c r="Y5" s="28">
        <f>2.5+2.5+4.5</f>
        <v>9.5</v>
      </c>
      <c r="Z5" s="137"/>
      <c r="AA5" s="131"/>
      <c r="AC5" s="37"/>
      <c r="AD5" s="37"/>
      <c r="AE5" s="37"/>
      <c r="AF5" s="37"/>
      <c r="AG5" s="37"/>
      <c r="AH5" s="37"/>
      <c r="AI5" s="37"/>
      <c r="AJ5" s="37"/>
      <c r="AK5" s="38"/>
    </row>
    <row r="6" spans="1:37" ht="15" thickBot="1" x14ac:dyDescent="0.35">
      <c r="A6" s="98" t="s">
        <v>1</v>
      </c>
      <c r="B6" s="140"/>
      <c r="C6" s="16">
        <f>315+300</f>
        <v>615</v>
      </c>
      <c r="D6" s="7">
        <f t="shared" si="0"/>
        <v>10.25</v>
      </c>
      <c r="E6" s="102">
        <f>SUM(D6:D10)</f>
        <v>94.116666666666674</v>
      </c>
      <c r="F6" s="9">
        <f>7+12</f>
        <v>19</v>
      </c>
      <c r="G6" s="121">
        <f>SUM(F6:F10)</f>
        <v>178</v>
      </c>
      <c r="H6" s="57">
        <f>36.6+41.1</f>
        <v>77.7</v>
      </c>
      <c r="I6" s="73">
        <f>SUM(H6:H7)+0.2+34.8</f>
        <v>257</v>
      </c>
      <c r="J6" s="23">
        <f t="shared" ref="J6:J26" si="2">12.5*D6</f>
        <v>128.125</v>
      </c>
      <c r="K6" s="84">
        <f>SUM(J6:J10)</f>
        <v>1176.4583333333333</v>
      </c>
      <c r="L6" s="90">
        <f>0.92*12.5</f>
        <v>11.5</v>
      </c>
      <c r="M6" s="70"/>
      <c r="N6" s="70">
        <f>1.5*12.5</f>
        <v>18.75</v>
      </c>
      <c r="O6" s="70">
        <f>IF(G6&gt;200,(G6-200)*2+100*1+75*0.25,IF(G6&gt;100,(G6-100)*1+75*0.25,IF(G6&gt;25,(G6-25)*0.25,0)))</f>
        <v>96.75</v>
      </c>
      <c r="P6" s="70"/>
      <c r="Q6" s="70">
        <f>E6*0.1</f>
        <v>9.4116666666666671</v>
      </c>
      <c r="R6" s="70">
        <f>I8*0.14</f>
        <v>47.082000000000001</v>
      </c>
      <c r="S6" s="67">
        <f>SUM(K6:R10)</f>
        <v>1359.952</v>
      </c>
      <c r="T6" s="64">
        <f>-0.33-235.86+34.16</f>
        <v>-202.03000000000003</v>
      </c>
      <c r="U6" s="67">
        <f>SUM(S6:T10)</f>
        <v>1157.922</v>
      </c>
      <c r="V6" s="23">
        <f>5.5+2.5</f>
        <v>8</v>
      </c>
      <c r="W6" s="84">
        <f>SUM(V6:V10)</f>
        <v>106.47</v>
      </c>
      <c r="X6" s="124">
        <f>U6+W6</f>
        <v>1264.3920000000001</v>
      </c>
      <c r="Y6" s="29">
        <f>4+13.7</f>
        <v>17.7</v>
      </c>
      <c r="Z6" s="135">
        <f>SUM(Y6:Y10)</f>
        <v>140.30000000000001</v>
      </c>
      <c r="AA6" s="131">
        <f>X6+Z6</f>
        <v>1404.692</v>
      </c>
      <c r="AC6" s="37"/>
      <c r="AD6" s="37"/>
      <c r="AE6" s="37"/>
      <c r="AF6" s="37"/>
      <c r="AG6" s="37"/>
      <c r="AH6" s="37"/>
      <c r="AI6" s="37"/>
      <c r="AJ6" s="37"/>
      <c r="AK6" s="38"/>
    </row>
    <row r="7" spans="1:37" ht="15" thickBot="1" x14ac:dyDescent="0.35">
      <c r="A7" s="98"/>
      <c r="B7" s="18" t="s">
        <v>6</v>
      </c>
      <c r="C7" s="14">
        <f>180+180+270+325+310</f>
        <v>1265</v>
      </c>
      <c r="D7" s="3">
        <f t="shared" si="0"/>
        <v>21.083333333333332</v>
      </c>
      <c r="E7" s="103"/>
      <c r="F7" s="10">
        <f>7+7+5+1+7+10</f>
        <v>37</v>
      </c>
      <c r="G7" s="122"/>
      <c r="H7" s="58">
        <f>18.3+17.3+32.5+35+41.2</f>
        <v>144.30000000000001</v>
      </c>
      <c r="I7" s="74"/>
      <c r="J7" s="21">
        <f t="shared" si="2"/>
        <v>263.54166666666663</v>
      </c>
      <c r="K7" s="85"/>
      <c r="L7" s="91"/>
      <c r="M7" s="71"/>
      <c r="N7" s="71"/>
      <c r="O7" s="71"/>
      <c r="P7" s="71"/>
      <c r="Q7" s="71"/>
      <c r="R7" s="71"/>
      <c r="S7" s="68"/>
      <c r="T7" s="117"/>
      <c r="U7" s="68"/>
      <c r="V7" s="21">
        <f>3+2.5+11.15</f>
        <v>16.649999999999999</v>
      </c>
      <c r="W7" s="111"/>
      <c r="X7" s="124"/>
      <c r="Y7" s="27">
        <f>5+9+9+5</f>
        <v>28</v>
      </c>
      <c r="Z7" s="136"/>
      <c r="AA7" s="131"/>
      <c r="AC7" s="37"/>
      <c r="AD7" s="37"/>
      <c r="AE7" s="37"/>
      <c r="AF7" s="37"/>
      <c r="AG7" s="37"/>
      <c r="AH7" s="37"/>
      <c r="AI7" s="37"/>
      <c r="AJ7" s="37"/>
      <c r="AK7" s="38"/>
    </row>
    <row r="8" spans="1:37" ht="15" thickBot="1" x14ac:dyDescent="0.35">
      <c r="A8" s="98"/>
      <c r="B8" s="18" t="s">
        <v>7</v>
      </c>
      <c r="C8" s="14">
        <f>150+150+300+424+427+300</f>
        <v>1751</v>
      </c>
      <c r="D8" s="3">
        <f t="shared" si="0"/>
        <v>29.183333333333334</v>
      </c>
      <c r="E8" s="103"/>
      <c r="F8" s="10">
        <f>4+5+10+11+12+9</f>
        <v>51</v>
      </c>
      <c r="G8" s="122"/>
      <c r="H8" s="58">
        <f>14.8+17.5+31.6+45+39.5+23.9</f>
        <v>172.3</v>
      </c>
      <c r="I8" s="74">
        <f>SUM(H8:H10)-34.8-5.2</f>
        <v>336.29999999999995</v>
      </c>
      <c r="J8" s="21">
        <f t="shared" si="2"/>
        <v>364.79166666666669</v>
      </c>
      <c r="K8" s="85"/>
      <c r="L8" s="91"/>
      <c r="M8" s="71"/>
      <c r="N8" s="71"/>
      <c r="O8" s="71"/>
      <c r="P8" s="71"/>
      <c r="Q8" s="71"/>
      <c r="R8" s="71"/>
      <c r="S8" s="68"/>
      <c r="T8" s="117"/>
      <c r="U8" s="68"/>
      <c r="V8" s="21">
        <f>2+11.73+11.5+8.5</f>
        <v>33.730000000000004</v>
      </c>
      <c r="W8" s="111"/>
      <c r="X8" s="124"/>
      <c r="Y8" s="27">
        <f>5+4+5+13.5+4+4</f>
        <v>35.5</v>
      </c>
      <c r="Z8" s="136"/>
      <c r="AA8" s="131"/>
      <c r="AB8" s="36"/>
      <c r="AC8" s="37"/>
      <c r="AD8" s="37"/>
      <c r="AE8" s="37"/>
      <c r="AF8" s="37"/>
      <c r="AG8" s="37"/>
      <c r="AH8" s="37"/>
      <c r="AI8" s="37"/>
      <c r="AJ8" s="37"/>
      <c r="AK8" s="38"/>
    </row>
    <row r="9" spans="1:37" ht="15" thickBot="1" x14ac:dyDescent="0.35">
      <c r="A9" s="98"/>
      <c r="B9" s="18" t="s">
        <v>8</v>
      </c>
      <c r="C9" s="14">
        <f>211+225+240+80+300</f>
        <v>1056</v>
      </c>
      <c r="D9" s="3">
        <f t="shared" si="0"/>
        <v>17.600000000000001</v>
      </c>
      <c r="E9" s="103"/>
      <c r="F9" s="10">
        <f>8+6+7+2+15</f>
        <v>38</v>
      </c>
      <c r="G9" s="122"/>
      <c r="H9" s="58">
        <f>23.1+23.1+24.8+8.8+34.8</f>
        <v>114.6</v>
      </c>
      <c r="I9" s="74"/>
      <c r="J9" s="21">
        <f t="shared" si="2"/>
        <v>220.00000000000003</v>
      </c>
      <c r="K9" s="85"/>
      <c r="L9" s="91"/>
      <c r="M9" s="71"/>
      <c r="N9" s="71"/>
      <c r="O9" s="71"/>
      <c r="P9" s="71"/>
      <c r="Q9" s="71"/>
      <c r="R9" s="71"/>
      <c r="S9" s="68"/>
      <c r="T9" s="117"/>
      <c r="U9" s="68"/>
      <c r="V9" s="21">
        <f>2.5+4.24+8.91+2.5</f>
        <v>18.149999999999999</v>
      </c>
      <c r="W9" s="111"/>
      <c r="X9" s="124"/>
      <c r="Y9" s="27">
        <f>7+3.5+2+9</f>
        <v>21.5</v>
      </c>
      <c r="Z9" s="136"/>
      <c r="AA9" s="131"/>
      <c r="AC9" s="37">
        <v>47</v>
      </c>
      <c r="AD9" s="37"/>
      <c r="AE9" s="37">
        <v>3.5</v>
      </c>
      <c r="AF9" s="37">
        <v>3.5</v>
      </c>
      <c r="AG9" s="37"/>
      <c r="AH9" s="37">
        <v>4</v>
      </c>
      <c r="AI9" s="37">
        <v>1.35</v>
      </c>
      <c r="AJ9" s="37">
        <v>5</v>
      </c>
      <c r="AK9" s="38">
        <f>SUM(AD9:AJ9)</f>
        <v>17.350000000000001</v>
      </c>
    </row>
    <row r="10" spans="1:37" ht="15" thickBot="1" x14ac:dyDescent="0.35">
      <c r="A10" s="98"/>
      <c r="B10" s="140" t="s">
        <v>9</v>
      </c>
      <c r="C10" s="15">
        <f>270+210+210+270</f>
        <v>960</v>
      </c>
      <c r="D10" s="8">
        <f t="shared" si="0"/>
        <v>16</v>
      </c>
      <c r="E10" s="104"/>
      <c r="F10" s="11">
        <f>12+6+7+8</f>
        <v>33</v>
      </c>
      <c r="G10" s="123"/>
      <c r="H10" s="59">
        <f>29.4+14.8+17.9+27.3</f>
        <v>89.4</v>
      </c>
      <c r="I10" s="75"/>
      <c r="J10" s="22">
        <f t="shared" si="2"/>
        <v>200</v>
      </c>
      <c r="K10" s="86"/>
      <c r="L10" s="92"/>
      <c r="M10" s="72"/>
      <c r="N10" s="72"/>
      <c r="O10" s="72"/>
      <c r="P10" s="72"/>
      <c r="Q10" s="72"/>
      <c r="R10" s="72"/>
      <c r="S10" s="69"/>
      <c r="T10" s="118"/>
      <c r="U10" s="69"/>
      <c r="V10" s="24">
        <f>6.86+15.08+5.5+2.5</f>
        <v>29.94</v>
      </c>
      <c r="W10" s="112"/>
      <c r="X10" s="124"/>
      <c r="Y10" s="28">
        <f>15.6+6+6+10</f>
        <v>37.6</v>
      </c>
      <c r="Z10" s="137"/>
      <c r="AA10" s="131"/>
      <c r="AC10" s="37"/>
      <c r="AD10" s="37"/>
      <c r="AE10" s="37"/>
      <c r="AF10" s="37"/>
      <c r="AG10" s="37"/>
      <c r="AH10" s="37"/>
      <c r="AI10" s="37"/>
      <c r="AJ10" s="37"/>
      <c r="AK10" s="38"/>
    </row>
    <row r="11" spans="1:37" ht="15" thickBot="1" x14ac:dyDescent="0.35">
      <c r="A11" s="98" t="s">
        <v>21</v>
      </c>
      <c r="B11" s="140"/>
      <c r="C11" s="16">
        <f>252</f>
        <v>252</v>
      </c>
      <c r="D11" s="7">
        <f t="shared" si="0"/>
        <v>4.2</v>
      </c>
      <c r="E11" s="102">
        <f>SUM(D11:D16)</f>
        <v>76.849999999999994</v>
      </c>
      <c r="F11" s="9">
        <f>11</f>
        <v>11</v>
      </c>
      <c r="G11" s="121">
        <f>SUM(F11:F16)</f>
        <v>121</v>
      </c>
      <c r="H11" s="57">
        <f>30</f>
        <v>30</v>
      </c>
      <c r="I11" s="132">
        <f>SUM(H11:H16)</f>
        <v>430.1</v>
      </c>
      <c r="J11" s="23">
        <f t="shared" si="2"/>
        <v>52.5</v>
      </c>
      <c r="K11" s="84">
        <f>SUM(J11:J16)+AC23</f>
        <v>1152.5216450216451</v>
      </c>
      <c r="L11" s="90">
        <f>E11*0.00979986197377502*12.5</f>
        <v>9.413992408557629</v>
      </c>
      <c r="M11" s="70"/>
      <c r="N11" s="70"/>
      <c r="O11" s="70">
        <f>IF(G11&gt;200,(G11-200)*2+100*1+75*0.25,IF(G11&gt;100,(G11-100)*1+75*0.25,IF(G11&gt;25,(G11-25)*0.25,0)))</f>
        <v>39.75</v>
      </c>
      <c r="P11" s="70"/>
      <c r="Q11" s="70">
        <f>E11*0.1</f>
        <v>7.6849999999999996</v>
      </c>
      <c r="R11" s="70">
        <f>I11*0.14</f>
        <v>60.214000000000006</v>
      </c>
      <c r="S11" s="67">
        <f>SUM(K11:R16)</f>
        <v>1269.5846374302025</v>
      </c>
      <c r="T11" s="64">
        <f>S11*-1*0.155</f>
        <v>-196.78561880168138</v>
      </c>
      <c r="U11" s="67">
        <f>SUM(S11:T16)</f>
        <v>1072.799018628521</v>
      </c>
      <c r="V11" s="23">
        <f>3.5</f>
        <v>3.5</v>
      </c>
      <c r="W11" s="84">
        <f>SUM(V11:V16)</f>
        <v>44.93</v>
      </c>
      <c r="X11" s="125">
        <f>U11+W11</f>
        <v>1117.7290186285211</v>
      </c>
      <c r="Y11" s="29">
        <f>13</f>
        <v>13</v>
      </c>
      <c r="Z11" s="135">
        <f>SUM(Y11:Y16)</f>
        <v>94.15</v>
      </c>
      <c r="AA11" s="99">
        <f>X11+Z11</f>
        <v>1211.8790186285212</v>
      </c>
      <c r="AC11" s="37">
        <v>48</v>
      </c>
      <c r="AD11" s="37"/>
      <c r="AE11" s="37">
        <v>4.5</v>
      </c>
      <c r="AF11" s="37">
        <v>3.5</v>
      </c>
      <c r="AG11" s="37">
        <v>3.5</v>
      </c>
      <c r="AH11" s="37"/>
      <c r="AI11" s="37">
        <v>4.5</v>
      </c>
      <c r="AJ11" s="37">
        <v>4</v>
      </c>
      <c r="AK11" s="38">
        <f>SUM(AD11:AJ11)</f>
        <v>20</v>
      </c>
    </row>
    <row r="12" spans="1:37" ht="15" thickBot="1" x14ac:dyDescent="0.35">
      <c r="A12" s="98"/>
      <c r="B12" s="18" t="s">
        <v>10</v>
      </c>
      <c r="C12" s="14">
        <f>180+240+180+240+360</f>
        <v>1200</v>
      </c>
      <c r="D12" s="3">
        <f t="shared" si="0"/>
        <v>20</v>
      </c>
      <c r="E12" s="103"/>
      <c r="F12" s="10">
        <f>7+8+3+8+10</f>
        <v>36</v>
      </c>
      <c r="G12" s="122"/>
      <c r="H12" s="58">
        <f>18.7+24.2+15.5+35.5+41.3</f>
        <v>135.19999999999999</v>
      </c>
      <c r="I12" s="133"/>
      <c r="J12" s="21">
        <f t="shared" si="2"/>
        <v>250</v>
      </c>
      <c r="K12" s="85"/>
      <c r="L12" s="91"/>
      <c r="M12" s="71"/>
      <c r="N12" s="71"/>
      <c r="O12" s="71"/>
      <c r="P12" s="71"/>
      <c r="Q12" s="71"/>
      <c r="R12" s="71"/>
      <c r="S12" s="68"/>
      <c r="T12" s="117"/>
      <c r="U12" s="68"/>
      <c r="V12" s="21">
        <f>1.5+1.5+1.5+1.93</f>
        <v>6.43</v>
      </c>
      <c r="W12" s="111"/>
      <c r="X12" s="126"/>
      <c r="Y12" s="27">
        <f>7.5+10+2+5+11.75</f>
        <v>36.25</v>
      </c>
      <c r="Z12" s="136"/>
      <c r="AA12" s="100"/>
      <c r="AC12" s="37">
        <v>49</v>
      </c>
      <c r="AD12" s="37">
        <v>3</v>
      </c>
      <c r="AE12" s="37">
        <v>4</v>
      </c>
      <c r="AF12" s="37"/>
      <c r="AG12" s="37"/>
      <c r="AH12" s="37">
        <v>3</v>
      </c>
      <c r="AI12" s="37">
        <v>4</v>
      </c>
      <c r="AJ12" s="37">
        <v>6</v>
      </c>
      <c r="AK12" s="38">
        <f>SUM(AD12:AJ12)</f>
        <v>20</v>
      </c>
    </row>
    <row r="13" spans="1:37" ht="15" thickBot="1" x14ac:dyDescent="0.35">
      <c r="A13" s="98"/>
      <c r="B13" s="18" t="s">
        <v>11</v>
      </c>
      <c r="C13" s="14">
        <f>180+180+420+420</f>
        <v>1200</v>
      </c>
      <c r="D13" s="3">
        <f t="shared" si="0"/>
        <v>20</v>
      </c>
      <c r="E13" s="103"/>
      <c r="F13" s="10">
        <f>5+5+13+14</f>
        <v>37</v>
      </c>
      <c r="G13" s="122"/>
      <c r="H13" s="58">
        <f>20.4+13.8+46.6+45.8</f>
        <v>126.60000000000001</v>
      </c>
      <c r="I13" s="133"/>
      <c r="J13" s="21">
        <f t="shared" si="2"/>
        <v>250</v>
      </c>
      <c r="K13" s="85"/>
      <c r="L13" s="91"/>
      <c r="M13" s="71"/>
      <c r="N13" s="71"/>
      <c r="O13" s="71"/>
      <c r="P13" s="71"/>
      <c r="Q13" s="71"/>
      <c r="R13" s="71"/>
      <c r="S13" s="68"/>
      <c r="T13" s="117"/>
      <c r="U13" s="68"/>
      <c r="V13" s="21">
        <f>0+2+11+5.5</f>
        <v>18.5</v>
      </c>
      <c r="W13" s="111"/>
      <c r="X13" s="126"/>
      <c r="Y13" s="27">
        <f>1+0+4.5+8</f>
        <v>13.5</v>
      </c>
      <c r="Z13" s="136"/>
      <c r="AA13" s="100"/>
      <c r="AC13" s="37">
        <v>50</v>
      </c>
      <c r="AD13" s="37">
        <v>3</v>
      </c>
      <c r="AE13" s="37"/>
      <c r="AF13" s="37">
        <v>3</v>
      </c>
      <c r="AG13" s="37">
        <v>7</v>
      </c>
      <c r="AH13" s="37">
        <v>7</v>
      </c>
      <c r="AI13" s="37"/>
      <c r="AJ13" s="37"/>
      <c r="AK13" s="38">
        <f>SUM(AD13:AJ13)</f>
        <v>20</v>
      </c>
    </row>
    <row r="14" spans="1:37" ht="15" thickBot="1" x14ac:dyDescent="0.35">
      <c r="A14" s="98"/>
      <c r="B14" s="18" t="s">
        <v>18</v>
      </c>
      <c r="C14" s="14">
        <f>159+150+150+390+390+300</f>
        <v>1539</v>
      </c>
      <c r="D14" s="3">
        <f t="shared" ref="D14:D26" si="3">C14/60</f>
        <v>25.65</v>
      </c>
      <c r="E14" s="103"/>
      <c r="F14" s="10">
        <f>5+2+4+11+14</f>
        <v>36</v>
      </c>
      <c r="G14" s="122"/>
      <c r="H14" s="58">
        <f>16+8.8+21.4+46.9+45.2</f>
        <v>138.30000000000001</v>
      </c>
      <c r="I14" s="133"/>
      <c r="J14" s="21">
        <f t="shared" si="2"/>
        <v>320.625</v>
      </c>
      <c r="K14" s="85"/>
      <c r="L14" s="91"/>
      <c r="M14" s="71"/>
      <c r="N14" s="71"/>
      <c r="O14" s="71"/>
      <c r="P14" s="71"/>
      <c r="Q14" s="71"/>
      <c r="R14" s="71"/>
      <c r="S14" s="68"/>
      <c r="T14" s="117"/>
      <c r="U14" s="68"/>
      <c r="V14" s="21">
        <f>1.5+2.5+3+7+2.5</f>
        <v>16.5</v>
      </c>
      <c r="W14" s="111"/>
      <c r="X14" s="126"/>
      <c r="Y14" s="27">
        <f>5+0+0+12+14.4</f>
        <v>31.4</v>
      </c>
      <c r="Z14" s="136"/>
      <c r="AA14" s="100"/>
      <c r="AC14" s="37">
        <v>51</v>
      </c>
      <c r="AD14" s="37">
        <f>2.65</f>
        <v>2.65</v>
      </c>
      <c r="AE14" s="37">
        <f>2.5</f>
        <v>2.5</v>
      </c>
      <c r="AF14" s="37">
        <f>2.5</f>
        <v>2.5</v>
      </c>
      <c r="AG14" s="37">
        <f>2.5+4</f>
        <v>6.5</v>
      </c>
      <c r="AH14" s="37">
        <f>2.5+4</f>
        <v>6.5</v>
      </c>
      <c r="AI14" s="37"/>
      <c r="AJ14" s="37">
        <v>5</v>
      </c>
      <c r="AK14" s="38">
        <f>SUM(AD14:AJ14)</f>
        <v>25.65</v>
      </c>
    </row>
    <row r="15" spans="1:37" ht="15" thickBot="1" x14ac:dyDescent="0.35">
      <c r="A15" s="98"/>
      <c r="B15" s="18" t="s">
        <v>19</v>
      </c>
      <c r="C15" s="14">
        <f>420</f>
        <v>420</v>
      </c>
      <c r="D15" s="3">
        <f t="shared" si="3"/>
        <v>7</v>
      </c>
      <c r="E15" s="103"/>
      <c r="F15" s="10">
        <v>1</v>
      </c>
      <c r="G15" s="122"/>
      <c r="H15" s="58"/>
      <c r="I15" s="133"/>
      <c r="J15" s="21">
        <f t="shared" si="2"/>
        <v>87.5</v>
      </c>
      <c r="K15" s="85"/>
      <c r="L15" s="91"/>
      <c r="M15" s="71"/>
      <c r="N15" s="71"/>
      <c r="O15" s="71"/>
      <c r="P15" s="71"/>
      <c r="Q15" s="71"/>
      <c r="R15" s="71"/>
      <c r="S15" s="68"/>
      <c r="T15" s="117"/>
      <c r="U15" s="68"/>
      <c r="V15" s="21"/>
      <c r="W15" s="111"/>
      <c r="X15" s="126"/>
      <c r="Y15" s="27"/>
      <c r="Z15" s="136"/>
      <c r="AA15" s="100"/>
      <c r="AC15" s="37">
        <v>52</v>
      </c>
      <c r="AD15" s="37"/>
      <c r="AE15" s="54">
        <v>0.32361111111111113</v>
      </c>
      <c r="AF15" s="55"/>
      <c r="AG15" s="55"/>
      <c r="AH15" s="55"/>
      <c r="AI15" s="56">
        <v>0.33958333333333335</v>
      </c>
      <c r="AJ15" s="37">
        <f>3+4</f>
        <v>7</v>
      </c>
      <c r="AK15" s="38">
        <f>AD15+AJ15</f>
        <v>7</v>
      </c>
    </row>
    <row r="16" spans="1:37" ht="15" thickBot="1" x14ac:dyDescent="0.35">
      <c r="A16" s="81"/>
      <c r="B16" s="140" t="s">
        <v>20</v>
      </c>
      <c r="C16" s="51">
        <v>0</v>
      </c>
      <c r="D16" s="6">
        <f t="shared" si="3"/>
        <v>0</v>
      </c>
      <c r="E16" s="104"/>
      <c r="F16" s="11"/>
      <c r="G16" s="123"/>
      <c r="H16" s="59"/>
      <c r="I16" s="134"/>
      <c r="J16" s="24">
        <f t="shared" si="2"/>
        <v>0</v>
      </c>
      <c r="K16" s="86"/>
      <c r="L16" s="92"/>
      <c r="M16" s="72"/>
      <c r="N16" s="72"/>
      <c r="O16" s="72"/>
      <c r="P16" s="72"/>
      <c r="Q16" s="72"/>
      <c r="R16" s="72"/>
      <c r="S16" s="69"/>
      <c r="T16" s="118"/>
      <c r="U16" s="69"/>
      <c r="V16" s="24"/>
      <c r="W16" s="112"/>
      <c r="X16" s="127"/>
      <c r="Y16" s="30"/>
      <c r="Z16" s="137"/>
      <c r="AA16" s="101"/>
      <c r="AC16" s="37">
        <v>1</v>
      </c>
      <c r="AD16" s="37"/>
      <c r="AE16" s="42"/>
      <c r="AF16" s="37">
        <v>7</v>
      </c>
      <c r="AG16" s="37"/>
      <c r="AH16" s="37">
        <v>7</v>
      </c>
      <c r="AI16" s="37"/>
      <c r="AJ16" s="37">
        <v>6.5</v>
      </c>
      <c r="AK16" s="38">
        <f>SUM(AD16:AJ16)</f>
        <v>20.5</v>
      </c>
    </row>
    <row r="17" spans="1:37" ht="14.4" customHeight="1" x14ac:dyDescent="0.3">
      <c r="A17" s="81" t="s">
        <v>22</v>
      </c>
      <c r="B17" s="140"/>
      <c r="C17" s="52">
        <f>420+420+390</f>
        <v>1230</v>
      </c>
      <c r="D17" s="7">
        <f t="shared" si="3"/>
        <v>20.5</v>
      </c>
      <c r="E17" s="102">
        <f>SUM(D17:D21)</f>
        <v>41.5</v>
      </c>
      <c r="F17" s="9"/>
      <c r="G17" s="76">
        <f>SUM(F17:F21)</f>
        <v>0</v>
      </c>
      <c r="H17" s="60"/>
      <c r="I17" s="73">
        <f>SUM(H17:H21)</f>
        <v>0</v>
      </c>
      <c r="J17" s="23">
        <f>AF16*(12.5*1.5)+12.5*(D17-AF16)</f>
        <v>300</v>
      </c>
      <c r="K17" s="84">
        <f>SUM(J17:J21)</f>
        <v>562.5</v>
      </c>
      <c r="L17" s="90">
        <f>E17*0.00979986197377502</f>
        <v>0.40669427191166335</v>
      </c>
      <c r="M17" s="87"/>
      <c r="N17" s="87"/>
      <c r="O17" s="70">
        <f>IF(G17&gt;200,(G17-200)*2+100*1+75*0.25,IF(G17&gt;100,(G17-100)*1+75*0.25,IF(G17&gt;25,(G17-25)*0.25,0)))</f>
        <v>0</v>
      </c>
      <c r="P17" s="87"/>
      <c r="Q17" s="87">
        <f>E17*0.1</f>
        <v>4.1500000000000004</v>
      </c>
      <c r="R17" s="70">
        <f>I17*0.14</f>
        <v>0</v>
      </c>
      <c r="S17" s="67">
        <f>SUM(K17:R21)</f>
        <v>567.05669427191162</v>
      </c>
      <c r="T17" s="64">
        <f>S17*-1*0.155</f>
        <v>-87.893787612146298</v>
      </c>
      <c r="U17" s="67">
        <f>SUM(S17:T21)</f>
        <v>479.16290665976533</v>
      </c>
      <c r="V17" s="43"/>
      <c r="W17" s="84">
        <f>SUM(V17:V21)</f>
        <v>0</v>
      </c>
      <c r="X17" s="67">
        <f>U17+W17</f>
        <v>479.16290665976533</v>
      </c>
      <c r="Y17" s="29"/>
      <c r="Z17" s="93">
        <f>SUM(Y17:Y21)</f>
        <v>0</v>
      </c>
      <c r="AA17" s="99">
        <f>X17+Z17</f>
        <v>479.16290665976533</v>
      </c>
      <c r="AC17" s="37"/>
      <c r="AD17" s="37"/>
      <c r="AE17" s="37"/>
      <c r="AF17" s="37"/>
      <c r="AG17" s="37"/>
      <c r="AH17" s="37"/>
      <c r="AI17" s="37"/>
      <c r="AJ17" s="37"/>
      <c r="AK17" s="38"/>
    </row>
    <row r="18" spans="1:37" x14ac:dyDescent="0.3">
      <c r="A18" s="82"/>
      <c r="B18" s="18" t="s">
        <v>24</v>
      </c>
      <c r="C18" s="48">
        <f>420+420+420</f>
        <v>1260</v>
      </c>
      <c r="D18" s="3">
        <f t="shared" si="3"/>
        <v>21</v>
      </c>
      <c r="E18" s="103"/>
      <c r="F18" s="10"/>
      <c r="G18" s="77"/>
      <c r="H18" s="61"/>
      <c r="I18" s="74"/>
      <c r="J18" s="21">
        <f t="shared" si="2"/>
        <v>262.5</v>
      </c>
      <c r="K18" s="85"/>
      <c r="L18" s="91"/>
      <c r="M18" s="88"/>
      <c r="N18" s="88"/>
      <c r="O18" s="71"/>
      <c r="P18" s="88"/>
      <c r="Q18" s="88"/>
      <c r="R18" s="71"/>
      <c r="S18" s="68"/>
      <c r="T18" s="65"/>
      <c r="U18" s="68"/>
      <c r="V18" s="44"/>
      <c r="W18" s="111"/>
      <c r="X18" s="68"/>
      <c r="Y18" s="27"/>
      <c r="Z18" s="94"/>
      <c r="AA18" s="100"/>
      <c r="AC18" s="37">
        <v>2</v>
      </c>
      <c r="AD18" s="37"/>
      <c r="AE18" s="37"/>
      <c r="AF18" s="37">
        <v>7</v>
      </c>
      <c r="AG18" s="37"/>
      <c r="AH18" s="37">
        <v>7</v>
      </c>
      <c r="AI18" s="37"/>
      <c r="AJ18" s="37">
        <v>7</v>
      </c>
      <c r="AK18" s="38">
        <f>SUM(AD18:AJ18)</f>
        <v>21</v>
      </c>
    </row>
    <row r="19" spans="1:37" x14ac:dyDescent="0.3">
      <c r="A19" s="82"/>
      <c r="B19" s="19" t="s">
        <v>25</v>
      </c>
      <c r="C19" s="49"/>
      <c r="D19" s="3">
        <f t="shared" si="3"/>
        <v>0</v>
      </c>
      <c r="E19" s="103"/>
      <c r="F19" s="10"/>
      <c r="G19" s="77"/>
      <c r="H19" s="61"/>
      <c r="I19" s="74"/>
      <c r="J19" s="21">
        <f t="shared" si="2"/>
        <v>0</v>
      </c>
      <c r="K19" s="85"/>
      <c r="L19" s="91"/>
      <c r="M19" s="88"/>
      <c r="N19" s="88"/>
      <c r="O19" s="71"/>
      <c r="P19" s="88"/>
      <c r="Q19" s="88"/>
      <c r="R19" s="71"/>
      <c r="S19" s="68"/>
      <c r="T19" s="65"/>
      <c r="U19" s="68"/>
      <c r="V19" s="44"/>
      <c r="W19" s="111"/>
      <c r="X19" s="68"/>
      <c r="Y19" s="28"/>
      <c r="Z19" s="94"/>
      <c r="AA19" s="100"/>
      <c r="AC19" s="37">
        <v>3</v>
      </c>
      <c r="AD19" s="37"/>
      <c r="AE19" s="37"/>
      <c r="AF19" s="37"/>
      <c r="AG19" s="37"/>
      <c r="AH19" s="37"/>
      <c r="AI19" s="37"/>
      <c r="AJ19" s="37"/>
      <c r="AK19" s="38">
        <f>SUM(AD19:AJ19)</f>
        <v>0</v>
      </c>
    </row>
    <row r="20" spans="1:37" x14ac:dyDescent="0.3">
      <c r="A20" s="82"/>
      <c r="B20" s="19" t="s">
        <v>26</v>
      </c>
      <c r="C20" s="49"/>
      <c r="D20" s="3">
        <f t="shared" si="3"/>
        <v>0</v>
      </c>
      <c r="E20" s="103"/>
      <c r="F20" s="10"/>
      <c r="G20" s="77"/>
      <c r="H20" s="61"/>
      <c r="I20" s="74"/>
      <c r="J20" s="21">
        <f t="shared" si="2"/>
        <v>0</v>
      </c>
      <c r="K20" s="85"/>
      <c r="L20" s="91"/>
      <c r="M20" s="88"/>
      <c r="N20" s="88"/>
      <c r="O20" s="71"/>
      <c r="P20" s="88"/>
      <c r="Q20" s="88"/>
      <c r="R20" s="71"/>
      <c r="S20" s="68"/>
      <c r="T20" s="65"/>
      <c r="U20" s="68"/>
      <c r="V20" s="46"/>
      <c r="W20" s="111"/>
      <c r="X20" s="68"/>
      <c r="Y20" s="28"/>
      <c r="Z20" s="94"/>
      <c r="AA20" s="100"/>
      <c r="AC20" s="37">
        <v>4</v>
      </c>
      <c r="AD20" s="37"/>
      <c r="AE20" s="37"/>
      <c r="AF20" s="37"/>
      <c r="AG20" s="37"/>
      <c r="AH20" s="37"/>
      <c r="AI20" s="37"/>
      <c r="AJ20" s="37"/>
      <c r="AK20" s="38">
        <f>SUM(AD20:AJ20)</f>
        <v>0</v>
      </c>
    </row>
    <row r="21" spans="1:37" ht="15" thickBot="1" x14ac:dyDescent="0.35">
      <c r="A21" s="83"/>
      <c r="B21" s="79" t="s">
        <v>44</v>
      </c>
      <c r="C21" s="50"/>
      <c r="D21" s="3">
        <f t="shared" si="3"/>
        <v>0</v>
      </c>
      <c r="E21" s="104"/>
      <c r="F21" s="11"/>
      <c r="G21" s="78"/>
      <c r="H21" s="62"/>
      <c r="I21" s="75"/>
      <c r="J21" s="21">
        <f t="shared" si="2"/>
        <v>0</v>
      </c>
      <c r="K21" s="86"/>
      <c r="L21" s="92"/>
      <c r="M21" s="89"/>
      <c r="N21" s="89"/>
      <c r="O21" s="72"/>
      <c r="P21" s="89"/>
      <c r="Q21" s="89"/>
      <c r="R21" s="72"/>
      <c r="S21" s="69"/>
      <c r="T21" s="66"/>
      <c r="U21" s="69"/>
      <c r="V21" s="45"/>
      <c r="W21" s="112"/>
      <c r="X21" s="69"/>
      <c r="Y21" s="30"/>
      <c r="Z21" s="95"/>
      <c r="AA21" s="101"/>
      <c r="AC21" s="37">
        <v>5</v>
      </c>
      <c r="AD21" s="37"/>
      <c r="AE21" s="37"/>
      <c r="AF21" s="37"/>
      <c r="AG21" s="37"/>
      <c r="AH21" s="37"/>
      <c r="AI21" s="37"/>
      <c r="AJ21" s="37"/>
      <c r="AK21" s="38">
        <f>SUM(AD21:AJ21)</f>
        <v>0</v>
      </c>
    </row>
    <row r="22" spans="1:37" ht="15" thickBot="1" x14ac:dyDescent="0.35">
      <c r="A22" s="98" t="s">
        <v>45</v>
      </c>
      <c r="B22" s="80"/>
      <c r="C22" s="47"/>
      <c r="D22" s="7">
        <f t="shared" si="3"/>
        <v>0</v>
      </c>
      <c r="E22" s="102">
        <f>SUM(D22:D26)</f>
        <v>0</v>
      </c>
      <c r="F22" s="9"/>
      <c r="G22" s="76">
        <f>SUM(F22:F26)</f>
        <v>0</v>
      </c>
      <c r="H22" s="60"/>
      <c r="I22" s="73">
        <f>SUM(H22:H26)</f>
        <v>0</v>
      </c>
      <c r="J22" s="41">
        <f t="shared" si="2"/>
        <v>0</v>
      </c>
      <c r="K22" s="84">
        <f>SUM(J22:J26)</f>
        <v>0</v>
      </c>
      <c r="L22" s="108">
        <f>E22*0.00979986197377502</f>
        <v>0</v>
      </c>
      <c r="M22" s="105"/>
      <c r="N22" s="87"/>
      <c r="O22" s="70">
        <f>IF(G22&gt;200,(G22-200)*2+100*1+75*0.25,IF(G22&gt;100,(G22-100)*1+75*0.25,IF(G22&gt;25,(G22-25)*0.25,0)))</f>
        <v>0</v>
      </c>
      <c r="P22" s="105"/>
      <c r="Q22" s="87">
        <f>E22*0.1</f>
        <v>0</v>
      </c>
      <c r="R22" s="70">
        <f>I22*0.14</f>
        <v>0</v>
      </c>
      <c r="S22" s="67">
        <f>SUM(K22:R26)</f>
        <v>0</v>
      </c>
      <c r="T22" s="113">
        <f>S22*-1*0.155</f>
        <v>0</v>
      </c>
      <c r="U22" s="67">
        <f>SUM(S22:T26)</f>
        <v>0</v>
      </c>
      <c r="V22" s="43"/>
      <c r="W22" s="84">
        <f>SUM(V22:V26)</f>
        <v>0</v>
      </c>
      <c r="X22" s="67">
        <f>U22+W22</f>
        <v>0</v>
      </c>
      <c r="Y22" s="29"/>
      <c r="Z22" s="93">
        <f>SUM(Y22:Y26)</f>
        <v>0</v>
      </c>
      <c r="AA22" s="99">
        <f>X22+Z22</f>
        <v>0</v>
      </c>
    </row>
    <row r="23" spans="1:37" ht="15" thickBot="1" x14ac:dyDescent="0.35">
      <c r="A23" s="98"/>
      <c r="B23" s="17" t="s">
        <v>46</v>
      </c>
      <c r="C23" s="48"/>
      <c r="D23" s="3">
        <f t="shared" si="3"/>
        <v>0</v>
      </c>
      <c r="E23" s="103"/>
      <c r="F23" s="10"/>
      <c r="G23" s="77"/>
      <c r="H23" s="61"/>
      <c r="I23" s="74"/>
      <c r="J23" s="21">
        <f t="shared" si="2"/>
        <v>0</v>
      </c>
      <c r="K23" s="85"/>
      <c r="L23" s="109"/>
      <c r="M23" s="106"/>
      <c r="N23" s="88"/>
      <c r="O23" s="71"/>
      <c r="P23" s="106"/>
      <c r="Q23" s="88"/>
      <c r="R23" s="71"/>
      <c r="S23" s="68"/>
      <c r="T23" s="114"/>
      <c r="U23" s="68"/>
      <c r="V23" s="44"/>
      <c r="W23" s="111"/>
      <c r="X23" s="68"/>
      <c r="Y23" s="27"/>
      <c r="Z23" s="94"/>
      <c r="AA23" s="100"/>
      <c r="AC23" s="53">
        <f>SUM(J2:J14)/11/7*5</f>
        <v>191.89664502164501</v>
      </c>
    </row>
    <row r="24" spans="1:37" ht="15" thickBot="1" x14ac:dyDescent="0.35">
      <c r="A24" s="98"/>
      <c r="B24" s="19" t="s">
        <v>47</v>
      </c>
      <c r="C24" s="48"/>
      <c r="D24" s="3">
        <f t="shared" si="3"/>
        <v>0</v>
      </c>
      <c r="E24" s="103"/>
      <c r="F24" s="10"/>
      <c r="G24" s="77"/>
      <c r="H24" s="61"/>
      <c r="I24" s="74"/>
      <c r="J24" s="21">
        <f t="shared" si="2"/>
        <v>0</v>
      </c>
      <c r="K24" s="85"/>
      <c r="L24" s="109"/>
      <c r="M24" s="106"/>
      <c r="N24" s="88"/>
      <c r="O24" s="71"/>
      <c r="P24" s="106"/>
      <c r="Q24" s="88"/>
      <c r="R24" s="71"/>
      <c r="S24" s="68"/>
      <c r="T24" s="114"/>
      <c r="U24" s="68"/>
      <c r="V24" s="44"/>
      <c r="W24" s="111"/>
      <c r="X24" s="68"/>
      <c r="Y24" s="27"/>
      <c r="Z24" s="94"/>
      <c r="AA24" s="100"/>
    </row>
    <row r="25" spans="1:37" ht="15" thickBot="1" x14ac:dyDescent="0.35">
      <c r="A25" s="98"/>
      <c r="B25" s="19" t="s">
        <v>48</v>
      </c>
      <c r="C25" s="48"/>
      <c r="D25" s="3">
        <f t="shared" si="3"/>
        <v>0</v>
      </c>
      <c r="E25" s="103"/>
      <c r="F25" s="10"/>
      <c r="G25" s="77"/>
      <c r="H25" s="61"/>
      <c r="I25" s="74"/>
      <c r="J25" s="21">
        <f t="shared" si="2"/>
        <v>0</v>
      </c>
      <c r="K25" s="85"/>
      <c r="L25" s="109"/>
      <c r="M25" s="106"/>
      <c r="N25" s="88"/>
      <c r="O25" s="71"/>
      <c r="P25" s="106"/>
      <c r="Q25" s="88"/>
      <c r="R25" s="71"/>
      <c r="S25" s="68"/>
      <c r="T25" s="114"/>
      <c r="U25" s="68"/>
      <c r="V25" s="44"/>
      <c r="W25" s="111"/>
      <c r="X25" s="68"/>
      <c r="Y25" s="27"/>
      <c r="Z25" s="94"/>
      <c r="AA25" s="100"/>
    </row>
    <row r="26" spans="1:37" ht="15" thickBot="1" x14ac:dyDescent="0.35">
      <c r="A26" s="98"/>
      <c r="B26" s="96" t="s">
        <v>49</v>
      </c>
      <c r="C26" s="50"/>
      <c r="D26" s="6">
        <f t="shared" si="3"/>
        <v>0</v>
      </c>
      <c r="E26" s="104"/>
      <c r="F26" s="11"/>
      <c r="G26" s="78"/>
      <c r="H26" s="62"/>
      <c r="I26" s="75"/>
      <c r="J26" s="24">
        <f t="shared" si="2"/>
        <v>0</v>
      </c>
      <c r="K26" s="86"/>
      <c r="L26" s="110"/>
      <c r="M26" s="107"/>
      <c r="N26" s="89"/>
      <c r="O26" s="72"/>
      <c r="P26" s="107"/>
      <c r="Q26" s="89"/>
      <c r="R26" s="72"/>
      <c r="S26" s="69"/>
      <c r="T26" s="115"/>
      <c r="U26" s="69"/>
      <c r="V26" s="45"/>
      <c r="W26" s="112"/>
      <c r="X26" s="69"/>
      <c r="Y26" s="30"/>
      <c r="Z26" s="95"/>
      <c r="AA26" s="101"/>
    </row>
    <row r="27" spans="1:37" ht="15" thickBot="1" x14ac:dyDescent="0.35">
      <c r="A27" s="98" t="s">
        <v>50</v>
      </c>
      <c r="B27" s="97"/>
    </row>
    <row r="28" spans="1:37" ht="15" thickBot="1" x14ac:dyDescent="0.35">
      <c r="A28" s="98"/>
      <c r="H28" s="63"/>
      <c r="I28" s="36"/>
      <c r="L28" s="53"/>
      <c r="M28" s="53"/>
      <c r="N28" s="53"/>
    </row>
    <row r="29" spans="1:37" ht="15" thickBot="1" x14ac:dyDescent="0.35">
      <c r="A29" s="98"/>
      <c r="I29" s="63"/>
      <c r="M29" s="53"/>
    </row>
    <row r="30" spans="1:37" ht="15" thickBot="1" x14ac:dyDescent="0.35">
      <c r="A30" s="98"/>
      <c r="I30" s="63"/>
      <c r="M30" s="53"/>
    </row>
    <row r="31" spans="1:37" ht="15" thickBot="1" x14ac:dyDescent="0.35">
      <c r="A31" s="98"/>
    </row>
  </sheetData>
  <autoFilter ref="A1:AK31" xr:uid="{00000000-0001-0000-0000-000000000000}">
    <filterColumn colId="0" showButton="0"/>
    <filterColumn colId="3" showButton="0"/>
    <filterColumn colId="5" showButton="0"/>
    <filterColumn colId="7" showButton="0"/>
    <filterColumn colId="9" showButton="0"/>
    <filterColumn colId="21" showButton="0"/>
    <filterColumn colId="24" showButton="0"/>
  </autoFilter>
  <mergeCells count="109">
    <mergeCell ref="Y1:Z1"/>
    <mergeCell ref="Z6:Z10"/>
    <mergeCell ref="Z2:Z5"/>
    <mergeCell ref="Q6:Q10"/>
    <mergeCell ref="I6:I7"/>
    <mergeCell ref="I8:I10"/>
    <mergeCell ref="V1:W1"/>
    <mergeCell ref="B16:B17"/>
    <mergeCell ref="A11:A16"/>
    <mergeCell ref="A1:B1"/>
    <mergeCell ref="K2:K5"/>
    <mergeCell ref="K6:K10"/>
    <mergeCell ref="A2:A5"/>
    <mergeCell ref="B5:B6"/>
    <mergeCell ref="A6:A10"/>
    <mergeCell ref="B10:B11"/>
    <mergeCell ref="M11:M16"/>
    <mergeCell ref="Q11:Q16"/>
    <mergeCell ref="D1:E1"/>
    <mergeCell ref="G11:G16"/>
    <mergeCell ref="O6:O10"/>
    <mergeCell ref="O11:O16"/>
    <mergeCell ref="Q17:Q21"/>
    <mergeCell ref="R17:R21"/>
    <mergeCell ref="AA2:AA5"/>
    <mergeCell ref="X2:X5"/>
    <mergeCell ref="AA6:AA10"/>
    <mergeCell ref="AA11:AA16"/>
    <mergeCell ref="K11:K16"/>
    <mergeCell ref="I2:I5"/>
    <mergeCell ref="R2:R5"/>
    <mergeCell ref="I11:I16"/>
    <mergeCell ref="R6:R10"/>
    <mergeCell ref="R11:R16"/>
    <mergeCell ref="Z11:Z16"/>
    <mergeCell ref="N2:N5"/>
    <mergeCell ref="N6:N10"/>
    <mergeCell ref="N11:N16"/>
    <mergeCell ref="F1:G1"/>
    <mergeCell ref="G2:G5"/>
    <mergeCell ref="O2:O5"/>
    <mergeCell ref="G6:G10"/>
    <mergeCell ref="M2:M5"/>
    <mergeCell ref="M6:M10"/>
    <mergeCell ref="Q2:Q5"/>
    <mergeCell ref="X6:X10"/>
    <mergeCell ref="X11:X16"/>
    <mergeCell ref="W11:W16"/>
    <mergeCell ref="W2:W5"/>
    <mergeCell ref="W6:W10"/>
    <mergeCell ref="J1:K1"/>
    <mergeCell ref="H1:I1"/>
    <mergeCell ref="E6:E10"/>
    <mergeCell ref="E11:E16"/>
    <mergeCell ref="U2:U5"/>
    <mergeCell ref="U6:U10"/>
    <mergeCell ref="U11:U16"/>
    <mergeCell ref="P2:P5"/>
    <mergeCell ref="P6:P10"/>
    <mergeCell ref="P11:P16"/>
    <mergeCell ref="L2:L5"/>
    <mergeCell ref="L6:L10"/>
    <mergeCell ref="L11:L16"/>
    <mergeCell ref="S2:S5"/>
    <mergeCell ref="S6:S10"/>
    <mergeCell ref="S11:S16"/>
    <mergeCell ref="T2:T5"/>
    <mergeCell ref="T6:T10"/>
    <mergeCell ref="T11:T16"/>
    <mergeCell ref="E2:E5"/>
    <mergeCell ref="Z22:Z26"/>
    <mergeCell ref="B26:B27"/>
    <mergeCell ref="A22:A26"/>
    <mergeCell ref="A27:A31"/>
    <mergeCell ref="AA17:AA21"/>
    <mergeCell ref="AA22:AA26"/>
    <mergeCell ref="E17:E21"/>
    <mergeCell ref="E22:E26"/>
    <mergeCell ref="O22:O26"/>
    <mergeCell ref="P22:P26"/>
    <mergeCell ref="Q22:Q26"/>
    <mergeCell ref="R22:R26"/>
    <mergeCell ref="S22:S26"/>
    <mergeCell ref="G22:G26"/>
    <mergeCell ref="I22:I26"/>
    <mergeCell ref="K22:K26"/>
    <mergeCell ref="L22:L26"/>
    <mergeCell ref="M22:M26"/>
    <mergeCell ref="Z17:Z21"/>
    <mergeCell ref="W17:W21"/>
    <mergeCell ref="P17:P21"/>
    <mergeCell ref="W22:W26"/>
    <mergeCell ref="T22:T26"/>
    <mergeCell ref="U22:U26"/>
    <mergeCell ref="T17:T21"/>
    <mergeCell ref="U17:U21"/>
    <mergeCell ref="X17:X21"/>
    <mergeCell ref="O17:O21"/>
    <mergeCell ref="I17:I21"/>
    <mergeCell ref="G17:G21"/>
    <mergeCell ref="B21:B22"/>
    <mergeCell ref="A17:A21"/>
    <mergeCell ref="X22:X26"/>
    <mergeCell ref="K17:K21"/>
    <mergeCell ref="M17:M21"/>
    <mergeCell ref="L17:L21"/>
    <mergeCell ref="S17:S21"/>
    <mergeCell ref="N17:N21"/>
    <mergeCell ref="N22:N26"/>
  </mergeCells>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Serhat Kosif</dc:creator>
  <cp:lastModifiedBy>Serhat Kosif</cp:lastModifiedBy>
  <dcterms:created xsi:type="dcterms:W3CDTF">2015-06-05T18:17:20Z</dcterms:created>
  <dcterms:modified xsi:type="dcterms:W3CDTF">2024-12-21T17:06:55Z</dcterms:modified>
</cp:coreProperties>
</file>