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 codeName="ThisWorkbook"/>
  <xr:revisionPtr revIDLastSave="0" documentId="13_ncr:1_{125FA3EE-5E72-4F5A-9B64-AD74CB613281}" xr6:coauthVersionLast="36" xr6:coauthVersionMax="36" xr10:uidLastSave="{00000000-0000-0000-0000-000000000000}"/>
  <bookViews>
    <workbookView xWindow="0" yWindow="0" windowWidth="8190" windowHeight="4830" activeTab="2" xr2:uid="{00000000-000D-0000-FFFF-FFFF00000000}"/>
  </bookViews>
  <sheets>
    <sheet name="Bayer_Hall_Heroult" sheetId="1" r:id="rId1"/>
    <sheet name="material_price" sheetId="3" r:id="rId2"/>
    <sheet name="aluminum_production_mix" sheetId="4" r:id="rId3"/>
    <sheet name="economic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4" i="1" l="1"/>
  <c r="R94" i="1"/>
  <c r="R96" i="1" l="1"/>
  <c r="P94" i="1"/>
  <c r="O94" i="1"/>
  <c r="P55" i="1" l="1"/>
  <c r="V102" i="1"/>
  <c r="V104" i="1"/>
  <c r="V103" i="1"/>
  <c r="U104" i="1" l="1"/>
  <c r="U103" i="1"/>
  <c r="V94" i="1"/>
  <c r="V90" i="1"/>
  <c r="U90" i="1"/>
  <c r="U92" i="1" s="1"/>
  <c r="U93" i="1" s="1"/>
  <c r="U66" i="1"/>
  <c r="U88" i="1"/>
  <c r="R90" i="1"/>
  <c r="S90" i="1"/>
  <c r="S94" i="1"/>
  <c r="V101" i="1"/>
  <c r="U101" i="1"/>
  <c r="V99" i="1"/>
  <c r="U99" i="1"/>
  <c r="V98" i="1"/>
  <c r="U98" i="1"/>
  <c r="V97" i="1"/>
  <c r="U97" i="1"/>
  <c r="V92" i="1"/>
  <c r="V93" i="1" s="1"/>
  <c r="R66" i="1"/>
  <c r="O101" i="1"/>
  <c r="V88" i="1"/>
  <c r="V87" i="1"/>
  <c r="V86" i="1"/>
  <c r="U87" i="1"/>
  <c r="U86" i="1"/>
  <c r="S88" i="1"/>
  <c r="R88" i="1"/>
  <c r="S87" i="1"/>
  <c r="R87" i="1"/>
  <c r="S86" i="1"/>
  <c r="R86" i="1"/>
  <c r="O68" i="1" l="1"/>
  <c r="O61" i="1" s="1"/>
  <c r="O110" i="1" s="1"/>
  <c r="P68" i="1"/>
  <c r="P63" i="1" s="1"/>
  <c r="P111" i="1" s="1"/>
  <c r="O62" i="1" l="1"/>
  <c r="O60" i="1"/>
  <c r="O59" i="1"/>
  <c r="O66" i="1"/>
  <c r="O63" i="1"/>
  <c r="O111" i="1" s="1"/>
  <c r="P60" i="1"/>
  <c r="P59" i="1"/>
  <c r="P66" i="1"/>
  <c r="P62" i="1"/>
  <c r="P61" i="1"/>
  <c r="P110" i="1" s="1"/>
  <c r="P31" i="1" l="1"/>
  <c r="P27" i="1"/>
  <c r="P46" i="1"/>
  <c r="P53" i="1"/>
  <c r="P51" i="1"/>
  <c r="P107" i="1"/>
  <c r="F80" i="1" l="1"/>
  <c r="G80" i="1"/>
  <c r="Z31" i="1" l="1"/>
  <c r="Z11" i="1"/>
  <c r="AA68" i="1"/>
  <c r="Z47" i="1"/>
  <c r="Z12" i="1"/>
  <c r="Z66" i="1"/>
  <c r="Z55" i="1"/>
  <c r="Z33" i="1"/>
  <c r="C6" i="3" l="1"/>
  <c r="M26" i="1" l="1"/>
  <c r="M27" i="1"/>
  <c r="M28" i="1"/>
  <c r="M29" i="1"/>
  <c r="M25" i="1"/>
  <c r="L26" i="1"/>
  <c r="L27" i="1"/>
  <c r="L28" i="1"/>
  <c r="L29" i="1"/>
  <c r="L25" i="1" l="1"/>
  <c r="U100" i="1"/>
  <c r="V96" i="1"/>
  <c r="P30" i="1"/>
  <c r="O30" i="1"/>
  <c r="R30" i="1" s="1"/>
  <c r="U30" i="1" s="1"/>
  <c r="V100" i="1" l="1"/>
  <c r="O52" i="1"/>
  <c r="R52" i="1" s="1"/>
  <c r="U52" i="1" s="1"/>
  <c r="O55" i="1"/>
  <c r="O107" i="1" s="1"/>
  <c r="O28" i="1"/>
  <c r="O26" i="1"/>
  <c r="R26" i="1" s="1"/>
  <c r="U26" i="1" s="1"/>
  <c r="O19" i="1"/>
  <c r="O108" i="1" s="1"/>
  <c r="O18" i="1"/>
  <c r="O33" i="1"/>
  <c r="S30" i="1"/>
  <c r="V30" i="1" s="1"/>
  <c r="R28" i="1" l="1"/>
  <c r="U28" i="1" s="1"/>
  <c r="S66" i="1"/>
  <c r="V66" i="1" l="1"/>
  <c r="O5" i="1"/>
  <c r="O6" i="1"/>
  <c r="O7" i="1"/>
  <c r="O8" i="1"/>
  <c r="O9" i="1"/>
  <c r="O10" i="1"/>
  <c r="O12" i="1"/>
  <c r="O106" i="1" s="1"/>
  <c r="O13" i="1"/>
  <c r="O14" i="1"/>
  <c r="O4" i="1"/>
  <c r="P19" i="1"/>
  <c r="P108" i="1" s="1"/>
  <c r="O20" i="1"/>
  <c r="P20" i="1"/>
  <c r="O21" i="1"/>
  <c r="P21" i="1"/>
  <c r="O22" i="1"/>
  <c r="O109" i="1" s="1"/>
  <c r="P22" i="1"/>
  <c r="P109" i="1" s="1"/>
  <c r="O23" i="1"/>
  <c r="P23" i="1"/>
  <c r="O24" i="1"/>
  <c r="P24" i="1"/>
  <c r="O25" i="1"/>
  <c r="R25" i="1" s="1"/>
  <c r="U25" i="1" s="1"/>
  <c r="U96" i="1" s="1"/>
  <c r="P25" i="1"/>
  <c r="S25" i="1" s="1"/>
  <c r="P26" i="1"/>
  <c r="S26" i="1" s="1"/>
  <c r="V26" i="1" s="1"/>
  <c r="O27" i="1"/>
  <c r="R27" i="1" s="1"/>
  <c r="U27" i="1" s="1"/>
  <c r="U31" i="1" s="1"/>
  <c r="S27" i="1"/>
  <c r="V27" i="1" s="1"/>
  <c r="P28" i="1"/>
  <c r="O29" i="1"/>
  <c r="O103" i="1" s="1"/>
  <c r="P29" i="1"/>
  <c r="P103" i="1" s="1"/>
  <c r="O31" i="1"/>
  <c r="P33" i="1"/>
  <c r="P18" i="1"/>
  <c r="P8" i="1" s="1"/>
  <c r="O44" i="1"/>
  <c r="O45" i="1"/>
  <c r="O46" i="1"/>
  <c r="O48" i="1"/>
  <c r="O49" i="1"/>
  <c r="R49" i="1" s="1"/>
  <c r="U49" i="1" s="1"/>
  <c r="O50" i="1"/>
  <c r="R50" i="1" s="1"/>
  <c r="U50" i="1" s="1"/>
  <c r="O51" i="1"/>
  <c r="O53" i="1"/>
  <c r="O43" i="1"/>
  <c r="P44" i="1"/>
  <c r="P45" i="1"/>
  <c r="P47" i="1"/>
  <c r="V47" i="1" s="1"/>
  <c r="P48" i="1"/>
  <c r="P49" i="1"/>
  <c r="S49" i="1" s="1"/>
  <c r="V49" i="1" s="1"/>
  <c r="P50" i="1"/>
  <c r="S50" i="1" s="1"/>
  <c r="V50" i="1" s="1"/>
  <c r="S51" i="1"/>
  <c r="V51" i="1" s="1"/>
  <c r="P52" i="1"/>
  <c r="S52" i="1" s="1"/>
  <c r="V52" i="1" s="1"/>
  <c r="P43" i="1"/>
  <c r="S8" i="1" l="1"/>
  <c r="V8" i="1" s="1"/>
  <c r="P100" i="1"/>
  <c r="S28" i="1"/>
  <c r="V28" i="1" s="1"/>
  <c r="P102" i="1"/>
  <c r="R8" i="1"/>
  <c r="U8" i="1" s="1"/>
  <c r="O100" i="1"/>
  <c r="O99" i="1"/>
  <c r="O98" i="1"/>
  <c r="R51" i="1"/>
  <c r="U51" i="1" s="1"/>
  <c r="O102" i="1"/>
  <c r="R10" i="1"/>
  <c r="R7" i="1"/>
  <c r="U7" i="1" s="1"/>
  <c r="P10" i="1"/>
  <c r="P9" i="1"/>
  <c r="P6" i="1"/>
  <c r="P98" i="1" s="1"/>
  <c r="V31" i="1"/>
  <c r="V53" i="1"/>
  <c r="P13" i="1"/>
  <c r="P7" i="1"/>
  <c r="P99" i="1" s="1"/>
  <c r="P12" i="1"/>
  <c r="P106" i="1" s="1"/>
  <c r="P4" i="1"/>
  <c r="P5" i="1"/>
  <c r="P14" i="1"/>
  <c r="D2" i="5"/>
  <c r="C2" i="5"/>
  <c r="U10" i="1" l="1"/>
  <c r="S10" i="1"/>
  <c r="V10" i="1" s="1"/>
  <c r="P101" i="1"/>
  <c r="S7" i="1"/>
  <c r="V7" i="1" s="1"/>
  <c r="G86" i="1"/>
  <c r="U11" i="1" l="1"/>
  <c r="V11" i="1"/>
  <c r="E47" i="1"/>
  <c r="O47" i="1" s="1"/>
  <c r="U47" i="1" s="1"/>
  <c r="U102" i="1" l="1"/>
  <c r="U53" i="1"/>
  <c r="G88" i="1"/>
  <c r="G90" i="1"/>
  <c r="G66" i="1"/>
  <c r="I64" i="1"/>
  <c r="I27" i="1"/>
  <c r="I8" i="1"/>
  <c r="B84" i="1"/>
  <c r="B88" i="1"/>
  <c r="B31" i="1"/>
  <c r="B28" i="1"/>
  <c r="H8" i="1"/>
  <c r="H7" i="1"/>
  <c r="H9" i="1" s="1"/>
</calcChain>
</file>

<file path=xl/sharedStrings.xml><?xml version="1.0" encoding="utf-8"?>
<sst xmlns="http://schemas.openxmlformats.org/spreadsheetml/2006/main" count="612" uniqueCount="164">
  <si>
    <t>Processes</t>
  </si>
  <si>
    <t>China</t>
  </si>
  <si>
    <t>India</t>
  </si>
  <si>
    <t>United States</t>
  </si>
  <si>
    <t>EU-27</t>
  </si>
  <si>
    <t>Inputs</t>
  </si>
  <si>
    <t>Electricity</t>
  </si>
  <si>
    <t>Units</t>
  </si>
  <si>
    <t>source:</t>
  </si>
  <si>
    <t>kWh</t>
  </si>
  <si>
    <t>Fresh Water</t>
  </si>
  <si>
    <t>Sea Water</t>
  </si>
  <si>
    <t>Diesel oil</t>
  </si>
  <si>
    <t>Heavy oil</t>
  </si>
  <si>
    <t>m3</t>
  </si>
  <si>
    <t>Bauxite</t>
  </si>
  <si>
    <t>tonne</t>
  </si>
  <si>
    <t>European Aluminum Industry: https://european-aluminium.eu/media/3321/full-environmental-profile-report-2018.pdf</t>
  </si>
  <si>
    <t>Note</t>
  </si>
  <si>
    <t>Environmental data related to year 2015</t>
  </si>
  <si>
    <t>MJ</t>
  </si>
  <si>
    <t>Coal</t>
  </si>
  <si>
    <t>CO2 conversion factor for fuels</t>
  </si>
  <si>
    <t>Natural gas</t>
  </si>
  <si>
    <t>Hard coal</t>
  </si>
  <si>
    <t>Diesel/light oil</t>
  </si>
  <si>
    <t>steam</t>
  </si>
  <si>
    <t>kg CO2/MJ</t>
  </si>
  <si>
    <t>Bauxite production</t>
  </si>
  <si>
    <t>Alumina production</t>
  </si>
  <si>
    <t>Outputs</t>
  </si>
  <si>
    <t>NaOH (as 100%)</t>
  </si>
  <si>
    <t>CaO</t>
  </si>
  <si>
    <t>Fresh water</t>
  </si>
  <si>
    <t>Sea water</t>
  </si>
  <si>
    <t>Natural Gas</t>
  </si>
  <si>
    <t>Steam</t>
  </si>
  <si>
    <t>Alumina</t>
  </si>
  <si>
    <t>Calcined coke</t>
  </si>
  <si>
    <t>Pitch</t>
  </si>
  <si>
    <t>Butts</t>
  </si>
  <si>
    <t>Green anodes</t>
  </si>
  <si>
    <t>Total raw carbon</t>
  </si>
  <si>
    <t>Total thermal energy</t>
  </si>
  <si>
    <t>Anode</t>
  </si>
  <si>
    <t>Anode/Paste production</t>
  </si>
  <si>
    <t>Anode/paste(net)</t>
  </si>
  <si>
    <t>Cathode carbon</t>
  </si>
  <si>
    <t>Steel</t>
  </si>
  <si>
    <t>Aluminum</t>
  </si>
  <si>
    <t>CF4</t>
  </si>
  <si>
    <t>C2F6</t>
  </si>
  <si>
    <t>Ingot production</t>
  </si>
  <si>
    <t>Liquid aluminum</t>
  </si>
  <si>
    <t>Remelt ingot</t>
  </si>
  <si>
    <t>Al scrap</t>
  </si>
  <si>
    <t>Alloy additives</t>
  </si>
  <si>
    <t>Chlorine</t>
  </si>
  <si>
    <t>Argon</t>
  </si>
  <si>
    <t>Nitrogen</t>
  </si>
  <si>
    <t>Aluminum ingot</t>
  </si>
  <si>
    <t>Bauxite composition</t>
  </si>
  <si>
    <t>Diaspore</t>
  </si>
  <si>
    <t>Gibbsite</t>
  </si>
  <si>
    <t>hematite</t>
  </si>
  <si>
    <t>Silica</t>
  </si>
  <si>
    <t>Rutile</t>
  </si>
  <si>
    <t>Anorthite</t>
  </si>
  <si>
    <t>Kaolin</t>
  </si>
  <si>
    <t>water</t>
  </si>
  <si>
    <t>wt.%</t>
  </si>
  <si>
    <t>source: Intelligen, Inc.: https://www.researchgate.net/profile/Demetri-Petrides/publication/351428524_Aluminum_Aluminium_Production_Utilizing_the_Bayer_and_Hall-Heroult_Process_-_Modeling_and_Techno-Economic_Assessment_TEA_using_SuperPro_Designer/links/6096f1e5a6fdccaebd196db2/Aluminum-Aluminium-Production-Utilizing-the-Bayer-and-Hall-Heroult-Process-Modeling-and-Techno-Economic-Assessment-TEA-using-SuperPro-Designer.pdf</t>
  </si>
  <si>
    <t>capex, opex is also considered</t>
  </si>
  <si>
    <t xml:space="preserve">Note: Intelligen Inc. provide process simulation and production shceduling tools and services for process industries. Headquartered in New Jersey, US. </t>
  </si>
  <si>
    <t>Australia</t>
  </si>
  <si>
    <t>Norgate, Terry, and Nawshad Haque. "Energy and greenhouse gas impacts of mining and mineral processing operations." Journal of Cleaner Production 18.3 (2010): 266-274.</t>
  </si>
  <si>
    <t>Data base year</t>
  </si>
  <si>
    <t>Assumptions</t>
  </si>
  <si>
    <t>MJ/kg</t>
  </si>
  <si>
    <t>MJ/Nm3</t>
  </si>
  <si>
    <t>Value</t>
  </si>
  <si>
    <t>Source</t>
  </si>
  <si>
    <t>https://www.unitrove.com/engineering/tools/gas/natural-gas-calorific-value</t>
  </si>
  <si>
    <t>Petroleum coke</t>
  </si>
  <si>
    <t>Bitumen</t>
  </si>
  <si>
    <t>Anthracite</t>
  </si>
  <si>
    <t>Diesel</t>
  </si>
  <si>
    <t>Silicon</t>
  </si>
  <si>
    <t>Copper</t>
  </si>
  <si>
    <t>Hong, Jingmin, et al. "Environmental and economic life cycle assessment of aluminum-silicon alloys production: a case study in China." Journal of Cleaner Production 24 (2012): 11-19.</t>
  </si>
  <si>
    <t>Indonesia</t>
  </si>
  <si>
    <t>MJ/L</t>
  </si>
  <si>
    <t>https://www.claverton-energy.com/wordpress/wp-content/uploads/2012/08/the_energy_and_fuel_data_sheet1.pdf</t>
  </si>
  <si>
    <t>Ca(OH)2</t>
  </si>
  <si>
    <t>Flocullant</t>
  </si>
  <si>
    <t>http://www.ipcbee.com/vol70/011-ICEEB2014-R0004.pdf</t>
  </si>
  <si>
    <t>Gulf Cooperation Council region</t>
  </si>
  <si>
    <t>Coke</t>
  </si>
  <si>
    <t>Steel sheet</t>
  </si>
  <si>
    <t>Crude oil</t>
  </si>
  <si>
    <t>https://publications.waset.org/9997980/pdf</t>
  </si>
  <si>
    <t>Primary aluminum production</t>
  </si>
  <si>
    <t>Aluminum fluoride</t>
  </si>
  <si>
    <t>Pathways</t>
  </si>
  <si>
    <t>Primary</t>
  </si>
  <si>
    <t>Secondary</t>
  </si>
  <si>
    <t>unit</t>
  </si>
  <si>
    <t>year</t>
  </si>
  <si>
    <t>source</t>
  </si>
  <si>
    <t>%</t>
  </si>
  <si>
    <t>https://aluminiuminsider.com/india-needs-expand-secondary-aluminium-production-tap-global-markets/</t>
  </si>
  <si>
    <t>Heavy oil/fuel oil</t>
  </si>
  <si>
    <t>Fuel oil</t>
  </si>
  <si>
    <t>Parameters</t>
  </si>
  <si>
    <t>tonne/year</t>
  </si>
  <si>
    <t>Consumption</t>
  </si>
  <si>
    <t>kg/capital/year</t>
  </si>
  <si>
    <t>NITI AAYOG http://164.100.94.191/niti/writereaddata/files/document_publication/niti_aluminum_upload.pdf</t>
  </si>
  <si>
    <t>World</t>
  </si>
  <si>
    <t>IAI: World</t>
  </si>
  <si>
    <t>model varify</t>
  </si>
  <si>
    <t>GJ</t>
  </si>
  <si>
    <t>tonne CO2</t>
  </si>
  <si>
    <t>Total CO2</t>
  </si>
  <si>
    <t xml:space="preserve">    </t>
  </si>
  <si>
    <t>co2 bauxite</t>
  </si>
  <si>
    <t>co2 alumina</t>
  </si>
  <si>
    <t>co2 anode</t>
  </si>
  <si>
    <t>co2 emission by source</t>
  </si>
  <si>
    <t>coal</t>
  </si>
  <si>
    <t>heavy oil</t>
  </si>
  <si>
    <t>diesel oil</t>
  </si>
  <si>
    <t>ng</t>
  </si>
  <si>
    <t>Anode carbon</t>
  </si>
  <si>
    <t>Total</t>
  </si>
  <si>
    <t>Equivalent</t>
  </si>
  <si>
    <t>Microsoft Word - Global-Warming-Potential-Values.docx (ghgprotocol.org)</t>
  </si>
  <si>
    <t>tonne CO2/tonne CF4</t>
  </si>
  <si>
    <t>tonne CO2/tonne C2F6</t>
  </si>
  <si>
    <t>materials</t>
  </si>
  <si>
    <t>Unites</t>
  </si>
  <si>
    <t>Sources</t>
  </si>
  <si>
    <t>rupee/tonne</t>
  </si>
  <si>
    <t>Prakash, Ashok Kumar Pandey Ravi. "Opportunities for sustainability improvement in aluminum industry." (2020).</t>
  </si>
  <si>
    <t>https://ibm.gov.in/writereaddata/files/10012020172018Bauxite_2019_AR.pdf</t>
  </si>
  <si>
    <t xml:space="preserve">Assume anode is purchased from market, the price is adjusted to 2020 rupee. Original price is $140/tonne Al in 2001. inflation rate in 2001 = 3.4, in 2020 = 1.2 (https://www.usinflationcalculator.com/inflation/current-inflation-rates/); hence today's price = $140*1.2/3.4=$49.4, exchange rate 1 USD = 74.1322 rupee in 2020 </t>
  </si>
  <si>
    <t>https://link.springer.com/content/pdf/10.1007/s11837-001-0209-2.pdf</t>
  </si>
  <si>
    <t>Total Al alternative</t>
  </si>
  <si>
    <t>Global</t>
  </si>
  <si>
    <t>electricity</t>
  </si>
  <si>
    <t>utilities</t>
  </si>
  <si>
    <t>natural gas</t>
  </si>
  <si>
    <t>units</t>
  </si>
  <si>
    <t>bauxite</t>
  </si>
  <si>
    <t>anode</t>
  </si>
  <si>
    <t>naoh</t>
  </si>
  <si>
    <t>cao</t>
  </si>
  <si>
    <t>aluminum fluoride</t>
  </si>
  <si>
    <t>steel</t>
  </si>
  <si>
    <t>for cathod making process; it is reused and recycled: https://www.orientcarbongraphite.com/aluminum-production-t-155.html</t>
  </si>
  <si>
    <t>don't consider since it been recycled and reused</t>
  </si>
  <si>
    <t>co2 ingot</t>
  </si>
  <si>
    <t>direct CO2</t>
  </si>
  <si>
    <t>total 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</si>
</sst>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right"/>
    </xf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Border="1"/>
    <xf numFmtId="0" fontId="0" fillId="0" borderId="0" xfId="0" applyFill="1" applyBorder="1" applyAlignment="1">
      <alignment horizontal="right"/>
    </xf>
    <xf numFmtId="0" fontId="0" fillId="0" borderId="4" xfId="0" applyFill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0" xfId="0" applyFill="1" applyBorder="1"/>
    <xf numFmtId="0" fontId="1" fillId="0" borderId="4" xfId="0" applyFont="1" applyFill="1" applyBorder="1" applyAlignment="1">
      <alignment horizontal="right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0" fillId="0" borderId="4" xfId="0" applyBorder="1"/>
    <xf numFmtId="0" fontId="0" fillId="0" borderId="6" xfId="0" applyBorder="1"/>
    <xf numFmtId="0" fontId="2" fillId="0" borderId="0" xfId="1"/>
    <xf numFmtId="0" fontId="1" fillId="0" borderId="1" xfId="0" applyFont="1" applyFill="1" applyBorder="1" applyAlignment="1">
      <alignment horizontal="left"/>
    </xf>
    <xf numFmtId="0" fontId="2" fillId="0" borderId="0" xfId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5" xfId="0" applyFill="1" applyBorder="1"/>
    <xf numFmtId="0" fontId="3" fillId="0" borderId="0" xfId="0" applyFont="1"/>
    <xf numFmtId="0" fontId="0" fillId="3" borderId="0" xfId="0" applyFill="1" applyBorder="1"/>
    <xf numFmtId="0" fontId="0" fillId="3" borderId="5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0" xfId="0" applyFont="1" applyBorder="1"/>
    <xf numFmtId="0" fontId="3" fillId="0" borderId="0" xfId="0" applyFont="1" applyBorder="1"/>
    <xf numFmtId="0" fontId="0" fillId="4" borderId="0" xfId="0" applyFill="1"/>
    <xf numFmtId="0" fontId="4" fillId="4" borderId="0" xfId="0" applyFont="1" applyFill="1"/>
    <xf numFmtId="0" fontId="0" fillId="4" borderId="0" xfId="0" applyFont="1" applyFill="1" applyBorder="1"/>
    <xf numFmtId="0" fontId="0" fillId="0" borderId="4" xfId="0" applyFill="1" applyBorder="1"/>
    <xf numFmtId="11" fontId="3" fillId="0" borderId="0" xfId="0" applyNumberFormat="1" applyFont="1"/>
    <xf numFmtId="11" fontId="0" fillId="4" borderId="0" xfId="0" applyNumberFormat="1" applyFont="1" applyFill="1" applyBorder="1"/>
    <xf numFmtId="0" fontId="4" fillId="4" borderId="0" xfId="0" applyFont="1" applyFill="1" applyBorder="1"/>
    <xf numFmtId="0" fontId="4" fillId="0" borderId="0" xfId="0" applyFont="1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laverton-energy.com/wordpress/wp-content/uploads/2012/08/the_energy_and_fuel_data_sheet1.pdf" TargetMode="External"/><Relationship Id="rId3" Type="http://schemas.openxmlformats.org/officeDocument/2006/relationships/hyperlink" Target="https://www.claverton-energy.com/wordpress/wp-content/uploads/2012/08/the_energy_and_fuel_data_sheet1.pdf" TargetMode="External"/><Relationship Id="rId7" Type="http://schemas.openxmlformats.org/officeDocument/2006/relationships/hyperlink" Target="https://publications.waset.org/9997980/pdf" TargetMode="External"/><Relationship Id="rId2" Type="http://schemas.openxmlformats.org/officeDocument/2006/relationships/hyperlink" Target="https://www.claverton-energy.com/wordpress/wp-content/uploads/2012/08/the_energy_and_fuel_data_sheet1.pdf" TargetMode="External"/><Relationship Id="rId1" Type="http://schemas.openxmlformats.org/officeDocument/2006/relationships/hyperlink" Target="https://www.unitrove.com/engineering/tools/gas/natural-gas-calorific-value" TargetMode="External"/><Relationship Id="rId6" Type="http://schemas.openxmlformats.org/officeDocument/2006/relationships/hyperlink" Target="https://www.claverton-energy.com/wordpress/wp-content/uploads/2012/08/the_energy_and_fuel_data_sheet1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claverton-energy.com/wordpress/wp-content/uploads/2012/08/the_energy_and_fuel_data_sheet1.pdf" TargetMode="External"/><Relationship Id="rId10" Type="http://schemas.openxmlformats.org/officeDocument/2006/relationships/hyperlink" Target="https://ghgprotocol.org/sites/default/files/ghgp/Global-Warming-Potential-Values%20%28Feb%2016%202016%29_1.pdf" TargetMode="External"/><Relationship Id="rId4" Type="http://schemas.openxmlformats.org/officeDocument/2006/relationships/hyperlink" Target="http://www.ipcbee.com/vol70/011-ICEEB2014-R0004.pdf" TargetMode="External"/><Relationship Id="rId9" Type="http://schemas.openxmlformats.org/officeDocument/2006/relationships/hyperlink" Target="https://ghgprotocol.org/sites/default/files/ghgp/Global-Warming-Potential-Values%20%28Feb%2016%202016%29_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bm.gov.in/writereaddata/files/10012020172018Bauxite_2019_A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luminiuminsider.com/india-needs-expand-secondary-aluminium-production-tap-global-mark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32"/>
  <sheetViews>
    <sheetView workbookViewId="0">
      <pane ySplit="1" topLeftCell="A74" activePane="bottomLeft" state="frozen"/>
      <selection pane="bottomLeft" activeCell="U94" sqref="U94"/>
    </sheetView>
  </sheetViews>
  <sheetFormatPr defaultRowHeight="14.5" x14ac:dyDescent="0.35"/>
  <cols>
    <col min="1" max="1" width="17.7265625" customWidth="1"/>
    <col min="2" max="4" width="8.7265625" customWidth="1"/>
    <col min="5" max="5" width="10.81640625" customWidth="1"/>
    <col min="6" max="6" width="10.81640625" bestFit="1" customWidth="1"/>
    <col min="7" max="7" width="10.81640625" customWidth="1"/>
    <col min="8" max="10" width="8.7265625" customWidth="1"/>
    <col min="18" max="18" width="11" bestFit="1" customWidth="1"/>
    <col min="21" max="21" width="12" bestFit="1" customWidth="1"/>
    <col min="22" max="22" width="11" bestFit="1" customWidth="1"/>
    <col min="25" max="25" width="9.81640625" style="42" bestFit="1" customWidth="1"/>
  </cols>
  <sheetData>
    <row r="1" spans="1:2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148</v>
      </c>
      <c r="F1" t="s">
        <v>4</v>
      </c>
      <c r="G1" t="s">
        <v>96</v>
      </c>
      <c r="H1" t="s">
        <v>74</v>
      </c>
      <c r="I1" t="s">
        <v>90</v>
      </c>
      <c r="J1" t="s">
        <v>18</v>
      </c>
      <c r="K1" t="s">
        <v>7</v>
      </c>
      <c r="N1" t="s">
        <v>120</v>
      </c>
      <c r="O1" t="s">
        <v>118</v>
      </c>
      <c r="P1" t="s">
        <v>4</v>
      </c>
    </row>
    <row r="2" spans="1:26" ht="15" thickBot="1" x14ac:dyDescent="0.4">
      <c r="A2" s="14" t="s">
        <v>28</v>
      </c>
      <c r="B2" s="2"/>
      <c r="C2" s="2"/>
      <c r="D2" s="2"/>
      <c r="E2" s="2" t="s">
        <v>119</v>
      </c>
      <c r="F2" s="2"/>
      <c r="G2" s="2"/>
      <c r="H2" s="2"/>
      <c r="I2" s="2"/>
      <c r="J2" s="2"/>
      <c r="K2" s="3"/>
    </row>
    <row r="3" spans="1:26" x14ac:dyDescent="0.35">
      <c r="A3" s="4" t="s">
        <v>5</v>
      </c>
      <c r="B3" s="5"/>
      <c r="C3" s="5"/>
      <c r="D3" s="5"/>
      <c r="E3" s="5"/>
      <c r="F3" s="5"/>
      <c r="G3" s="5"/>
      <c r="H3" s="5"/>
      <c r="I3" s="5"/>
      <c r="J3" s="5"/>
      <c r="K3" s="6"/>
      <c r="N3" s="32" t="s">
        <v>5</v>
      </c>
      <c r="O3" s="2"/>
      <c r="P3" s="3"/>
      <c r="Q3" s="5"/>
    </row>
    <row r="4" spans="1:26" x14ac:dyDescent="0.35">
      <c r="A4" s="7" t="s">
        <v>10</v>
      </c>
      <c r="B4" s="5"/>
      <c r="C4" s="5"/>
      <c r="D4" s="5"/>
      <c r="E4" s="5">
        <v>0.5</v>
      </c>
      <c r="F4" s="5">
        <v>0.5</v>
      </c>
      <c r="G4" s="5"/>
      <c r="H4" s="5"/>
      <c r="I4" s="5"/>
      <c r="J4" s="5"/>
      <c r="K4" s="6" t="s">
        <v>14</v>
      </c>
      <c r="N4" s="7" t="s">
        <v>10</v>
      </c>
      <c r="O4" s="5">
        <f>E4*E$12*O$18</f>
        <v>2.7445079999999997</v>
      </c>
      <c r="P4" s="6">
        <f>F4*F$12*P$18</f>
        <v>1.8758234880000002</v>
      </c>
      <c r="Q4" s="6" t="s">
        <v>14</v>
      </c>
    </row>
    <row r="5" spans="1:26" x14ac:dyDescent="0.35">
      <c r="A5" s="7" t="s">
        <v>11</v>
      </c>
      <c r="B5" s="5"/>
      <c r="C5" s="5"/>
      <c r="D5" s="5"/>
      <c r="E5" s="5">
        <v>0</v>
      </c>
      <c r="F5" s="5">
        <v>0</v>
      </c>
      <c r="G5" s="5"/>
      <c r="H5" s="5"/>
      <c r="I5" s="5"/>
      <c r="J5" s="5"/>
      <c r="K5" s="6" t="s">
        <v>14</v>
      </c>
      <c r="N5" s="7" t="s">
        <v>11</v>
      </c>
      <c r="O5" s="5">
        <f t="shared" ref="O5:O14" si="0">E5*E$12*O$18</f>
        <v>0</v>
      </c>
      <c r="P5" s="6">
        <f t="shared" ref="P5:P10" si="1">F5*F$12*P$18</f>
        <v>0</v>
      </c>
      <c r="Q5" s="6" t="s">
        <v>14</v>
      </c>
    </row>
    <row r="6" spans="1:26" x14ac:dyDescent="0.35">
      <c r="A6" s="7" t="s">
        <v>21</v>
      </c>
      <c r="B6" s="5"/>
      <c r="C6" s="5"/>
      <c r="D6" s="5"/>
      <c r="E6" s="5">
        <v>0</v>
      </c>
      <c r="F6" s="5">
        <v>0</v>
      </c>
      <c r="G6" s="5"/>
      <c r="H6" s="5"/>
      <c r="I6" s="5"/>
      <c r="J6" s="5"/>
      <c r="K6" s="6" t="s">
        <v>20</v>
      </c>
      <c r="N6" s="7" t="s">
        <v>21</v>
      </c>
      <c r="O6" s="5">
        <f t="shared" si="0"/>
        <v>0</v>
      </c>
      <c r="P6" s="6">
        <f t="shared" si="1"/>
        <v>0</v>
      </c>
      <c r="Q6" s="6" t="s">
        <v>20</v>
      </c>
      <c r="S6" s="40"/>
    </row>
    <row r="7" spans="1:26" x14ac:dyDescent="0.35">
      <c r="A7" s="7" t="s">
        <v>13</v>
      </c>
      <c r="B7" s="5"/>
      <c r="C7" s="5"/>
      <c r="D7" s="5"/>
      <c r="E7" s="5">
        <v>21</v>
      </c>
      <c r="F7" s="5">
        <v>21</v>
      </c>
      <c r="G7" s="5"/>
      <c r="H7" s="5">
        <f>0.3*6.6</f>
        <v>1.9799999999999998</v>
      </c>
      <c r="I7" s="5"/>
      <c r="J7" s="5"/>
      <c r="K7" s="6" t="s">
        <v>20</v>
      </c>
      <c r="N7" s="7" t="s">
        <v>13</v>
      </c>
      <c r="O7" s="5">
        <f t="shared" si="0"/>
        <v>115.26933599999998</v>
      </c>
      <c r="P7" s="6">
        <f t="shared" si="1"/>
        <v>78.784586496000003</v>
      </c>
      <c r="Q7" s="6" t="s">
        <v>20</v>
      </c>
      <c r="R7" s="42">
        <f>O7/$B$129/1000</f>
        <v>2.8203899192561781E-3</v>
      </c>
      <c r="S7" s="44">
        <f>P7/$B$129/1000</f>
        <v>1.9276874601419137E-3</v>
      </c>
      <c r="T7" t="s">
        <v>16</v>
      </c>
      <c r="U7" s="42">
        <f>R7*$B$129*$F$97</f>
        <v>9.8094204935999987E-3</v>
      </c>
      <c r="V7" s="42">
        <f>S7*$B$129*$F$97</f>
        <v>6.7045683108096004E-3</v>
      </c>
      <c r="W7" t="s">
        <v>122</v>
      </c>
    </row>
    <row r="8" spans="1:26" x14ac:dyDescent="0.35">
      <c r="A8" s="7" t="s">
        <v>12</v>
      </c>
      <c r="B8" s="5"/>
      <c r="C8" s="5"/>
      <c r="D8" s="5"/>
      <c r="E8" s="5">
        <v>78</v>
      </c>
      <c r="F8" s="5">
        <v>78</v>
      </c>
      <c r="G8" s="5"/>
      <c r="H8" s="5">
        <f>0.93*45</f>
        <v>41.85</v>
      </c>
      <c r="I8" s="5">
        <f>2.71*36</f>
        <v>97.56</v>
      </c>
      <c r="J8" s="5"/>
      <c r="K8" s="6" t="s">
        <v>20</v>
      </c>
      <c r="N8" s="7" t="s">
        <v>12</v>
      </c>
      <c r="O8" s="5">
        <f t="shared" si="0"/>
        <v>428.14324799999997</v>
      </c>
      <c r="P8" s="6">
        <f t="shared" si="1"/>
        <v>292.62846412800002</v>
      </c>
      <c r="Q8" s="6" t="s">
        <v>20</v>
      </c>
      <c r="R8" s="42">
        <f>O8/$B$124/1000</f>
        <v>9.9800290909090907E-3</v>
      </c>
      <c r="S8" s="44">
        <f>P8/$B$124/1000</f>
        <v>6.8211763200000013E-3</v>
      </c>
      <c r="T8" t="s">
        <v>16</v>
      </c>
      <c r="U8" s="42">
        <f>R8*$B$124*$F$100</f>
        <v>3.5364632284800003E-2</v>
      </c>
      <c r="V8" s="42">
        <f>S8*$B$124*$F$100</f>
        <v>2.4171111136972803E-2</v>
      </c>
      <c r="W8" t="s">
        <v>122</v>
      </c>
    </row>
    <row r="9" spans="1:26" x14ac:dyDescent="0.35">
      <c r="A9" s="7" t="s">
        <v>43</v>
      </c>
      <c r="B9" s="5"/>
      <c r="C9" s="5"/>
      <c r="D9" s="5"/>
      <c r="E9" s="19">
        <v>99</v>
      </c>
      <c r="F9" s="19">
        <v>99</v>
      </c>
      <c r="G9" s="19"/>
      <c r="H9" s="19">
        <f>H7+H8</f>
        <v>43.83</v>
      </c>
      <c r="I9" s="19"/>
      <c r="J9" s="19"/>
      <c r="K9" s="6" t="s">
        <v>20</v>
      </c>
      <c r="N9" s="7" t="s">
        <v>43</v>
      </c>
      <c r="O9" s="5">
        <f t="shared" si="0"/>
        <v>543.41258399999992</v>
      </c>
      <c r="P9" s="6">
        <f t="shared" si="1"/>
        <v>371.41305062400005</v>
      </c>
      <c r="Q9" s="6" t="s">
        <v>20</v>
      </c>
      <c r="V9" s="40"/>
    </row>
    <row r="10" spans="1:26" x14ac:dyDescent="0.35">
      <c r="A10" s="7" t="s">
        <v>6</v>
      </c>
      <c r="B10" s="5"/>
      <c r="C10" s="5"/>
      <c r="D10" s="5"/>
      <c r="E10" s="5">
        <v>1.5</v>
      </c>
      <c r="F10" s="5">
        <v>1.5</v>
      </c>
      <c r="G10" s="5"/>
      <c r="H10" s="5">
        <v>2</v>
      </c>
      <c r="I10" s="19">
        <v>48.1</v>
      </c>
      <c r="J10" s="19"/>
      <c r="K10" s="6" t="s">
        <v>9</v>
      </c>
      <c r="N10" s="7" t="s">
        <v>6</v>
      </c>
      <c r="O10" s="5">
        <f t="shared" si="0"/>
        <v>8.2335239999999992</v>
      </c>
      <c r="P10" s="6">
        <f t="shared" si="1"/>
        <v>5.6274704640000008</v>
      </c>
      <c r="Q10" s="6" t="s">
        <v>9</v>
      </c>
      <c r="R10" s="42">
        <f>O10*0.0036</f>
        <v>2.9640686399999998E-2</v>
      </c>
      <c r="S10" s="42">
        <f>P10*0.0036</f>
        <v>2.0258893670400003E-2</v>
      </c>
      <c r="T10" t="s">
        <v>121</v>
      </c>
      <c r="U10" s="42">
        <f>R10*0.125</f>
        <v>3.7050857999999997E-3</v>
      </c>
      <c r="V10" s="44">
        <f>S10*0.06276</f>
        <v>1.2714481667543041E-3</v>
      </c>
      <c r="W10" t="s">
        <v>122</v>
      </c>
    </row>
    <row r="11" spans="1:26" x14ac:dyDescent="0.35">
      <c r="A11" s="4" t="s">
        <v>30</v>
      </c>
      <c r="B11" s="5"/>
      <c r="C11" s="5"/>
      <c r="D11" s="5"/>
      <c r="E11" s="5"/>
      <c r="F11" s="5"/>
      <c r="G11" s="5"/>
      <c r="H11" s="5"/>
      <c r="I11" s="5"/>
      <c r="J11" s="5"/>
      <c r="K11" s="6"/>
      <c r="N11" s="4" t="s">
        <v>30</v>
      </c>
      <c r="O11" s="5"/>
      <c r="P11" s="6"/>
      <c r="Q11" s="6"/>
      <c r="T11" t="s">
        <v>125</v>
      </c>
      <c r="U11" s="42">
        <f>U7+U8+U10</f>
        <v>4.8879138578400004E-2</v>
      </c>
      <c r="V11" s="42">
        <f>V7+V8+V10</f>
        <v>3.2147127614536711E-2</v>
      </c>
      <c r="W11" t="s">
        <v>122</v>
      </c>
      <c r="Y11" s="42">
        <v>126896</v>
      </c>
      <c r="Z11">
        <f>Y11/$Y$68</f>
        <v>3.5248888888888892E-2</v>
      </c>
    </row>
    <row r="12" spans="1:26" x14ac:dyDescent="0.35">
      <c r="A12" s="11" t="s">
        <v>15</v>
      </c>
      <c r="B12" s="12"/>
      <c r="C12" s="12"/>
      <c r="D12" s="12"/>
      <c r="E12" s="12">
        <v>1</v>
      </c>
      <c r="F12" s="12">
        <v>1</v>
      </c>
      <c r="G12" s="12"/>
      <c r="H12" s="12">
        <v>1</v>
      </c>
      <c r="I12" s="12">
        <v>5.53</v>
      </c>
      <c r="J12" s="12"/>
      <c r="K12" s="13" t="s">
        <v>16</v>
      </c>
      <c r="N12" s="11" t="s">
        <v>15</v>
      </c>
      <c r="O12" s="12">
        <f t="shared" si="0"/>
        <v>5.4890159999999995</v>
      </c>
      <c r="P12" s="13">
        <f>F12*F$12*P$18</f>
        <v>3.7516469760000004</v>
      </c>
      <c r="Q12" s="13" t="s">
        <v>16</v>
      </c>
      <c r="Y12" s="42">
        <v>14809132.800000001</v>
      </c>
      <c r="Z12">
        <f>Y12/$Y$68</f>
        <v>4.1136480000000004</v>
      </c>
    </row>
    <row r="13" spans="1:26" x14ac:dyDescent="0.35">
      <c r="A13" s="7" t="s">
        <v>10</v>
      </c>
      <c r="B13" s="5"/>
      <c r="C13" s="5"/>
      <c r="D13" s="5"/>
      <c r="E13" s="5">
        <v>0.03</v>
      </c>
      <c r="F13" s="5">
        <v>0.03</v>
      </c>
      <c r="G13" s="5"/>
      <c r="H13" s="5"/>
      <c r="I13" s="5"/>
      <c r="J13" s="5"/>
      <c r="K13" s="6" t="s">
        <v>14</v>
      </c>
      <c r="N13" s="7" t="s">
        <v>10</v>
      </c>
      <c r="O13" s="5">
        <f t="shared" si="0"/>
        <v>0.16467047999999998</v>
      </c>
      <c r="P13" s="6">
        <f>F13*F$12*P$18</f>
        <v>0.11254940928000001</v>
      </c>
      <c r="Q13" s="6" t="s">
        <v>14</v>
      </c>
    </row>
    <row r="14" spans="1:26" ht="15" thickBot="1" x14ac:dyDescent="0.4">
      <c r="A14" s="8" t="s">
        <v>11</v>
      </c>
      <c r="B14" s="9"/>
      <c r="C14" s="9"/>
      <c r="D14" s="9"/>
      <c r="E14" s="9">
        <v>0</v>
      </c>
      <c r="F14" s="9">
        <v>0</v>
      </c>
      <c r="G14" s="9"/>
      <c r="H14" s="9"/>
      <c r="I14" s="9"/>
      <c r="J14" s="9"/>
      <c r="K14" s="10" t="s">
        <v>14</v>
      </c>
      <c r="N14" s="8" t="s">
        <v>11</v>
      </c>
      <c r="O14" s="9">
        <f t="shared" si="0"/>
        <v>0</v>
      </c>
      <c r="P14" s="10">
        <f>F14*F$12*P$18</f>
        <v>0</v>
      </c>
      <c r="Q14" s="10" t="s">
        <v>14</v>
      </c>
    </row>
    <row r="15" spans="1:26" ht="15" thickBot="1" x14ac:dyDescent="0.4"/>
    <row r="16" spans="1:26" ht="15" thickBot="1" x14ac:dyDescent="0.4">
      <c r="A16" s="29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3"/>
    </row>
    <row r="17" spans="1:26" x14ac:dyDescent="0.35">
      <c r="A17" s="16" t="s">
        <v>5</v>
      </c>
      <c r="B17" s="5"/>
      <c r="C17" s="5"/>
      <c r="D17" s="5"/>
      <c r="E17" s="5"/>
      <c r="F17" s="5"/>
      <c r="G17" s="5"/>
      <c r="H17" s="5"/>
      <c r="I17" s="5"/>
      <c r="J17" s="5"/>
      <c r="K17" s="6"/>
      <c r="N17" s="31" t="s">
        <v>5</v>
      </c>
      <c r="O17" s="2"/>
      <c r="P17" s="3"/>
      <c r="Q17" s="5"/>
    </row>
    <row r="18" spans="1:26" x14ac:dyDescent="0.35">
      <c r="A18" s="17" t="s">
        <v>15</v>
      </c>
      <c r="B18" s="5">
        <v>4.18</v>
      </c>
      <c r="C18" s="5"/>
      <c r="D18" s="5"/>
      <c r="E18" s="5">
        <v>2.847</v>
      </c>
      <c r="F18" s="5">
        <v>2.1560000000000001</v>
      </c>
      <c r="G18" s="5"/>
      <c r="H18" s="5"/>
      <c r="I18" s="5">
        <v>5.53</v>
      </c>
      <c r="J18" s="5"/>
      <c r="K18" s="6" t="s">
        <v>16</v>
      </c>
      <c r="N18" s="17" t="s">
        <v>15</v>
      </c>
      <c r="O18" s="38">
        <f>E18*E$33*O$59</f>
        <v>5.4890159999999995</v>
      </c>
      <c r="P18" s="39">
        <f>F18*F$33*P$59</f>
        <v>3.7516469760000004</v>
      </c>
      <c r="Q18" s="6" t="s">
        <v>16</v>
      </c>
    </row>
    <row r="19" spans="1:26" x14ac:dyDescent="0.35">
      <c r="A19" s="17" t="s">
        <v>31</v>
      </c>
      <c r="B19" s="5">
        <v>0.16</v>
      </c>
      <c r="C19" s="5"/>
      <c r="D19" s="5"/>
      <c r="E19" s="5">
        <v>7.2999999999999995E-2</v>
      </c>
      <c r="F19" s="5">
        <v>4.8000000000000001E-2</v>
      </c>
      <c r="G19" s="5"/>
      <c r="H19" s="5"/>
      <c r="I19" s="5">
        <v>0.11899999999999999</v>
      </c>
      <c r="J19" s="5"/>
      <c r="K19" s="6" t="s">
        <v>16</v>
      </c>
      <c r="N19" s="17" t="s">
        <v>31</v>
      </c>
      <c r="O19" s="33">
        <f>E19*E$33*O$59</f>
        <v>0.14074399999999998</v>
      </c>
      <c r="P19" s="34">
        <f>F19*F$33*P$59</f>
        <v>8.3524608E-2</v>
      </c>
      <c r="Q19" s="6" t="s">
        <v>16</v>
      </c>
    </row>
    <row r="20" spans="1:26" x14ac:dyDescent="0.35">
      <c r="A20" s="17" t="s">
        <v>93</v>
      </c>
      <c r="B20" s="5"/>
      <c r="C20" s="5"/>
      <c r="D20" s="5"/>
      <c r="E20" s="5"/>
      <c r="F20" s="5"/>
      <c r="G20" s="5"/>
      <c r="H20" s="5"/>
      <c r="I20" s="5">
        <v>3.9899999999999998E-2</v>
      </c>
      <c r="J20" s="5"/>
      <c r="K20" s="6" t="s">
        <v>16</v>
      </c>
      <c r="N20" s="17" t="s">
        <v>93</v>
      </c>
      <c r="O20" s="33">
        <f t="shared" ref="O20:O31" si="2">E20*E$33*O$59</f>
        <v>0</v>
      </c>
      <c r="P20" s="34">
        <f t="shared" ref="P20:P31" si="3">F20*F$33*P$59</f>
        <v>0</v>
      </c>
      <c r="Q20" s="6" t="s">
        <v>16</v>
      </c>
    </row>
    <row r="21" spans="1:26" x14ac:dyDescent="0.35">
      <c r="A21" s="17" t="s">
        <v>94</v>
      </c>
      <c r="B21" s="5"/>
      <c r="C21" s="5"/>
      <c r="D21" s="5"/>
      <c r="E21" s="5"/>
      <c r="F21" s="5"/>
      <c r="G21" s="5"/>
      <c r="H21" s="5"/>
      <c r="I21" s="19">
        <v>8.2100000000000003E-3</v>
      </c>
      <c r="J21" s="19"/>
      <c r="K21" s="6" t="s">
        <v>16</v>
      </c>
      <c r="N21" s="17" t="s">
        <v>94</v>
      </c>
      <c r="O21" s="33">
        <f t="shared" si="2"/>
        <v>0</v>
      </c>
      <c r="P21" s="34">
        <f t="shared" si="3"/>
        <v>0</v>
      </c>
      <c r="Q21" s="6" t="s">
        <v>16</v>
      </c>
    </row>
    <row r="22" spans="1:26" x14ac:dyDescent="0.35">
      <c r="A22" s="17" t="s">
        <v>32</v>
      </c>
      <c r="B22" s="5">
        <v>0.25</v>
      </c>
      <c r="C22" s="5"/>
      <c r="D22" s="5"/>
      <c r="E22" s="5">
        <v>3.2000000000000001E-2</v>
      </c>
      <c r="F22" s="5">
        <v>0.03</v>
      </c>
      <c r="G22" s="5"/>
      <c r="H22" s="5"/>
      <c r="I22" s="5"/>
      <c r="J22" s="5"/>
      <c r="K22" s="6" t="s">
        <v>16</v>
      </c>
      <c r="N22" s="17" t="s">
        <v>32</v>
      </c>
      <c r="O22" s="33">
        <f t="shared" si="2"/>
        <v>6.1696000000000001E-2</v>
      </c>
      <c r="P22" s="34">
        <f t="shared" si="3"/>
        <v>5.220288E-2</v>
      </c>
      <c r="Q22" s="6" t="s">
        <v>16</v>
      </c>
    </row>
    <row r="23" spans="1:26" x14ac:dyDescent="0.35">
      <c r="A23" s="17" t="s">
        <v>33</v>
      </c>
      <c r="B23" s="19">
        <v>6.43</v>
      </c>
      <c r="C23" s="5"/>
      <c r="D23" s="5"/>
      <c r="E23" s="5">
        <v>2</v>
      </c>
      <c r="F23" s="5">
        <v>3.6</v>
      </c>
      <c r="G23" s="5"/>
      <c r="H23" s="5"/>
      <c r="I23" s="5"/>
      <c r="J23" s="5"/>
      <c r="K23" s="6" t="s">
        <v>14</v>
      </c>
      <c r="N23" s="17" t="s">
        <v>33</v>
      </c>
      <c r="O23" s="5">
        <f t="shared" si="2"/>
        <v>3.8559999999999999</v>
      </c>
      <c r="P23" s="6">
        <f t="shared" si="3"/>
        <v>6.2643456000000004</v>
      </c>
      <c r="Q23" s="6" t="s">
        <v>14</v>
      </c>
    </row>
    <row r="24" spans="1:26" x14ac:dyDescent="0.35">
      <c r="A24" s="17" t="s">
        <v>34</v>
      </c>
      <c r="B24" s="5"/>
      <c r="C24" s="5"/>
      <c r="D24" s="5"/>
      <c r="E24" s="5">
        <v>0.2</v>
      </c>
      <c r="F24" s="5">
        <v>0</v>
      </c>
      <c r="G24" s="5"/>
      <c r="H24" s="5"/>
      <c r="I24" s="5"/>
      <c r="J24" s="5"/>
      <c r="K24" s="6" t="s">
        <v>14</v>
      </c>
      <c r="N24" s="17" t="s">
        <v>34</v>
      </c>
      <c r="O24" s="5">
        <f t="shared" si="2"/>
        <v>0.3856</v>
      </c>
      <c r="P24" s="6">
        <f t="shared" si="3"/>
        <v>0</v>
      </c>
      <c r="Q24" s="6" t="s">
        <v>14</v>
      </c>
    </row>
    <row r="25" spans="1:26" x14ac:dyDescent="0.35">
      <c r="A25" s="17" t="s">
        <v>21</v>
      </c>
      <c r="B25" s="5"/>
      <c r="C25" s="5"/>
      <c r="D25" s="5"/>
      <c r="E25" s="5">
        <v>8564</v>
      </c>
      <c r="F25" s="5">
        <v>0</v>
      </c>
      <c r="H25" s="5"/>
      <c r="I25" s="5"/>
      <c r="J25" s="5"/>
      <c r="K25" s="6" t="s">
        <v>20</v>
      </c>
      <c r="L25" s="5">
        <f>E25/$E$31</f>
        <v>0.69558154645873949</v>
      </c>
      <c r="M25" s="5">
        <f>F25/$F$31</f>
        <v>0</v>
      </c>
      <c r="N25" s="17" t="s">
        <v>21</v>
      </c>
      <c r="O25" s="33">
        <f t="shared" si="2"/>
        <v>16511.392</v>
      </c>
      <c r="P25" s="34">
        <f t="shared" si="3"/>
        <v>0</v>
      </c>
      <c r="Q25" s="6" t="s">
        <v>20</v>
      </c>
      <c r="R25" s="42">
        <f>O25/B127/1000</f>
        <v>0.61040266173752311</v>
      </c>
      <c r="S25" s="44">
        <f>P25/B127/1000</f>
        <v>0</v>
      </c>
      <c r="U25" s="42">
        <f>R25*B127*F99</f>
        <v>1.6164652768000001</v>
      </c>
    </row>
    <row r="26" spans="1:26" x14ac:dyDescent="0.35">
      <c r="A26" s="17" t="s">
        <v>13</v>
      </c>
      <c r="B26" s="5"/>
      <c r="C26" s="5"/>
      <c r="D26" s="5"/>
      <c r="E26" s="5">
        <v>1065</v>
      </c>
      <c r="F26" s="5">
        <v>32</v>
      </c>
      <c r="H26" s="5"/>
      <c r="I26" s="5"/>
      <c r="J26" s="5"/>
      <c r="K26" s="6" t="s">
        <v>20</v>
      </c>
      <c r="L26" s="5">
        <f t="shared" ref="L26:L29" si="4">E26/$E$31</f>
        <v>8.6500974658869398E-2</v>
      </c>
      <c r="M26" s="5">
        <f t="shared" ref="M26:M29" si="5">F26/$F$31</f>
        <v>3.5646652556533365E-3</v>
      </c>
      <c r="N26" s="17" t="s">
        <v>13</v>
      </c>
      <c r="O26" s="5">
        <f>E26*E$33*O$59</f>
        <v>2053.3199999999997</v>
      </c>
      <c r="P26" s="6">
        <f t="shared" si="3"/>
        <v>55.683072000000003</v>
      </c>
      <c r="Q26" s="6" t="s">
        <v>20</v>
      </c>
      <c r="R26" s="42">
        <f>O26/$B$129/1000</f>
        <v>5.0240274039637878E-2</v>
      </c>
      <c r="S26" s="44">
        <f>P26/B$129/1000</f>
        <v>1.362443650599462E-3</v>
      </c>
      <c r="T26" t="s">
        <v>16</v>
      </c>
      <c r="U26" s="42">
        <f>R26*$B$129*$F$97</f>
        <v>0.17473753199999997</v>
      </c>
      <c r="V26" s="44">
        <f>S26*$B$129*$F$97</f>
        <v>4.7386294272000005E-3</v>
      </c>
      <c r="W26" t="s">
        <v>122</v>
      </c>
    </row>
    <row r="27" spans="1:26" x14ac:dyDescent="0.35">
      <c r="A27" s="17" t="s">
        <v>12</v>
      </c>
      <c r="B27" s="5"/>
      <c r="C27" s="5"/>
      <c r="D27" s="5"/>
      <c r="E27" s="5">
        <v>46</v>
      </c>
      <c r="F27" s="5">
        <v>3</v>
      </c>
      <c r="H27" s="5"/>
      <c r="I27" s="5">
        <f>72.1*36</f>
        <v>2595.6</v>
      </c>
      <c r="J27" s="5"/>
      <c r="K27" s="6" t="s">
        <v>20</v>
      </c>
      <c r="L27" s="5">
        <f t="shared" si="4"/>
        <v>3.7361923326835605E-3</v>
      </c>
      <c r="M27" s="5">
        <f t="shared" si="5"/>
        <v>3.3418736771750028E-4</v>
      </c>
      <c r="N27" s="17" t="s">
        <v>12</v>
      </c>
      <c r="O27" s="5">
        <f t="shared" si="2"/>
        <v>88.688000000000002</v>
      </c>
      <c r="P27" s="6">
        <f t="shared" si="3"/>
        <v>5.220288</v>
      </c>
      <c r="Q27" s="6" t="s">
        <v>20</v>
      </c>
      <c r="R27" s="42">
        <f>O27/$B$124/1000</f>
        <v>2.0673193473193475E-3</v>
      </c>
      <c r="S27" s="44">
        <f>P27/$B$124/1000</f>
        <v>1.2168503496503496E-4</v>
      </c>
      <c r="T27" t="s">
        <v>16</v>
      </c>
      <c r="U27" s="42">
        <f>R27*$B$124*$F$100</f>
        <v>7.325628800000001E-3</v>
      </c>
      <c r="V27" s="44">
        <f>S27*$B$124*$F$100</f>
        <v>4.3119578880000003E-4</v>
      </c>
      <c r="W27" t="s">
        <v>122</v>
      </c>
    </row>
    <row r="28" spans="1:26" x14ac:dyDescent="0.35">
      <c r="A28" s="17" t="s">
        <v>35</v>
      </c>
      <c r="B28" s="5">
        <f>258.9*39</f>
        <v>10097.099999999999</v>
      </c>
      <c r="C28" s="5"/>
      <c r="D28" s="5"/>
      <c r="E28" s="5">
        <v>2637</v>
      </c>
      <c r="F28" s="5">
        <v>8942</v>
      </c>
      <c r="H28" s="5"/>
      <c r="I28" s="5"/>
      <c r="J28" s="5"/>
      <c r="K28" s="6" t="s">
        <v>20</v>
      </c>
      <c r="L28" s="5">
        <f t="shared" si="4"/>
        <v>0.21418128654970761</v>
      </c>
      <c r="M28" s="5">
        <f t="shared" si="5"/>
        <v>0.99610114737662914</v>
      </c>
      <c r="N28" s="17" t="s">
        <v>35</v>
      </c>
      <c r="O28" s="5">
        <f>E28*E$33*O$59</f>
        <v>5084.1359999999995</v>
      </c>
      <c r="P28" s="6">
        <f t="shared" si="3"/>
        <v>15559.938432000001</v>
      </c>
      <c r="Q28" s="6" t="s">
        <v>20</v>
      </c>
      <c r="R28" s="42">
        <f>O28/$B$121/1000</f>
        <v>0.10270981818181818</v>
      </c>
      <c r="S28" s="44">
        <f>P28/$B$121/1000</f>
        <v>0.31434219054545459</v>
      </c>
      <c r="T28" t="s">
        <v>16</v>
      </c>
      <c r="U28" s="42">
        <f>R28*$B$121*$F$98</f>
        <v>0.32131739520000002</v>
      </c>
      <c r="V28" s="44">
        <f>S28*$B$121*$F$98</f>
        <v>0.98338810890240025</v>
      </c>
      <c r="W28" t="s">
        <v>122</v>
      </c>
    </row>
    <row r="29" spans="1:26" x14ac:dyDescent="0.35">
      <c r="A29" s="17" t="s">
        <v>36</v>
      </c>
      <c r="B29" s="5">
        <v>3.6999999999999999E-4</v>
      </c>
      <c r="C29" s="5"/>
      <c r="D29" s="5"/>
      <c r="E29" s="5"/>
      <c r="F29" s="5"/>
      <c r="H29" s="5"/>
      <c r="I29" s="5"/>
      <c r="J29" s="5"/>
      <c r="K29" s="6" t="s">
        <v>20</v>
      </c>
      <c r="L29" s="5">
        <f t="shared" si="4"/>
        <v>0</v>
      </c>
      <c r="M29" s="5">
        <f t="shared" si="5"/>
        <v>0</v>
      </c>
      <c r="N29" s="17" t="s">
        <v>36</v>
      </c>
      <c r="O29" s="36">
        <f t="shared" si="2"/>
        <v>0</v>
      </c>
      <c r="P29" s="37">
        <f t="shared" si="3"/>
        <v>0</v>
      </c>
      <c r="Q29" s="6" t="s">
        <v>20</v>
      </c>
      <c r="R29" s="46">
        <v>-1.0000000000000001E-17</v>
      </c>
      <c r="T29" t="s">
        <v>16</v>
      </c>
      <c r="U29" s="46">
        <v>-9.9999999999999998E-17</v>
      </c>
      <c r="V29" s="40"/>
    </row>
    <row r="30" spans="1:26" x14ac:dyDescent="0.35">
      <c r="A30" s="17" t="s">
        <v>6</v>
      </c>
      <c r="B30" s="5">
        <v>435</v>
      </c>
      <c r="C30" s="5"/>
      <c r="D30" s="5"/>
      <c r="E30" s="5">
        <v>218</v>
      </c>
      <c r="F30" s="5">
        <v>141</v>
      </c>
      <c r="G30" s="5"/>
      <c r="H30" s="5"/>
      <c r="I30" s="5">
        <v>659</v>
      </c>
      <c r="J30" s="5"/>
      <c r="K30" s="6" t="s">
        <v>9</v>
      </c>
      <c r="N30" s="17" t="s">
        <v>6</v>
      </c>
      <c r="O30" s="5">
        <f>E30*E$33*O$59</f>
        <v>420.30399999999997</v>
      </c>
      <c r="P30" s="6">
        <f t="shared" si="3"/>
        <v>245.35353600000002</v>
      </c>
      <c r="Q30" s="6" t="s">
        <v>9</v>
      </c>
      <c r="R30" s="42">
        <f>O30*0.0036</f>
        <v>1.5130944</v>
      </c>
      <c r="S30" s="42">
        <f>P30*0.0036</f>
        <v>0.88327272960000003</v>
      </c>
      <c r="T30" t="s">
        <v>121</v>
      </c>
      <c r="U30" s="43">
        <f>R30*0.125</f>
        <v>0.18913679999999999</v>
      </c>
      <c r="V30" s="44">
        <f>S30*0.06276</f>
        <v>5.5434196509695999E-2</v>
      </c>
      <c r="W30" t="s">
        <v>122</v>
      </c>
      <c r="X30" s="35"/>
    </row>
    <row r="31" spans="1:26" x14ac:dyDescent="0.35">
      <c r="A31" s="17" t="s">
        <v>43</v>
      </c>
      <c r="B31" s="5">
        <f>B28+B29</f>
        <v>10097.100369999998</v>
      </c>
      <c r="C31" s="5"/>
      <c r="D31" s="5"/>
      <c r="E31" s="19">
        <v>12312</v>
      </c>
      <c r="F31" s="19">
        <v>8977</v>
      </c>
      <c r="G31" s="19"/>
      <c r="H31" s="19"/>
      <c r="I31" s="19"/>
      <c r="J31" s="19"/>
      <c r="K31" s="6" t="s">
        <v>20</v>
      </c>
      <c r="N31" s="17" t="s">
        <v>43</v>
      </c>
      <c r="O31" s="5">
        <f t="shared" si="2"/>
        <v>23737.536</v>
      </c>
      <c r="P31" s="6">
        <f t="shared" si="3"/>
        <v>15620.841792000001</v>
      </c>
      <c r="Q31" s="6" t="s">
        <v>20</v>
      </c>
      <c r="T31" t="s">
        <v>126</v>
      </c>
      <c r="U31" s="47">
        <f>U26+U27+U28+U30+U25+U29</f>
        <v>2.3089826328000003</v>
      </c>
      <c r="V31" s="44">
        <f>V26+V27+V28+V30</f>
        <v>1.0439921306280961</v>
      </c>
      <c r="W31" t="s">
        <v>122</v>
      </c>
      <c r="Y31" s="42">
        <v>4121022.2655893802</v>
      </c>
      <c r="Z31">
        <f>Y31/$Y$68</f>
        <v>1.1447284071081612</v>
      </c>
    </row>
    <row r="32" spans="1:26" x14ac:dyDescent="0.35">
      <c r="A32" s="16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6"/>
      <c r="N32" s="16" t="s">
        <v>30</v>
      </c>
      <c r="O32" s="5"/>
      <c r="P32" s="6"/>
      <c r="Q32" s="6"/>
      <c r="V32" s="40"/>
    </row>
    <row r="33" spans="1:26" ht="15" thickBot="1" x14ac:dyDescent="0.4">
      <c r="A33" s="20" t="s">
        <v>37</v>
      </c>
      <c r="B33" s="12">
        <v>1.74</v>
      </c>
      <c r="C33" s="12"/>
      <c r="D33" s="12"/>
      <c r="E33" s="21">
        <v>1</v>
      </c>
      <c r="F33" s="21">
        <v>1</v>
      </c>
      <c r="G33" s="21"/>
      <c r="H33" s="21"/>
      <c r="I33" s="21">
        <v>1.96</v>
      </c>
      <c r="J33" s="21"/>
      <c r="K33" s="13" t="s">
        <v>16</v>
      </c>
      <c r="N33" s="23" t="s">
        <v>37</v>
      </c>
      <c r="O33" s="9">
        <f>E33*O$59</f>
        <v>1.9279999999999999</v>
      </c>
      <c r="P33" s="10">
        <f>F33*F$33*P$59</f>
        <v>1.7400960000000001</v>
      </c>
      <c r="Q33" s="13" t="s">
        <v>16</v>
      </c>
      <c r="Y33" s="42">
        <v>6868800</v>
      </c>
      <c r="Z33">
        <f>Y33/$Y$68</f>
        <v>1.9079999999999999</v>
      </c>
    </row>
    <row r="34" spans="1:26" x14ac:dyDescent="0.35">
      <c r="A34" s="17" t="s">
        <v>33</v>
      </c>
      <c r="B34" s="5"/>
      <c r="C34" s="5"/>
      <c r="D34" s="5"/>
      <c r="E34" s="19">
        <v>2</v>
      </c>
      <c r="F34" s="19">
        <v>3.6</v>
      </c>
      <c r="G34" s="19"/>
      <c r="H34" s="19"/>
      <c r="I34" s="19"/>
      <c r="J34" s="19"/>
      <c r="K34" s="6" t="s">
        <v>14</v>
      </c>
    </row>
    <row r="35" spans="1:26" ht="15" thickBot="1" x14ac:dyDescent="0.4">
      <c r="A35" s="18" t="s">
        <v>34</v>
      </c>
      <c r="B35" s="9"/>
      <c r="C35" s="9"/>
      <c r="D35" s="9"/>
      <c r="E35" s="9">
        <v>0.2</v>
      </c>
      <c r="F35" s="9">
        <v>0</v>
      </c>
      <c r="G35" s="9"/>
      <c r="H35" s="9"/>
      <c r="I35" s="9"/>
      <c r="J35" s="9"/>
      <c r="K35" s="10" t="s">
        <v>14</v>
      </c>
    </row>
    <row r="36" spans="1:26" ht="15" thickBot="1" x14ac:dyDescent="0.4">
      <c r="A36" s="15"/>
    </row>
    <row r="37" spans="1:26" ht="15" thickBot="1" x14ac:dyDescent="0.4">
      <c r="A37" s="29" t="s">
        <v>45</v>
      </c>
      <c r="B37" s="2"/>
      <c r="C37" s="2"/>
      <c r="D37" s="2"/>
      <c r="E37" s="2"/>
      <c r="F37" s="2"/>
      <c r="G37" s="2"/>
      <c r="H37" s="2"/>
      <c r="I37" s="2"/>
      <c r="J37" s="2"/>
      <c r="K37" s="3"/>
    </row>
    <row r="38" spans="1:26" x14ac:dyDescent="0.35">
      <c r="A38" s="16" t="s">
        <v>5</v>
      </c>
      <c r="B38" s="5"/>
      <c r="C38" s="5"/>
      <c r="D38" s="5"/>
      <c r="E38" s="5"/>
      <c r="F38" s="5"/>
      <c r="G38" s="5"/>
      <c r="H38" s="5"/>
      <c r="I38" s="5"/>
      <c r="J38" s="5"/>
      <c r="K38" s="6"/>
      <c r="N38" s="31" t="s">
        <v>5</v>
      </c>
      <c r="O38" s="2"/>
      <c r="P38" s="3"/>
      <c r="Q38" s="5"/>
    </row>
    <row r="39" spans="1:26" x14ac:dyDescent="0.35">
      <c r="A39" s="17" t="s">
        <v>97</v>
      </c>
      <c r="B39" s="5"/>
      <c r="C39" s="5"/>
      <c r="D39" s="5"/>
      <c r="E39" s="5"/>
      <c r="F39" s="5"/>
      <c r="G39" s="5">
        <v>0.37376999999999999</v>
      </c>
      <c r="H39" s="5"/>
      <c r="I39" s="5"/>
      <c r="J39" s="5"/>
      <c r="K39" s="6" t="s">
        <v>16</v>
      </c>
      <c r="N39" s="17" t="s">
        <v>97</v>
      </c>
      <c r="O39" s="5"/>
      <c r="P39" s="6"/>
      <c r="Q39" s="6" t="s">
        <v>16</v>
      </c>
    </row>
    <row r="40" spans="1:26" x14ac:dyDescent="0.35">
      <c r="A40" s="17" t="s">
        <v>83</v>
      </c>
      <c r="B40" s="5">
        <v>0.47</v>
      </c>
      <c r="C40" s="5"/>
      <c r="D40" s="5"/>
      <c r="E40" s="5"/>
      <c r="F40" s="5"/>
      <c r="G40" s="5"/>
      <c r="H40" s="5"/>
      <c r="I40" s="5">
        <v>0.44400000000000001</v>
      </c>
      <c r="J40" s="5"/>
      <c r="K40" s="6" t="s">
        <v>16</v>
      </c>
      <c r="N40" s="17" t="s">
        <v>83</v>
      </c>
      <c r="O40" s="5"/>
      <c r="P40" s="6"/>
      <c r="Q40" s="6" t="s">
        <v>16</v>
      </c>
    </row>
    <row r="41" spans="1:26" x14ac:dyDescent="0.35">
      <c r="A41" s="17" t="s">
        <v>84</v>
      </c>
      <c r="B41" s="5">
        <v>0.08</v>
      </c>
      <c r="C41" s="5"/>
      <c r="D41" s="5"/>
      <c r="E41" s="5"/>
      <c r="F41" s="5"/>
      <c r="G41" s="5"/>
      <c r="H41" s="5"/>
      <c r="I41" s="5"/>
      <c r="J41" s="5"/>
      <c r="K41" s="6" t="s">
        <v>16</v>
      </c>
      <c r="N41" s="17" t="s">
        <v>84</v>
      </c>
      <c r="O41" s="5"/>
      <c r="P41" s="6"/>
      <c r="Q41" s="6" t="s">
        <v>16</v>
      </c>
    </row>
    <row r="42" spans="1:26" x14ac:dyDescent="0.35">
      <c r="A42" s="17" t="s">
        <v>85</v>
      </c>
      <c r="B42" s="5">
        <v>0.12</v>
      </c>
      <c r="C42" s="5"/>
      <c r="D42" s="5"/>
      <c r="E42" s="5"/>
      <c r="F42" s="5"/>
      <c r="G42" s="5"/>
      <c r="H42" s="5"/>
      <c r="I42" s="5"/>
      <c r="J42" s="5"/>
      <c r="K42" s="6" t="s">
        <v>16</v>
      </c>
      <c r="N42" s="17" t="s">
        <v>85</v>
      </c>
      <c r="O42" s="5"/>
      <c r="P42" s="6"/>
      <c r="Q42" s="6" t="s">
        <v>16</v>
      </c>
    </row>
    <row r="43" spans="1:26" x14ac:dyDescent="0.35">
      <c r="A43" s="17" t="s">
        <v>38</v>
      </c>
      <c r="B43" s="5"/>
      <c r="C43" s="5"/>
      <c r="D43" s="5"/>
      <c r="E43" s="5">
        <v>0.67600000000000005</v>
      </c>
      <c r="F43" s="5">
        <v>0.69199999999999995</v>
      </c>
      <c r="G43" s="5"/>
      <c r="H43" s="5"/>
      <c r="I43" s="5"/>
      <c r="J43" s="5"/>
      <c r="K43" s="6" t="s">
        <v>16</v>
      </c>
      <c r="N43" s="17" t="s">
        <v>38</v>
      </c>
      <c r="O43" s="5">
        <f>E43*$E$55*$O$60</f>
        <v>0.31298800000000004</v>
      </c>
      <c r="P43" s="6">
        <f t="shared" ref="P43:P53" si="6">F43*$F$55*$P$60</f>
        <v>0.27453023999999998</v>
      </c>
      <c r="Q43" s="6" t="s">
        <v>16</v>
      </c>
    </row>
    <row r="44" spans="1:26" x14ac:dyDescent="0.35">
      <c r="A44" s="17" t="s">
        <v>39</v>
      </c>
      <c r="B44" s="5"/>
      <c r="C44" s="5"/>
      <c r="D44" s="5"/>
      <c r="E44" s="5">
        <v>0.155</v>
      </c>
      <c r="F44" s="5">
        <v>0.16</v>
      </c>
      <c r="G44" s="5">
        <v>8.5449999999999998E-2</v>
      </c>
      <c r="H44" s="5"/>
      <c r="I44" s="5">
        <v>0.109</v>
      </c>
      <c r="J44" s="5"/>
      <c r="K44" s="6" t="s">
        <v>16</v>
      </c>
      <c r="N44" s="17" t="s">
        <v>39</v>
      </c>
      <c r="O44" s="5">
        <f t="shared" ref="O44:O53" si="7">E44*$E$55*$O$60</f>
        <v>7.1765000000000009E-2</v>
      </c>
      <c r="P44" s="6">
        <f t="shared" si="6"/>
        <v>6.3475200000000009E-2</v>
      </c>
      <c r="Q44" s="6" t="s">
        <v>16</v>
      </c>
    </row>
    <row r="45" spans="1:26" x14ac:dyDescent="0.35">
      <c r="A45" s="17" t="s">
        <v>40</v>
      </c>
      <c r="B45" s="5"/>
      <c r="C45" s="5"/>
      <c r="D45" s="5"/>
      <c r="E45" s="5"/>
      <c r="F45" s="5">
        <v>0.16400000000000001</v>
      </c>
      <c r="G45" s="5"/>
      <c r="H45" s="5"/>
      <c r="I45" s="5"/>
      <c r="J45" s="5"/>
      <c r="K45" s="6" t="s">
        <v>16</v>
      </c>
      <c r="N45" s="17" t="s">
        <v>40</v>
      </c>
      <c r="O45" s="5">
        <f t="shared" si="7"/>
        <v>0</v>
      </c>
      <c r="P45" s="6">
        <f t="shared" si="6"/>
        <v>6.5062080000000008E-2</v>
      </c>
      <c r="Q45" s="6" t="s">
        <v>16</v>
      </c>
    </row>
    <row r="46" spans="1:26" x14ac:dyDescent="0.35">
      <c r="A46" s="17" t="s">
        <v>41</v>
      </c>
      <c r="B46" s="5"/>
      <c r="C46" s="5"/>
      <c r="D46" s="5"/>
      <c r="E46" s="5"/>
      <c r="F46" s="5">
        <v>1E-3</v>
      </c>
      <c r="G46" s="5"/>
      <c r="H46" s="5"/>
      <c r="I46" s="5"/>
      <c r="J46" s="5"/>
      <c r="K46" s="6" t="s">
        <v>16</v>
      </c>
      <c r="N46" s="17" t="s">
        <v>41</v>
      </c>
      <c r="O46" s="5">
        <f t="shared" si="7"/>
        <v>0</v>
      </c>
      <c r="P46" s="6">
        <f t="shared" si="6"/>
        <v>3.9672000000000004E-4</v>
      </c>
      <c r="Q46" s="6" t="s">
        <v>16</v>
      </c>
    </row>
    <row r="47" spans="1:26" x14ac:dyDescent="0.35">
      <c r="A47" s="17" t="s">
        <v>42</v>
      </c>
      <c r="B47" s="5"/>
      <c r="C47" s="5"/>
      <c r="D47" s="5"/>
      <c r="E47" s="5">
        <f>E43+E44</f>
        <v>0.83100000000000007</v>
      </c>
      <c r="F47" s="5">
        <v>1.0169999999999999</v>
      </c>
      <c r="G47" s="5"/>
      <c r="H47" s="5"/>
      <c r="I47" s="5"/>
      <c r="J47" s="5"/>
      <c r="K47" s="6" t="s">
        <v>16</v>
      </c>
      <c r="N47" s="17" t="s">
        <v>42</v>
      </c>
      <c r="O47" s="5">
        <f t="shared" si="7"/>
        <v>0.38475300000000007</v>
      </c>
      <c r="P47" s="6">
        <f t="shared" si="6"/>
        <v>0.40346423999999997</v>
      </c>
      <c r="Q47" s="6" t="s">
        <v>16</v>
      </c>
      <c r="U47" s="42">
        <f>O47*44/12</f>
        <v>1.4107610000000002</v>
      </c>
      <c r="V47" s="42">
        <f>P47*44/12</f>
        <v>1.47936888</v>
      </c>
      <c r="W47" t="s">
        <v>122</v>
      </c>
      <c r="Y47" s="42">
        <v>5839614</v>
      </c>
      <c r="Z47">
        <f>Y47/$Y$68</f>
        <v>1.622115</v>
      </c>
    </row>
    <row r="48" spans="1:26" x14ac:dyDescent="0.35">
      <c r="A48" s="17" t="s">
        <v>21</v>
      </c>
      <c r="B48" s="5"/>
      <c r="C48" s="5"/>
      <c r="D48" s="5"/>
      <c r="E48" s="5">
        <v>0</v>
      </c>
      <c r="F48" s="5">
        <v>0</v>
      </c>
      <c r="G48" s="5"/>
      <c r="H48" s="5"/>
      <c r="I48" s="5"/>
      <c r="J48" s="5"/>
      <c r="K48" s="6" t="s">
        <v>20</v>
      </c>
      <c r="N48" s="17" t="s">
        <v>21</v>
      </c>
      <c r="O48" s="33">
        <f t="shared" si="7"/>
        <v>0</v>
      </c>
      <c r="P48" s="34">
        <f t="shared" si="6"/>
        <v>0</v>
      </c>
      <c r="Q48" s="6" t="s">
        <v>20</v>
      </c>
    </row>
    <row r="49" spans="1:26" x14ac:dyDescent="0.35">
      <c r="A49" s="17" t="s">
        <v>13</v>
      </c>
      <c r="B49" s="5"/>
      <c r="C49" s="5"/>
      <c r="D49" s="5"/>
      <c r="E49" s="5">
        <v>681</v>
      </c>
      <c r="F49" s="5">
        <v>609</v>
      </c>
      <c r="G49" s="5"/>
      <c r="H49" s="5"/>
      <c r="I49" s="5"/>
      <c r="J49" s="5"/>
      <c r="K49" s="6" t="s">
        <v>20</v>
      </c>
      <c r="N49" s="17" t="s">
        <v>13</v>
      </c>
      <c r="O49" s="5">
        <f t="shared" si="7"/>
        <v>315.303</v>
      </c>
      <c r="P49" s="6">
        <f t="shared" si="6"/>
        <v>241.60248000000001</v>
      </c>
      <c r="Q49" s="6" t="s">
        <v>20</v>
      </c>
      <c r="R49" s="42">
        <f>O49/B$129/1000</f>
        <v>7.7147785661854668E-3</v>
      </c>
      <c r="S49" s="43">
        <f>P49/$B$129/1000</f>
        <v>5.9114871543919749E-3</v>
      </c>
      <c r="T49" t="s">
        <v>16</v>
      </c>
      <c r="U49" s="42">
        <f>R49*$B$129*$F$97</f>
        <v>2.6832285299999998E-2</v>
      </c>
      <c r="V49" s="42">
        <f>S49*$B$129*$F$97</f>
        <v>2.0560371048000001E-2</v>
      </c>
      <c r="W49" t="s">
        <v>122</v>
      </c>
    </row>
    <row r="50" spans="1:26" x14ac:dyDescent="0.35">
      <c r="A50" s="17" t="s">
        <v>12</v>
      </c>
      <c r="B50" s="5"/>
      <c r="C50" s="5"/>
      <c r="D50" s="5"/>
      <c r="E50" s="5">
        <v>5.9</v>
      </c>
      <c r="F50" s="5">
        <v>0</v>
      </c>
      <c r="G50" s="5"/>
      <c r="H50" s="5"/>
      <c r="I50" s="5"/>
      <c r="J50" s="5"/>
      <c r="K50" s="6" t="s">
        <v>20</v>
      </c>
      <c r="N50" s="17" t="s">
        <v>12</v>
      </c>
      <c r="O50" s="5">
        <f t="shared" si="7"/>
        <v>2.7317000000000005</v>
      </c>
      <c r="P50" s="6">
        <f t="shared" si="6"/>
        <v>0</v>
      </c>
      <c r="Q50" s="6" t="s">
        <v>20</v>
      </c>
      <c r="R50" s="42">
        <f>O50/$B$124/1000</f>
        <v>6.3675990675990694E-5</v>
      </c>
      <c r="S50" s="43">
        <f>P50/B124/1000</f>
        <v>0</v>
      </c>
      <c r="T50" t="s">
        <v>16</v>
      </c>
      <c r="U50" s="42">
        <f>R50*$B$124*$F$100</f>
        <v>2.2563842000000007E-4</v>
      </c>
      <c r="V50" s="42">
        <f>S50*$B$124*$F$100</f>
        <v>0</v>
      </c>
      <c r="W50" t="s">
        <v>122</v>
      </c>
    </row>
    <row r="51" spans="1:26" x14ac:dyDescent="0.35">
      <c r="A51" s="17" t="s">
        <v>23</v>
      </c>
      <c r="B51" s="5"/>
      <c r="C51" s="5"/>
      <c r="D51" s="5"/>
      <c r="E51" s="5">
        <v>1747</v>
      </c>
      <c r="F51" s="5">
        <v>1791</v>
      </c>
      <c r="G51" s="5"/>
      <c r="H51" s="5"/>
      <c r="I51" s="5"/>
      <c r="J51" s="5"/>
      <c r="K51" s="6" t="s">
        <v>20</v>
      </c>
      <c r="N51" s="17" t="s">
        <v>23</v>
      </c>
      <c r="O51" s="5">
        <f t="shared" si="7"/>
        <v>808.86099999999999</v>
      </c>
      <c r="P51" s="6">
        <f t="shared" si="6"/>
        <v>710.52552000000003</v>
      </c>
      <c r="Q51" s="6" t="s">
        <v>20</v>
      </c>
      <c r="R51" s="42">
        <f>O51/B121/1000</f>
        <v>1.6340626262626261E-2</v>
      </c>
      <c r="S51" s="43">
        <f>P51/B121/1000</f>
        <v>1.435405090909091E-2</v>
      </c>
      <c r="T51" t="s">
        <v>16</v>
      </c>
      <c r="U51" s="42">
        <f>R51*$B$121*$F$98</f>
        <v>5.11200152E-2</v>
      </c>
      <c r="V51" s="42">
        <f>S51*$B$121*$F$98</f>
        <v>4.4905212864000003E-2</v>
      </c>
      <c r="W51" t="s">
        <v>122</v>
      </c>
    </row>
    <row r="52" spans="1:26" x14ac:dyDescent="0.35">
      <c r="A52" s="17" t="s">
        <v>6</v>
      </c>
      <c r="B52" s="5">
        <v>98.84</v>
      </c>
      <c r="C52" s="5"/>
      <c r="D52" s="5"/>
      <c r="E52" s="5">
        <v>110</v>
      </c>
      <c r="F52" s="5">
        <v>89</v>
      </c>
      <c r="G52" s="5"/>
      <c r="H52" s="5"/>
      <c r="I52" s="5"/>
      <c r="J52" s="5"/>
      <c r="K52" s="6" t="s">
        <v>9</v>
      </c>
      <c r="N52" s="17" t="s">
        <v>6</v>
      </c>
      <c r="O52" s="5">
        <f>E52*$E$55*$O$60</f>
        <v>50.93</v>
      </c>
      <c r="P52" s="6">
        <f t="shared" si="6"/>
        <v>35.308080000000004</v>
      </c>
      <c r="Q52" s="6" t="s">
        <v>9</v>
      </c>
      <c r="R52" s="42">
        <f>O52*0.0036</f>
        <v>0.18334799999999998</v>
      </c>
      <c r="S52" s="42">
        <f>P52*0.0036</f>
        <v>0.12710908800000001</v>
      </c>
      <c r="T52" t="s">
        <v>121</v>
      </c>
      <c r="U52" s="42">
        <f>R52*0.125</f>
        <v>2.2918499999999998E-2</v>
      </c>
      <c r="V52" s="44">
        <f>S52*0.06276</f>
        <v>7.97736636288E-3</v>
      </c>
      <c r="W52" t="s">
        <v>122</v>
      </c>
      <c r="X52" s="35"/>
    </row>
    <row r="53" spans="1:26" x14ac:dyDescent="0.35">
      <c r="A53" s="17" t="s">
        <v>43</v>
      </c>
      <c r="B53" s="5"/>
      <c r="C53" s="5"/>
      <c r="D53" s="5"/>
      <c r="E53" s="5">
        <v>2434</v>
      </c>
      <c r="F53" s="5">
        <v>2400</v>
      </c>
      <c r="G53" s="5"/>
      <c r="H53" s="5"/>
      <c r="I53" s="5"/>
      <c r="J53" s="5"/>
      <c r="K53" s="6" t="s">
        <v>20</v>
      </c>
      <c r="N53" s="17" t="s">
        <v>43</v>
      </c>
      <c r="O53" s="5">
        <f t="shared" si="7"/>
        <v>1126.942</v>
      </c>
      <c r="P53" s="6">
        <f t="shared" si="6"/>
        <v>952.12800000000004</v>
      </c>
      <c r="Q53" s="6" t="s">
        <v>20</v>
      </c>
      <c r="T53" t="s">
        <v>127</v>
      </c>
      <c r="U53" s="44">
        <f>U47+U49+U50+U51+U52</f>
        <v>1.5118574389200001</v>
      </c>
      <c r="V53" s="44">
        <f>V47+V49+V50+V51+V52</f>
        <v>1.5528118302748799</v>
      </c>
      <c r="W53" t="s">
        <v>122</v>
      </c>
      <c r="X53" s="35"/>
    </row>
    <row r="54" spans="1:26" x14ac:dyDescent="0.35">
      <c r="A54" s="16" t="s">
        <v>30</v>
      </c>
      <c r="B54" s="5"/>
      <c r="C54" s="5"/>
      <c r="D54" s="5"/>
      <c r="E54" s="5"/>
      <c r="F54" s="5"/>
      <c r="G54" s="5"/>
      <c r="H54" s="5"/>
      <c r="I54" s="5"/>
      <c r="J54" s="5"/>
      <c r="K54" s="6"/>
      <c r="N54" s="16" t="s">
        <v>30</v>
      </c>
      <c r="O54" s="5"/>
      <c r="P54" s="6"/>
      <c r="Q54" s="6"/>
      <c r="V54" s="41"/>
    </row>
    <row r="55" spans="1:26" ht="15" thickBot="1" x14ac:dyDescent="0.4">
      <c r="A55" s="23" t="s">
        <v>44</v>
      </c>
      <c r="B55" s="24">
        <v>0.47</v>
      </c>
      <c r="C55" s="24"/>
      <c r="D55" s="24"/>
      <c r="E55" s="24">
        <v>1</v>
      </c>
      <c r="F55" s="24">
        <v>1</v>
      </c>
      <c r="G55" s="24">
        <v>0.43723000000000001</v>
      </c>
      <c r="H55" s="24"/>
      <c r="I55" s="24"/>
      <c r="J55" s="24"/>
      <c r="K55" s="25" t="s">
        <v>16</v>
      </c>
      <c r="N55" s="23" t="s">
        <v>44</v>
      </c>
      <c r="O55" s="9">
        <f>E55*$E$55*$O$60</f>
        <v>0.46300000000000002</v>
      </c>
      <c r="P55" s="10">
        <f>F55*$F$55*$P$60</f>
        <v>0.39672000000000002</v>
      </c>
      <c r="Q55" s="25" t="s">
        <v>16</v>
      </c>
      <c r="Y55" s="42">
        <v>1566000</v>
      </c>
      <c r="Z55">
        <f>Y55/$Y$68</f>
        <v>0.435</v>
      </c>
    </row>
    <row r="56" spans="1:26" ht="15" thickBot="1" x14ac:dyDescent="0.4">
      <c r="A56" s="15"/>
    </row>
    <row r="57" spans="1:26" ht="15" thickBot="1" x14ac:dyDescent="0.4">
      <c r="A57" s="29" t="s">
        <v>101</v>
      </c>
      <c r="B57" s="2"/>
      <c r="C57" s="2"/>
      <c r="D57" s="2"/>
      <c r="E57" s="2"/>
      <c r="F57" s="2"/>
      <c r="G57" s="2"/>
      <c r="H57" s="2"/>
      <c r="I57" s="2"/>
      <c r="J57" s="2"/>
      <c r="K57" s="3"/>
      <c r="V57" t="s">
        <v>124</v>
      </c>
    </row>
    <row r="58" spans="1:26" x14ac:dyDescent="0.35">
      <c r="A58" s="16" t="s">
        <v>5</v>
      </c>
      <c r="B58" s="5"/>
      <c r="C58" s="5"/>
      <c r="D58" s="5"/>
      <c r="E58" s="5"/>
      <c r="F58" s="5"/>
      <c r="G58" s="5"/>
      <c r="H58" s="5"/>
      <c r="I58" s="5"/>
      <c r="J58" s="5"/>
      <c r="K58" s="6"/>
      <c r="N58" s="31" t="s">
        <v>5</v>
      </c>
      <c r="O58" s="2"/>
      <c r="P58" s="3"/>
      <c r="Q58" s="5"/>
    </row>
    <row r="59" spans="1:26" x14ac:dyDescent="0.35">
      <c r="A59" s="17" t="s">
        <v>37</v>
      </c>
      <c r="B59" s="5">
        <v>1.74</v>
      </c>
      <c r="C59" s="5"/>
      <c r="D59" s="5"/>
      <c r="E59" s="5">
        <v>1.9279999999999999</v>
      </c>
      <c r="F59" s="5">
        <v>1.9079999999999999</v>
      </c>
      <c r="G59" s="19">
        <v>1.9155500000000001</v>
      </c>
      <c r="H59" s="5"/>
      <c r="I59" s="5">
        <v>1.96</v>
      </c>
      <c r="J59" s="5"/>
      <c r="K59" s="6" t="s">
        <v>16</v>
      </c>
      <c r="N59" s="17" t="s">
        <v>37</v>
      </c>
      <c r="O59" s="33">
        <f>E59*$O$68/$E$68</f>
        <v>1.9279999999999999</v>
      </c>
      <c r="P59" s="34">
        <f>F59*$P$68/$F$68</f>
        <v>1.7400960000000001</v>
      </c>
      <c r="Q59" s="6" t="s">
        <v>16</v>
      </c>
    </row>
    <row r="60" spans="1:26" x14ac:dyDescent="0.35">
      <c r="A60" s="17" t="s">
        <v>46</v>
      </c>
      <c r="B60" s="5">
        <v>0.47</v>
      </c>
      <c r="C60" s="5"/>
      <c r="D60" s="5"/>
      <c r="E60" s="5">
        <v>0.46300000000000002</v>
      </c>
      <c r="F60" s="5">
        <v>0.435</v>
      </c>
      <c r="G60" s="19">
        <v>0.43723000000000001</v>
      </c>
      <c r="H60" s="5"/>
      <c r="I60" s="5">
        <v>0.621</v>
      </c>
      <c r="J60" s="5"/>
      <c r="K60" s="6" t="s">
        <v>16</v>
      </c>
      <c r="N60" s="17" t="s">
        <v>46</v>
      </c>
      <c r="O60" s="33">
        <f>E60*$O$68/$E$68</f>
        <v>0.46300000000000002</v>
      </c>
      <c r="P60" s="34">
        <f>F60*$P$68/$F$68</f>
        <v>0.39672000000000002</v>
      </c>
      <c r="Q60" s="6" t="s">
        <v>16</v>
      </c>
    </row>
    <row r="61" spans="1:26" x14ac:dyDescent="0.35">
      <c r="A61" s="17" t="s">
        <v>102</v>
      </c>
      <c r="B61" s="5">
        <v>2.4299999999999999E-2</v>
      </c>
      <c r="C61" s="5"/>
      <c r="D61" s="5"/>
      <c r="E61" s="5">
        <v>1.67E-2</v>
      </c>
      <c r="F61" s="5">
        <v>1.6400000000000001E-2</v>
      </c>
      <c r="G61" s="19">
        <v>1.6160000000000001E-2</v>
      </c>
      <c r="H61" s="5"/>
      <c r="I61" s="5">
        <v>2E-3</v>
      </c>
      <c r="J61" s="5"/>
      <c r="K61" s="6" t="s">
        <v>16</v>
      </c>
      <c r="N61" s="17" t="s">
        <v>102</v>
      </c>
      <c r="O61" s="33">
        <f>E61*$O$68/$E$68</f>
        <v>1.67E-2</v>
      </c>
      <c r="P61" s="34">
        <f>F61*$P$68/$F$68</f>
        <v>1.4956800000000001E-2</v>
      </c>
      <c r="Q61" s="6" t="s">
        <v>16</v>
      </c>
    </row>
    <row r="62" spans="1:26" x14ac:dyDescent="0.35">
      <c r="A62" s="17" t="s">
        <v>47</v>
      </c>
      <c r="B62" s="5"/>
      <c r="C62" s="5"/>
      <c r="D62" s="5"/>
      <c r="E62" s="5">
        <v>6.0000000000000001E-3</v>
      </c>
      <c r="F62" s="5">
        <v>5.4999999999999997E-3</v>
      </c>
      <c r="G62" s="5">
        <v>1.0743499999999999</v>
      </c>
      <c r="H62" s="5"/>
      <c r="I62" s="5"/>
      <c r="J62" s="5"/>
      <c r="K62" s="6" t="s">
        <v>16</v>
      </c>
      <c r="N62" s="17" t="s">
        <v>47</v>
      </c>
      <c r="O62" s="33">
        <f>E62*$O$68/$E$68</f>
        <v>6.0000000000000001E-3</v>
      </c>
      <c r="P62" s="34">
        <f>F62*$P$68/$F$68</f>
        <v>5.0159999999999996E-3</v>
      </c>
      <c r="Q62" s="6" t="s">
        <v>16</v>
      </c>
    </row>
    <row r="63" spans="1:26" x14ac:dyDescent="0.35">
      <c r="A63" s="17" t="s">
        <v>48</v>
      </c>
      <c r="B63" s="5"/>
      <c r="C63" s="5"/>
      <c r="D63" s="5"/>
      <c r="E63" s="5">
        <v>5.4000000000000003E-3</v>
      </c>
      <c r="F63" s="5">
        <v>5.3E-3</v>
      </c>
      <c r="G63" s="5">
        <v>1.264E-2</v>
      </c>
      <c r="H63" s="5"/>
      <c r="I63" s="5"/>
      <c r="J63" t="s">
        <v>159</v>
      </c>
      <c r="K63" s="6" t="s">
        <v>16</v>
      </c>
      <c r="N63" s="17" t="s">
        <v>48</v>
      </c>
      <c r="O63" s="33">
        <f>E63*$O$68/$E$68</f>
        <v>5.4000000000000003E-3</v>
      </c>
      <c r="P63" s="34">
        <f>F63*$P$68/$F$68</f>
        <v>4.8336000000000004E-3</v>
      </c>
      <c r="Q63" s="6" t="s">
        <v>16</v>
      </c>
    </row>
    <row r="64" spans="1:26" x14ac:dyDescent="0.35">
      <c r="A64" s="17" t="s">
        <v>86</v>
      </c>
      <c r="B64" s="19">
        <v>1.4499999999999999E-3</v>
      </c>
      <c r="C64" s="5"/>
      <c r="D64" s="5"/>
      <c r="E64" s="5"/>
      <c r="F64" s="5"/>
      <c r="G64" s="5"/>
      <c r="H64" s="5"/>
      <c r="I64" s="5">
        <f>37.8*36/42.9/1000</f>
        <v>3.1720279720279722E-2</v>
      </c>
      <c r="J64" s="5"/>
      <c r="K64" s="6" t="s">
        <v>16</v>
      </c>
      <c r="N64" s="17" t="s">
        <v>86</v>
      </c>
      <c r="Q64" s="6" t="s">
        <v>16</v>
      </c>
    </row>
    <row r="65" spans="1:27" x14ac:dyDescent="0.35">
      <c r="A65" s="17" t="s">
        <v>21</v>
      </c>
      <c r="B65" s="5">
        <v>5.7200000000000003E-3</v>
      </c>
      <c r="C65" s="5"/>
      <c r="D65" s="5"/>
      <c r="E65" s="5"/>
      <c r="F65" s="5"/>
      <c r="G65" s="5"/>
      <c r="H65" s="5"/>
      <c r="I65" s="5"/>
      <c r="J65" s="5"/>
      <c r="K65" s="6" t="s">
        <v>16</v>
      </c>
      <c r="N65" s="17" t="s">
        <v>21</v>
      </c>
      <c r="Q65" s="6" t="s">
        <v>16</v>
      </c>
    </row>
    <row r="66" spans="1:27" x14ac:dyDescent="0.35">
      <c r="A66" s="17" t="s">
        <v>6</v>
      </c>
      <c r="B66" s="19">
        <v>13000</v>
      </c>
      <c r="C66" s="5"/>
      <c r="D66" s="5"/>
      <c r="E66" s="5">
        <v>14210</v>
      </c>
      <c r="F66" s="5">
        <v>14790</v>
      </c>
      <c r="G66" s="5">
        <f>55935.39*0.2778</f>
        <v>15538.851342</v>
      </c>
      <c r="H66" s="5"/>
      <c r="I66" s="5">
        <v>15700</v>
      </c>
      <c r="J66" s="5"/>
      <c r="K66" s="6" t="s">
        <v>9</v>
      </c>
      <c r="N66" s="17" t="s">
        <v>6</v>
      </c>
      <c r="O66" s="33">
        <f>E66*$O$68/$E$68</f>
        <v>14210</v>
      </c>
      <c r="P66" s="34">
        <f>F66*$P$68/$F$68</f>
        <v>13488.480000000001</v>
      </c>
      <c r="Q66" s="6" t="s">
        <v>9</v>
      </c>
      <c r="R66" s="42">
        <f>O66*0.0036</f>
        <v>51.155999999999999</v>
      </c>
      <c r="S66" s="42">
        <f>P66*0.0036</f>
        <v>48.558528000000003</v>
      </c>
      <c r="T66" t="s">
        <v>121</v>
      </c>
      <c r="U66" s="42">
        <f>R66*0.125</f>
        <v>6.3944999999999999</v>
      </c>
      <c r="V66" s="42">
        <f>S66*0.06276</f>
        <v>3.0475332172799998</v>
      </c>
      <c r="W66" t="s">
        <v>122</v>
      </c>
      <c r="Y66" s="42">
        <v>191678400</v>
      </c>
      <c r="Z66">
        <f>Y66/$Y$68</f>
        <v>53.244</v>
      </c>
    </row>
    <row r="67" spans="1:27" x14ac:dyDescent="0.35">
      <c r="A67" s="16" t="s">
        <v>30</v>
      </c>
      <c r="B67" s="5"/>
      <c r="C67" s="5"/>
      <c r="D67" s="5"/>
      <c r="E67" s="5"/>
      <c r="F67" s="5"/>
      <c r="G67" s="5"/>
      <c r="H67" s="5"/>
      <c r="I67" s="5"/>
      <c r="J67" s="5"/>
      <c r="K67" s="6"/>
      <c r="N67" s="16" t="s">
        <v>30</v>
      </c>
      <c r="O67" s="5"/>
      <c r="P67" s="6"/>
      <c r="Q67" s="6"/>
    </row>
    <row r="68" spans="1:27" ht="15" thickBot="1" x14ac:dyDescent="0.4">
      <c r="A68" s="20" t="s">
        <v>49</v>
      </c>
      <c r="B68" s="12">
        <v>0.9</v>
      </c>
      <c r="C68" s="12"/>
      <c r="D68" s="12"/>
      <c r="E68" s="12">
        <v>1</v>
      </c>
      <c r="F68" s="12">
        <v>1</v>
      </c>
      <c r="G68" s="12">
        <v>1.0185</v>
      </c>
      <c r="H68" s="12"/>
      <c r="I68" s="12">
        <v>1</v>
      </c>
      <c r="J68" s="12"/>
      <c r="K68" s="13" t="s">
        <v>16</v>
      </c>
      <c r="N68" s="23" t="s">
        <v>49</v>
      </c>
      <c r="O68" s="24">
        <f>E68*O74</f>
        <v>1</v>
      </c>
      <c r="P68" s="25">
        <f>F68*P74</f>
        <v>0.91200000000000003</v>
      </c>
      <c r="Q68" s="13" t="s">
        <v>16</v>
      </c>
      <c r="Y68" s="42">
        <v>3600000</v>
      </c>
      <c r="Z68">
        <v>18352299.963618901</v>
      </c>
      <c r="AA68">
        <f>Z68/Y68</f>
        <v>5.0978611010052504</v>
      </c>
    </row>
    <row r="69" spans="1:27" x14ac:dyDescent="0.35">
      <c r="A69" s="17" t="s">
        <v>50</v>
      </c>
      <c r="B69" s="5"/>
      <c r="C69" s="5"/>
      <c r="D69" s="5"/>
      <c r="E69" s="5">
        <v>7.4099999999999999E-5</v>
      </c>
      <c r="F69" s="5">
        <v>1.7900000000000001E-5</v>
      </c>
      <c r="G69" s="5"/>
      <c r="H69" s="5"/>
      <c r="I69" s="5"/>
      <c r="J69" s="5"/>
      <c r="K69" s="6" t="s">
        <v>16</v>
      </c>
      <c r="Q69" s="50"/>
    </row>
    <row r="70" spans="1:27" ht="15" thickBot="1" x14ac:dyDescent="0.4">
      <c r="A70" s="18" t="s">
        <v>51</v>
      </c>
      <c r="B70" s="9"/>
      <c r="C70" s="9"/>
      <c r="D70" s="9"/>
      <c r="E70" s="9">
        <v>4.25E-6</v>
      </c>
      <c r="F70" s="9">
        <v>2.0499999999999999E-6</v>
      </c>
      <c r="G70" s="9"/>
      <c r="H70" s="9"/>
      <c r="I70" s="9"/>
      <c r="J70" s="9"/>
      <c r="K70" s="10" t="s">
        <v>16</v>
      </c>
      <c r="Q70" s="50"/>
    </row>
    <row r="71" spans="1:27" ht="15" thickBot="1" x14ac:dyDescent="0.4">
      <c r="A71" s="15"/>
      <c r="Q71" s="50"/>
      <c r="X71" s="35"/>
    </row>
    <row r="72" spans="1:27" ht="15" thickBot="1" x14ac:dyDescent="0.4">
      <c r="A72" s="22" t="s">
        <v>52</v>
      </c>
      <c r="B72" s="2"/>
      <c r="C72" s="2"/>
      <c r="D72" s="2"/>
      <c r="E72" s="2"/>
      <c r="F72" s="2"/>
      <c r="G72" s="2"/>
      <c r="H72" s="2"/>
      <c r="I72" s="2"/>
      <c r="J72" s="2"/>
      <c r="K72" s="3"/>
    </row>
    <row r="73" spans="1:27" ht="15" thickBot="1" x14ac:dyDescent="0.4">
      <c r="A73" s="16" t="s">
        <v>5</v>
      </c>
      <c r="B73" s="5"/>
      <c r="C73" s="5"/>
      <c r="D73" s="5"/>
      <c r="E73" s="5"/>
      <c r="F73" s="5"/>
      <c r="G73" s="5"/>
      <c r="H73" s="5"/>
      <c r="I73" s="5"/>
      <c r="J73" s="5"/>
      <c r="K73" s="6"/>
      <c r="N73" s="31" t="s">
        <v>5</v>
      </c>
    </row>
    <row r="74" spans="1:27" x14ac:dyDescent="0.35">
      <c r="A74" s="17" t="s">
        <v>53</v>
      </c>
      <c r="B74" s="5">
        <v>0.9</v>
      </c>
      <c r="C74" s="5"/>
      <c r="D74" s="5"/>
      <c r="E74" s="5">
        <v>1</v>
      </c>
      <c r="F74" s="5">
        <v>0.91200000000000003</v>
      </c>
      <c r="G74" s="19">
        <v>1.0185</v>
      </c>
      <c r="H74" s="5"/>
      <c r="I74" s="5">
        <v>1</v>
      </c>
      <c r="J74" s="5"/>
      <c r="K74" s="6" t="s">
        <v>16</v>
      </c>
      <c r="N74" s="17" t="s">
        <v>53</v>
      </c>
      <c r="O74" s="2">
        <v>1</v>
      </c>
      <c r="P74" s="3">
        <v>0.91200000000000003</v>
      </c>
      <c r="Q74" s="6" t="s">
        <v>16</v>
      </c>
    </row>
    <row r="75" spans="1:27" x14ac:dyDescent="0.35">
      <c r="A75" s="17" t="s">
        <v>87</v>
      </c>
      <c r="B75" s="5">
        <v>0.12</v>
      </c>
      <c r="C75" s="5"/>
      <c r="D75" s="5"/>
      <c r="E75" s="5"/>
      <c r="F75" s="5"/>
      <c r="G75" s="5">
        <v>3.7999999999999999E-2</v>
      </c>
      <c r="H75" s="5"/>
      <c r="I75" s="5"/>
      <c r="J75" s="5"/>
      <c r="K75" s="6"/>
      <c r="N75" s="17" t="s">
        <v>87</v>
      </c>
      <c r="O75" s="5"/>
      <c r="P75" s="6"/>
      <c r="Q75" s="6"/>
    </row>
    <row r="76" spans="1:27" x14ac:dyDescent="0.35">
      <c r="A76" s="17" t="s">
        <v>88</v>
      </c>
      <c r="B76" s="5">
        <v>8.0000000000000002E-3</v>
      </c>
      <c r="C76" s="5"/>
      <c r="D76" s="5"/>
      <c r="E76" s="5"/>
      <c r="F76" s="5"/>
      <c r="G76" s="5"/>
      <c r="H76" s="5"/>
      <c r="I76" s="5"/>
      <c r="J76" s="5"/>
      <c r="K76" s="6"/>
      <c r="N76" s="17" t="s">
        <v>88</v>
      </c>
      <c r="O76" s="5"/>
      <c r="P76" s="6"/>
      <c r="Q76" s="6"/>
    </row>
    <row r="77" spans="1:27" x14ac:dyDescent="0.35">
      <c r="A77" s="17" t="s">
        <v>54</v>
      </c>
      <c r="B77" s="5"/>
      <c r="C77" s="5"/>
      <c r="D77" s="5"/>
      <c r="E77" s="5"/>
      <c r="F77" s="5">
        <v>6.9000000000000006E-2</v>
      </c>
      <c r="G77" s="5"/>
      <c r="H77" s="5"/>
      <c r="I77" s="5"/>
      <c r="J77" s="5"/>
      <c r="K77" s="6" t="s">
        <v>16</v>
      </c>
      <c r="N77" s="17" t="s">
        <v>54</v>
      </c>
      <c r="O77" s="5"/>
      <c r="P77" s="6"/>
      <c r="Q77" s="6" t="s">
        <v>16</v>
      </c>
    </row>
    <row r="78" spans="1:27" x14ac:dyDescent="0.35">
      <c r="A78" s="17" t="s">
        <v>55</v>
      </c>
      <c r="B78" s="5"/>
      <c r="C78" s="5"/>
      <c r="D78" s="5"/>
      <c r="E78" s="5"/>
      <c r="F78" s="5">
        <v>2.3E-2</v>
      </c>
      <c r="G78" s="5">
        <v>0.108</v>
      </c>
      <c r="H78" s="5"/>
      <c r="I78" s="5"/>
      <c r="J78" s="5"/>
      <c r="K78" s="6" t="s">
        <v>16</v>
      </c>
      <c r="N78" s="17" t="s">
        <v>55</v>
      </c>
      <c r="O78" s="5"/>
      <c r="P78" s="6"/>
      <c r="Q78" s="6" t="s">
        <v>16</v>
      </c>
    </row>
    <row r="79" spans="1:27" x14ac:dyDescent="0.35">
      <c r="A79" s="17" t="s">
        <v>56</v>
      </c>
      <c r="B79" s="5"/>
      <c r="C79" s="5"/>
      <c r="D79" s="5"/>
      <c r="E79" s="5"/>
      <c r="F79" s="5">
        <v>2.3E-2</v>
      </c>
      <c r="G79" s="19">
        <v>1.5049999999999999E-2</v>
      </c>
      <c r="H79" s="5"/>
      <c r="I79" s="5"/>
      <c r="J79" s="5"/>
      <c r="K79" s="6" t="s">
        <v>16</v>
      </c>
      <c r="N79" s="17" t="s">
        <v>56</v>
      </c>
      <c r="O79" s="5"/>
      <c r="P79" s="6"/>
      <c r="Q79" s="6" t="s">
        <v>16</v>
      </c>
    </row>
    <row r="80" spans="1:27" x14ac:dyDescent="0.35">
      <c r="A80" s="17" t="s">
        <v>147</v>
      </c>
      <c r="B80" s="5"/>
      <c r="C80" s="5"/>
      <c r="D80" s="5"/>
      <c r="E80" s="5"/>
      <c r="F80" s="19">
        <f>SUM(F75:F79)</f>
        <v>0.11499999999999999</v>
      </c>
      <c r="G80" s="19">
        <f>SUM(G75:G79)</f>
        <v>0.16105</v>
      </c>
      <c r="H80" s="5"/>
      <c r="I80" s="5"/>
      <c r="J80" s="5"/>
      <c r="K80" s="6" t="s">
        <v>16</v>
      </c>
      <c r="N80" s="17" t="s">
        <v>147</v>
      </c>
      <c r="O80" s="5"/>
      <c r="P80" s="6">
        <v>0.115</v>
      </c>
      <c r="Q80" s="6" t="s">
        <v>16</v>
      </c>
    </row>
    <row r="81" spans="1:23" x14ac:dyDescent="0.35">
      <c r="A81" s="17" t="s">
        <v>57</v>
      </c>
      <c r="B81" s="5"/>
      <c r="C81" s="5"/>
      <c r="D81" s="5"/>
      <c r="E81" s="5">
        <v>1.0000000000000001E-5</v>
      </c>
      <c r="F81" s="5">
        <v>5.0000000000000002E-5</v>
      </c>
      <c r="G81" s="5">
        <v>5.5000000000000002E-5</v>
      </c>
      <c r="H81" s="5"/>
      <c r="I81" s="5"/>
      <c r="J81" s="5"/>
      <c r="K81" s="6" t="s">
        <v>16</v>
      </c>
      <c r="N81" s="17" t="s">
        <v>57</v>
      </c>
      <c r="O81" s="5">
        <v>1.0000000000000001E-5</v>
      </c>
      <c r="P81" s="6">
        <v>5.0000000000000002E-5</v>
      </c>
      <c r="Q81" s="6" t="s">
        <v>16</v>
      </c>
    </row>
    <row r="82" spans="1:23" x14ac:dyDescent="0.35">
      <c r="A82" s="17" t="s">
        <v>58</v>
      </c>
      <c r="B82" s="5"/>
      <c r="C82" s="5"/>
      <c r="D82" s="5"/>
      <c r="E82" s="5"/>
      <c r="F82" s="5">
        <v>5.5999999999999999E-3</v>
      </c>
      <c r="G82" s="5">
        <v>9.7999999999999997E-4</v>
      </c>
      <c r="H82" s="5"/>
      <c r="I82" s="5"/>
      <c r="J82" s="5"/>
      <c r="K82" s="6" t="s">
        <v>16</v>
      </c>
      <c r="N82" s="17" t="s">
        <v>58</v>
      </c>
      <c r="O82" s="5"/>
      <c r="P82" s="6">
        <v>5.5999999999999999E-3</v>
      </c>
      <c r="Q82" s="6" t="s">
        <v>16</v>
      </c>
    </row>
    <row r="83" spans="1:23" x14ac:dyDescent="0.35">
      <c r="A83" s="17" t="s">
        <v>98</v>
      </c>
      <c r="B83" s="5"/>
      <c r="C83" s="5"/>
      <c r="D83" s="5"/>
      <c r="E83" s="5"/>
      <c r="F83" s="5"/>
      <c r="G83" s="19">
        <v>3.2000000000000001E-2</v>
      </c>
      <c r="H83" s="5"/>
      <c r="I83" s="5"/>
      <c r="J83" s="5"/>
      <c r="K83" s="6" t="s">
        <v>16</v>
      </c>
      <c r="N83" s="17" t="s">
        <v>98</v>
      </c>
      <c r="O83" s="5"/>
      <c r="P83" s="6"/>
      <c r="Q83" s="6" t="s">
        <v>16</v>
      </c>
    </row>
    <row r="84" spans="1:23" x14ac:dyDescent="0.35">
      <c r="A84" s="17" t="s">
        <v>59</v>
      </c>
      <c r="B84" s="5">
        <f>2.5/22.4*28/1000</f>
        <v>3.1250000000000002E-3</v>
      </c>
      <c r="C84" s="5"/>
      <c r="D84" s="5"/>
      <c r="E84" s="5"/>
      <c r="F84" s="5">
        <v>2.0000000000000002E-5</v>
      </c>
      <c r="G84" s="5"/>
      <c r="H84" s="5"/>
      <c r="I84" s="5"/>
      <c r="J84" s="5"/>
      <c r="K84" s="6" t="s">
        <v>16</v>
      </c>
      <c r="N84" s="17" t="s">
        <v>59</v>
      </c>
      <c r="O84" s="5"/>
      <c r="P84" s="6">
        <v>2.0000000000000002E-5</v>
      </c>
      <c r="Q84" s="6" t="s">
        <v>16</v>
      </c>
    </row>
    <row r="85" spans="1:23" x14ac:dyDescent="0.35">
      <c r="A85" s="17" t="s">
        <v>21</v>
      </c>
      <c r="B85" s="5"/>
      <c r="C85" s="5"/>
      <c r="D85" s="5"/>
      <c r="E85" s="5">
        <v>0</v>
      </c>
      <c r="F85" s="5">
        <v>0</v>
      </c>
      <c r="G85" s="5"/>
      <c r="H85" s="5"/>
      <c r="I85" s="5"/>
      <c r="J85" s="5"/>
      <c r="K85" s="6" t="s">
        <v>20</v>
      </c>
      <c r="N85" s="17" t="s">
        <v>21</v>
      </c>
      <c r="O85" s="5">
        <v>0</v>
      </c>
      <c r="P85" s="6">
        <v>0</v>
      </c>
      <c r="Q85" s="6" t="s">
        <v>20</v>
      </c>
    </row>
    <row r="86" spans="1:23" x14ac:dyDescent="0.35">
      <c r="A86" s="17" t="s">
        <v>13</v>
      </c>
      <c r="B86" s="5"/>
      <c r="C86" s="5"/>
      <c r="D86" s="5"/>
      <c r="E86" s="5">
        <v>51</v>
      </c>
      <c r="F86" s="5">
        <v>99</v>
      </c>
      <c r="G86" s="19">
        <f>7.7*40.87</f>
        <v>314.69900000000001</v>
      </c>
      <c r="H86" s="5"/>
      <c r="I86" s="5"/>
      <c r="J86" s="5"/>
      <c r="K86" s="6" t="s">
        <v>20</v>
      </c>
      <c r="N86" s="17" t="s">
        <v>13</v>
      </c>
      <c r="O86" s="5">
        <v>51</v>
      </c>
      <c r="P86" s="6">
        <v>99</v>
      </c>
      <c r="Q86" s="6" t="s">
        <v>20</v>
      </c>
      <c r="R86">
        <f>O86/$B$129/1000</f>
        <v>1.2478590653290924E-3</v>
      </c>
      <c r="S86">
        <f>P86/$B$129/1000</f>
        <v>2.4223146562270615E-3</v>
      </c>
      <c r="T86" t="s">
        <v>16</v>
      </c>
      <c r="U86">
        <f>O86*$F$97/1000</f>
        <v>4.3400999999999995E-3</v>
      </c>
      <c r="V86">
        <f>P86*$F$97/1000</f>
        <v>8.4248999999999991E-3</v>
      </c>
      <c r="W86" t="s">
        <v>122</v>
      </c>
    </row>
    <row r="87" spans="1:23" x14ac:dyDescent="0.35">
      <c r="A87" s="17" t="s">
        <v>12</v>
      </c>
      <c r="B87" s="5"/>
      <c r="C87" s="5"/>
      <c r="D87" s="5"/>
      <c r="E87" s="5">
        <v>21</v>
      </c>
      <c r="F87" s="5">
        <v>1</v>
      </c>
      <c r="G87" s="5">
        <v>3.31</v>
      </c>
      <c r="H87" s="5"/>
      <c r="I87" s="5"/>
      <c r="J87" s="5"/>
      <c r="K87" s="6" t="s">
        <v>20</v>
      </c>
      <c r="N87" s="17" t="s">
        <v>12</v>
      </c>
      <c r="O87" s="5">
        <v>21</v>
      </c>
      <c r="P87" s="6">
        <v>1</v>
      </c>
      <c r="Q87" s="6" t="s">
        <v>20</v>
      </c>
      <c r="R87">
        <f>O87/$B$124/1000</f>
        <v>4.8951048951048951E-4</v>
      </c>
      <c r="S87">
        <f>P87/$B$124/1000</f>
        <v>2.3310023310023313E-5</v>
      </c>
      <c r="T87" t="s">
        <v>16</v>
      </c>
      <c r="U87">
        <f>O87*$F$100/1000</f>
        <v>1.7346000000000002E-3</v>
      </c>
      <c r="V87">
        <f>P87*$F$100/1000</f>
        <v>8.2600000000000002E-5</v>
      </c>
      <c r="W87" t="s">
        <v>122</v>
      </c>
    </row>
    <row r="88" spans="1:23" x14ac:dyDescent="0.35">
      <c r="A88" s="17" t="s">
        <v>23</v>
      </c>
      <c r="B88" s="5">
        <f>76.67*39</f>
        <v>2990.13</v>
      </c>
      <c r="C88" s="5"/>
      <c r="D88" s="5"/>
      <c r="E88" s="5">
        <v>832</v>
      </c>
      <c r="F88" s="5">
        <v>1504</v>
      </c>
      <c r="G88" s="5">
        <f>20.3*49.5</f>
        <v>1004.85</v>
      </c>
      <c r="H88" s="5"/>
      <c r="I88" s="5"/>
      <c r="J88" s="5"/>
      <c r="K88" s="6" t="s">
        <v>20</v>
      </c>
      <c r="N88" s="17" t="s">
        <v>23</v>
      </c>
      <c r="O88" s="5">
        <v>832</v>
      </c>
      <c r="P88" s="6">
        <v>1504</v>
      </c>
      <c r="Q88" s="6" t="s">
        <v>20</v>
      </c>
      <c r="R88">
        <f>O88/$B$121/1000</f>
        <v>1.680808080808081E-2</v>
      </c>
      <c r="S88">
        <f>P88/$B$121/1000</f>
        <v>3.0383838383838385E-2</v>
      </c>
      <c r="T88" t="s">
        <v>16</v>
      </c>
      <c r="U88">
        <f>O88*$F$98/1000</f>
        <v>5.2582400000000008E-2</v>
      </c>
      <c r="V88">
        <f>P88*$F$98/1000</f>
        <v>9.5052800000000007E-2</v>
      </c>
      <c r="W88" t="s">
        <v>122</v>
      </c>
    </row>
    <row r="89" spans="1:23" x14ac:dyDescent="0.35">
      <c r="A89" s="17" t="s">
        <v>43</v>
      </c>
      <c r="B89" s="5"/>
      <c r="C89" s="5"/>
      <c r="D89" s="5"/>
      <c r="E89" s="5">
        <v>905</v>
      </c>
      <c r="F89" s="5">
        <v>1604</v>
      </c>
      <c r="G89" s="5">
        <v>1322.8589999999999</v>
      </c>
      <c r="H89" s="5"/>
      <c r="I89" s="5"/>
      <c r="J89" s="5"/>
      <c r="K89" s="6" t="s">
        <v>20</v>
      </c>
      <c r="N89" s="17" t="s">
        <v>43</v>
      </c>
      <c r="O89" s="5">
        <v>905</v>
      </c>
      <c r="P89" s="6">
        <v>1604</v>
      </c>
      <c r="Q89" s="6" t="s">
        <v>20</v>
      </c>
    </row>
    <row r="90" spans="1:23" x14ac:dyDescent="0.35">
      <c r="A90" s="17" t="s">
        <v>6</v>
      </c>
      <c r="B90" s="5">
        <v>36</v>
      </c>
      <c r="C90" s="5"/>
      <c r="D90" s="5"/>
      <c r="E90" s="5">
        <v>53</v>
      </c>
      <c r="F90" s="5">
        <v>95</v>
      </c>
      <c r="G90" s="5">
        <f>252.86*0.2778</f>
        <v>70.244507999999996</v>
      </c>
      <c r="H90" s="5"/>
      <c r="I90" s="5"/>
      <c r="J90" s="5"/>
      <c r="K90" s="6" t="s">
        <v>9</v>
      </c>
      <c r="N90" s="17" t="s">
        <v>6</v>
      </c>
      <c r="O90" s="5">
        <v>53</v>
      </c>
      <c r="P90" s="6">
        <v>95</v>
      </c>
      <c r="Q90" s="6" t="s">
        <v>9</v>
      </c>
      <c r="R90">
        <f>O90*0.0036</f>
        <v>0.1908</v>
      </c>
      <c r="S90">
        <f>P90*0.0036</f>
        <v>0.34199999999999997</v>
      </c>
      <c r="T90" t="s">
        <v>121</v>
      </c>
      <c r="U90" s="42">
        <f>R90*0.125</f>
        <v>2.385E-2</v>
      </c>
      <c r="V90" s="42">
        <f>S90*0.06276</f>
        <v>2.1463919999999997E-2</v>
      </c>
      <c r="W90" t="s">
        <v>122</v>
      </c>
    </row>
    <row r="91" spans="1:23" x14ac:dyDescent="0.35">
      <c r="A91" s="16" t="s">
        <v>30</v>
      </c>
      <c r="B91" s="5"/>
      <c r="C91" s="5"/>
      <c r="D91" s="5"/>
      <c r="E91" s="5"/>
      <c r="F91" s="5"/>
      <c r="G91" s="5"/>
      <c r="H91" s="5"/>
      <c r="I91" s="5"/>
      <c r="J91" s="5"/>
      <c r="K91" s="6"/>
      <c r="N91" s="16" t="s">
        <v>30</v>
      </c>
      <c r="O91" s="5"/>
      <c r="P91" s="6"/>
      <c r="Q91" s="6"/>
    </row>
    <row r="92" spans="1:23" ht="15" thickBot="1" x14ac:dyDescent="0.4">
      <c r="A92" s="23" t="s">
        <v>60</v>
      </c>
      <c r="B92" s="24">
        <v>1</v>
      </c>
      <c r="C92" s="24"/>
      <c r="D92" s="24"/>
      <c r="E92" s="24">
        <v>1</v>
      </c>
      <c r="F92" s="24">
        <v>1</v>
      </c>
      <c r="G92" s="24">
        <v>1.0034000000000001</v>
      </c>
      <c r="H92" s="24"/>
      <c r="I92" s="24">
        <v>1</v>
      </c>
      <c r="J92" s="24"/>
      <c r="K92" s="25" t="s">
        <v>16</v>
      </c>
      <c r="N92" s="23" t="s">
        <v>60</v>
      </c>
      <c r="O92" s="24">
        <v>1</v>
      </c>
      <c r="P92" s="25">
        <v>1</v>
      </c>
      <c r="Q92" s="25" t="s">
        <v>16</v>
      </c>
      <c r="T92" t="s">
        <v>161</v>
      </c>
      <c r="U92">
        <f>SUM(U86:U90)</f>
        <v>8.2507100000000014E-2</v>
      </c>
      <c r="V92">
        <f>SUM(V86:V90)</f>
        <v>0.12502422000000002</v>
      </c>
      <c r="W92" t="s">
        <v>122</v>
      </c>
    </row>
    <row r="93" spans="1:23" x14ac:dyDescent="0.35">
      <c r="A93" s="15"/>
      <c r="T93" t="s">
        <v>123</v>
      </c>
      <c r="U93" s="42">
        <f>U66+U53+U31+U11+U92</f>
        <v>10.346726310298401</v>
      </c>
      <c r="V93" s="42">
        <f>V66+V53+V31+V11+V92</f>
        <v>5.8015085257975132</v>
      </c>
      <c r="W93" t="s">
        <v>122</v>
      </c>
    </row>
    <row r="94" spans="1:23" ht="15" thickBot="1" x14ac:dyDescent="0.4">
      <c r="A94" s="15"/>
      <c r="N94" t="s">
        <v>163</v>
      </c>
      <c r="O94">
        <f>O9+O31+O53+O89</f>
        <v>26312.890584000001</v>
      </c>
      <c r="P94">
        <f>P9+P31+P53+P89</f>
        <v>18548.382842624</v>
      </c>
      <c r="Q94" t="s">
        <v>20</v>
      </c>
      <c r="R94">
        <f>R66+R52+R30+R10+R90</f>
        <v>53.072883086400005</v>
      </c>
      <c r="S94">
        <f>S66+S52+S30+S10+S90</f>
        <v>49.931168711270402</v>
      </c>
      <c r="T94" t="s">
        <v>121</v>
      </c>
      <c r="U94" s="42">
        <f>R94*0.125</f>
        <v>6.6341103858000006</v>
      </c>
      <c r="V94" s="42">
        <f>S94*0.06276</f>
        <v>3.1336801483193302</v>
      </c>
      <c r="W94" t="s">
        <v>122</v>
      </c>
    </row>
    <row r="95" spans="1:23" ht="15" thickBot="1" x14ac:dyDescent="0.4">
      <c r="A95" s="15"/>
      <c r="T95" s="1" t="s">
        <v>128</v>
      </c>
      <c r="V95" s="2"/>
      <c r="W95" s="3"/>
    </row>
    <row r="96" spans="1:23" ht="15" thickBot="1" x14ac:dyDescent="0.4">
      <c r="A96" s="1" t="s">
        <v>22</v>
      </c>
      <c r="B96" s="2"/>
      <c r="C96" s="2"/>
      <c r="D96" s="2"/>
      <c r="E96" s="2"/>
      <c r="F96" s="2"/>
      <c r="G96" s="2"/>
      <c r="H96" s="2"/>
      <c r="I96" s="2"/>
      <c r="J96" s="2"/>
      <c r="K96" s="3"/>
      <c r="R96">
        <f>25.2/(R94+26.313)</f>
        <v>0.31743679128156149</v>
      </c>
      <c r="T96" s="26" t="s">
        <v>129</v>
      </c>
      <c r="U96" s="48">
        <f>U6+U25+U48+U65</f>
        <v>1.6164652768000001</v>
      </c>
      <c r="V96" s="49">
        <f>V6+V25+V48+V65</f>
        <v>0</v>
      </c>
      <c r="W96" s="6" t="s">
        <v>122</v>
      </c>
    </row>
    <row r="97" spans="1:23" x14ac:dyDescent="0.35">
      <c r="A97" s="26" t="s">
        <v>111</v>
      </c>
      <c r="B97" s="5"/>
      <c r="C97" s="5"/>
      <c r="D97" s="5"/>
      <c r="E97" s="5"/>
      <c r="F97" s="5">
        <v>8.5099999999999995E-2</v>
      </c>
      <c r="G97" s="5"/>
      <c r="H97" s="5"/>
      <c r="I97" s="5"/>
      <c r="J97" s="5"/>
      <c r="K97" s="6" t="s">
        <v>27</v>
      </c>
      <c r="N97" s="51" t="s">
        <v>150</v>
      </c>
      <c r="O97" s="2"/>
      <c r="P97" s="2"/>
      <c r="Q97" s="3" t="s">
        <v>152</v>
      </c>
      <c r="T97" s="26" t="s">
        <v>130</v>
      </c>
      <c r="U97" s="38">
        <f>U7+U26+U49+U86</f>
        <v>0.21571933779359997</v>
      </c>
      <c r="V97" s="38">
        <f>V7+V26+V49+V86</f>
        <v>4.04284687860096E-2</v>
      </c>
      <c r="W97" s="6" t="s">
        <v>122</v>
      </c>
    </row>
    <row r="98" spans="1:23" x14ac:dyDescent="0.35">
      <c r="A98" s="26" t="s">
        <v>23</v>
      </c>
      <c r="B98" s="5"/>
      <c r="C98" s="5"/>
      <c r="D98" s="5"/>
      <c r="E98" s="5"/>
      <c r="F98" s="5">
        <v>6.3200000000000006E-2</v>
      </c>
      <c r="G98" s="5"/>
      <c r="H98" s="5"/>
      <c r="I98" s="5"/>
      <c r="J98" s="5"/>
      <c r="K98" s="6" t="s">
        <v>27</v>
      </c>
      <c r="N98" s="26" t="s">
        <v>129</v>
      </c>
      <c r="O98" s="5">
        <f>O6+O25+O48</f>
        <v>16511.392</v>
      </c>
      <c r="P98" s="5">
        <f>P6+P25+P48</f>
        <v>0</v>
      </c>
      <c r="Q98" s="6" t="s">
        <v>20</v>
      </c>
      <c r="T98" s="26" t="s">
        <v>131</v>
      </c>
      <c r="U98" s="38">
        <f>U8+U27+U50+U87</f>
        <v>4.4650499504800011E-2</v>
      </c>
      <c r="V98" s="38">
        <f>V8+V27+V50+V87</f>
        <v>2.4684906925772802E-2</v>
      </c>
      <c r="W98" s="6" t="s">
        <v>122</v>
      </c>
    </row>
    <row r="99" spans="1:23" x14ac:dyDescent="0.35">
      <c r="A99" s="26" t="s">
        <v>24</v>
      </c>
      <c r="B99" s="5"/>
      <c r="C99" s="5"/>
      <c r="D99" s="5"/>
      <c r="E99" s="5"/>
      <c r="F99" s="5">
        <v>9.7900000000000001E-2</v>
      </c>
      <c r="G99" s="5"/>
      <c r="H99" s="5"/>
      <c r="I99" s="5"/>
      <c r="J99" s="5"/>
      <c r="K99" s="6" t="s">
        <v>27</v>
      </c>
      <c r="N99" s="26" t="s">
        <v>130</v>
      </c>
      <c r="O99" s="5">
        <f>O7+O26+O49+O86</f>
        <v>2534.8923359999994</v>
      </c>
      <c r="P99" s="5">
        <f>P7+P26+P49+P86</f>
        <v>475.07013849600003</v>
      </c>
      <c r="Q99" s="6" t="s">
        <v>20</v>
      </c>
      <c r="T99" s="26" t="s">
        <v>132</v>
      </c>
      <c r="U99" s="38">
        <f>U28+U51+U88</f>
        <v>0.42501981040000003</v>
      </c>
      <c r="V99" s="38">
        <f>V28+V51+V88</f>
        <v>1.1233461217664003</v>
      </c>
      <c r="W99" s="6" t="s">
        <v>122</v>
      </c>
    </row>
    <row r="100" spans="1:23" x14ac:dyDescent="0.35">
      <c r="A100" s="26" t="s">
        <v>25</v>
      </c>
      <c r="B100" s="5"/>
      <c r="C100" s="5"/>
      <c r="D100" s="5"/>
      <c r="E100" s="5"/>
      <c r="F100" s="5">
        <v>8.2600000000000007E-2</v>
      </c>
      <c r="G100" s="5"/>
      <c r="H100" s="5"/>
      <c r="I100" s="5"/>
      <c r="J100" s="5"/>
      <c r="K100" s="6" t="s">
        <v>27</v>
      </c>
      <c r="N100" s="26" t="s">
        <v>131</v>
      </c>
      <c r="O100" s="5">
        <f>O8+O27+O50+O87</f>
        <v>540.56294800000001</v>
      </c>
      <c r="P100" s="5">
        <f>P8+P27+P50+P87</f>
        <v>298.848752128</v>
      </c>
      <c r="Q100" s="6" t="s">
        <v>20</v>
      </c>
      <c r="T100" s="26" t="s">
        <v>26</v>
      </c>
      <c r="U100" s="38">
        <f>U29</f>
        <v>-9.9999999999999998E-17</v>
      </c>
      <c r="V100" s="38">
        <f>V29</f>
        <v>0</v>
      </c>
      <c r="W100" s="6" t="s">
        <v>122</v>
      </c>
    </row>
    <row r="101" spans="1:23" x14ac:dyDescent="0.35">
      <c r="A101" s="26" t="s">
        <v>26</v>
      </c>
      <c r="B101" s="5"/>
      <c r="C101" s="5"/>
      <c r="D101" s="5"/>
      <c r="E101" s="5"/>
      <c r="F101" s="5">
        <v>7.0199999999999999E-2</v>
      </c>
      <c r="G101" s="5"/>
      <c r="H101" s="5"/>
      <c r="I101" s="5"/>
      <c r="J101" s="5"/>
      <c r="K101" s="6" t="s">
        <v>27</v>
      </c>
      <c r="N101" s="26" t="s">
        <v>149</v>
      </c>
      <c r="O101" s="5">
        <f>O10+O30+O52+O66+O90</f>
        <v>14742.467524</v>
      </c>
      <c r="P101" s="5">
        <f>P10+P30+P52+P66+P90</f>
        <v>13869.769086464001</v>
      </c>
      <c r="Q101" s="6" t="s">
        <v>9</v>
      </c>
      <c r="T101" s="26" t="s">
        <v>149</v>
      </c>
      <c r="U101" s="38">
        <f>U10+U30+U52+U66+U90</f>
        <v>6.6341103858000006</v>
      </c>
      <c r="V101" s="38">
        <f>V10+V30+V52+V66+V90</f>
        <v>3.1336801483193302</v>
      </c>
      <c r="W101" s="6" t="s">
        <v>122</v>
      </c>
    </row>
    <row r="102" spans="1:23" ht="15" thickBot="1" x14ac:dyDescent="0.4">
      <c r="A102" s="26" t="s">
        <v>76</v>
      </c>
      <c r="B102" s="5">
        <v>2010</v>
      </c>
      <c r="C102" s="5"/>
      <c r="D102" s="5"/>
      <c r="E102" s="5">
        <v>2015</v>
      </c>
      <c r="F102" s="19">
        <v>2015</v>
      </c>
      <c r="G102" s="19">
        <v>2014</v>
      </c>
      <c r="H102" s="5">
        <v>2005</v>
      </c>
      <c r="I102" s="19">
        <v>2013</v>
      </c>
      <c r="J102" s="19"/>
      <c r="K102" s="6"/>
      <c r="N102" s="26" t="s">
        <v>151</v>
      </c>
      <c r="O102" s="5">
        <f>O28+O51+O88</f>
        <v>6724.9969999999994</v>
      </c>
      <c r="P102" s="5">
        <f>P28+P51+P88</f>
        <v>17774.463951999998</v>
      </c>
      <c r="Q102" s="6" t="s">
        <v>20</v>
      </c>
      <c r="T102" s="27" t="s">
        <v>133</v>
      </c>
      <c r="U102" s="9">
        <f>U47</f>
        <v>1.4107610000000002</v>
      </c>
      <c r="V102" s="9">
        <f>V47</f>
        <v>1.47936888</v>
      </c>
      <c r="W102" s="10" t="s">
        <v>122</v>
      </c>
    </row>
    <row r="103" spans="1:23" ht="15" thickBot="1" x14ac:dyDescent="0.4">
      <c r="A103" s="26" t="s">
        <v>8</v>
      </c>
      <c r="B103" s="5" t="s">
        <v>89</v>
      </c>
      <c r="C103" s="5"/>
      <c r="D103" s="5"/>
      <c r="E103" s="5"/>
      <c r="F103" s="5" t="s">
        <v>17</v>
      </c>
      <c r="G103" s="30" t="s">
        <v>100</v>
      </c>
      <c r="H103" s="5" t="s">
        <v>75</v>
      </c>
      <c r="I103" s="30" t="s">
        <v>95</v>
      </c>
      <c r="J103" s="30"/>
      <c r="K103" s="6"/>
      <c r="N103" s="27" t="s">
        <v>26</v>
      </c>
      <c r="O103" s="9">
        <f>O29</f>
        <v>0</v>
      </c>
      <c r="P103" s="9">
        <f>P29</f>
        <v>0</v>
      </c>
      <c r="Q103" s="10" t="s">
        <v>20</v>
      </c>
      <c r="T103" s="45" t="s">
        <v>134</v>
      </c>
      <c r="U103">
        <f>SUM(U96:U102)</f>
        <v>10.346726310298401</v>
      </c>
      <c r="V103">
        <f>SUM(V96:V102)</f>
        <v>5.8015085257975132</v>
      </c>
      <c r="W103" s="10" t="s">
        <v>122</v>
      </c>
    </row>
    <row r="104" spans="1:23" ht="15" thickBot="1" x14ac:dyDescent="0.4">
      <c r="A104" s="27" t="s">
        <v>18</v>
      </c>
      <c r="B104" s="9"/>
      <c r="C104" s="9"/>
      <c r="D104" s="9"/>
      <c r="E104" s="9"/>
      <c r="F104" s="9" t="s">
        <v>19</v>
      </c>
      <c r="G104" s="9"/>
      <c r="H104" s="9"/>
      <c r="I104" s="9"/>
      <c r="J104" s="9"/>
      <c r="K104" s="10"/>
      <c r="T104" s="45" t="s">
        <v>162</v>
      </c>
      <c r="U104">
        <f>U103-U94</f>
        <v>3.7126159244984001</v>
      </c>
      <c r="V104">
        <f>V103-V94</f>
        <v>2.667828377478183</v>
      </c>
      <c r="W104" s="10" t="s">
        <v>122</v>
      </c>
    </row>
    <row r="105" spans="1:23" x14ac:dyDescent="0.35">
      <c r="N105" s="1" t="s">
        <v>139</v>
      </c>
      <c r="O105" s="2"/>
      <c r="P105" s="2"/>
      <c r="Q105" s="3" t="s">
        <v>152</v>
      </c>
    </row>
    <row r="106" spans="1:23" ht="15" thickBot="1" x14ac:dyDescent="0.4">
      <c r="N106" s="26" t="s">
        <v>153</v>
      </c>
      <c r="O106" s="5">
        <f>O12</f>
        <v>5.4890159999999995</v>
      </c>
      <c r="P106" s="5">
        <f>P12</f>
        <v>3.7516469760000004</v>
      </c>
      <c r="Q106" s="6" t="s">
        <v>16</v>
      </c>
    </row>
    <row r="107" spans="1:23" x14ac:dyDescent="0.35">
      <c r="A107" s="1" t="s">
        <v>61</v>
      </c>
      <c r="B107" s="3" t="s">
        <v>70</v>
      </c>
      <c r="N107" s="26" t="s">
        <v>154</v>
      </c>
      <c r="O107" s="5">
        <f>O55</f>
        <v>0.46300000000000002</v>
      </c>
      <c r="P107" s="5">
        <f>P55</f>
        <v>0.39672000000000002</v>
      </c>
      <c r="Q107" s="6" t="s">
        <v>16</v>
      </c>
    </row>
    <row r="108" spans="1:23" x14ac:dyDescent="0.35">
      <c r="A108" s="26" t="s">
        <v>62</v>
      </c>
      <c r="B108" s="6">
        <v>11</v>
      </c>
      <c r="N108" s="26" t="s">
        <v>155</v>
      </c>
      <c r="O108" s="5">
        <f>O19</f>
        <v>0.14074399999999998</v>
      </c>
      <c r="P108" s="5">
        <f>P19</f>
        <v>8.3524608E-2</v>
      </c>
      <c r="Q108" s="6" t="s">
        <v>16</v>
      </c>
    </row>
    <row r="109" spans="1:23" x14ac:dyDescent="0.35">
      <c r="A109" s="26" t="s">
        <v>63</v>
      </c>
      <c r="B109" s="6">
        <v>44</v>
      </c>
      <c r="N109" s="26" t="s">
        <v>156</v>
      </c>
      <c r="O109" s="5">
        <f>O22</f>
        <v>6.1696000000000001E-2</v>
      </c>
      <c r="P109" s="5">
        <f>P22</f>
        <v>5.220288E-2</v>
      </c>
      <c r="Q109" s="6" t="s">
        <v>16</v>
      </c>
    </row>
    <row r="110" spans="1:23" x14ac:dyDescent="0.35">
      <c r="A110" s="26" t="s">
        <v>64</v>
      </c>
      <c r="B110" s="6">
        <v>11</v>
      </c>
      <c r="N110" s="45" t="s">
        <v>157</v>
      </c>
      <c r="O110" s="5">
        <f>O61</f>
        <v>1.67E-2</v>
      </c>
      <c r="P110" s="5">
        <f>P61</f>
        <v>1.4956800000000001E-2</v>
      </c>
      <c r="Q110" s="6" t="s">
        <v>16</v>
      </c>
    </row>
    <row r="111" spans="1:23" ht="15" thickBot="1" x14ac:dyDescent="0.4">
      <c r="A111" s="26" t="s">
        <v>65</v>
      </c>
      <c r="B111" s="6">
        <v>8</v>
      </c>
      <c r="N111" s="52" t="s">
        <v>158</v>
      </c>
      <c r="O111" s="9">
        <f>O63</f>
        <v>5.4000000000000003E-3</v>
      </c>
      <c r="P111" s="9">
        <f>P63</f>
        <v>4.8336000000000004E-3</v>
      </c>
      <c r="Q111" s="10" t="s">
        <v>16</v>
      </c>
      <c r="R111" t="s">
        <v>160</v>
      </c>
    </row>
    <row r="112" spans="1:23" x14ac:dyDescent="0.35">
      <c r="A112" s="26" t="s">
        <v>66</v>
      </c>
      <c r="B112" s="6">
        <v>5</v>
      </c>
    </row>
    <row r="113" spans="1:4" x14ac:dyDescent="0.35">
      <c r="A113" s="26" t="s">
        <v>67</v>
      </c>
      <c r="B113" s="6">
        <v>5</v>
      </c>
    </row>
    <row r="114" spans="1:4" x14ac:dyDescent="0.35">
      <c r="A114" s="26" t="s">
        <v>68</v>
      </c>
      <c r="B114" s="6">
        <v>6</v>
      </c>
    </row>
    <row r="115" spans="1:4" x14ac:dyDescent="0.35">
      <c r="A115" s="26" t="s">
        <v>69</v>
      </c>
      <c r="B115" s="6">
        <v>10</v>
      </c>
    </row>
    <row r="116" spans="1:4" x14ac:dyDescent="0.35">
      <c r="A116" s="26" t="s">
        <v>72</v>
      </c>
      <c r="B116" s="6"/>
    </row>
    <row r="117" spans="1:4" x14ac:dyDescent="0.35">
      <c r="A117" s="26" t="s">
        <v>73</v>
      </c>
      <c r="B117" s="6"/>
    </row>
    <row r="118" spans="1:4" ht="15" thickBot="1" x14ac:dyDescent="0.4">
      <c r="A118" s="27" t="s">
        <v>71</v>
      </c>
      <c r="B118" s="10"/>
    </row>
    <row r="120" spans="1:4" x14ac:dyDescent="0.35">
      <c r="A120" t="s">
        <v>77</v>
      </c>
      <c r="B120" t="s">
        <v>80</v>
      </c>
      <c r="C120" t="s">
        <v>7</v>
      </c>
      <c r="D120" t="s">
        <v>81</v>
      </c>
    </row>
    <row r="121" spans="1:4" x14ac:dyDescent="0.35">
      <c r="A121" t="s">
        <v>23</v>
      </c>
      <c r="B121">
        <v>49.5</v>
      </c>
      <c r="C121" t="s">
        <v>78</v>
      </c>
    </row>
    <row r="122" spans="1:4" x14ac:dyDescent="0.35">
      <c r="A122" t="s">
        <v>23</v>
      </c>
      <c r="B122">
        <v>39</v>
      </c>
      <c r="C122" t="s">
        <v>79</v>
      </c>
      <c r="D122" s="28" t="s">
        <v>82</v>
      </c>
    </row>
    <row r="123" spans="1:4" x14ac:dyDescent="0.35">
      <c r="A123" t="s">
        <v>86</v>
      </c>
      <c r="B123">
        <v>36</v>
      </c>
      <c r="C123" t="s">
        <v>91</v>
      </c>
      <c r="D123" s="28" t="s">
        <v>92</v>
      </c>
    </row>
    <row r="124" spans="1:4" x14ac:dyDescent="0.35">
      <c r="A124" t="s">
        <v>86</v>
      </c>
      <c r="B124">
        <v>42.9</v>
      </c>
      <c r="C124" t="s">
        <v>78</v>
      </c>
      <c r="D124" s="28" t="s">
        <v>92</v>
      </c>
    </row>
    <row r="125" spans="1:4" x14ac:dyDescent="0.35">
      <c r="A125" t="s">
        <v>99</v>
      </c>
      <c r="B125">
        <v>36.840000000000003</v>
      </c>
      <c r="C125" t="s">
        <v>91</v>
      </c>
      <c r="D125" s="28" t="s">
        <v>92</v>
      </c>
    </row>
    <row r="126" spans="1:4" x14ac:dyDescent="0.35">
      <c r="A126" t="s">
        <v>99</v>
      </c>
      <c r="B126">
        <v>43.05</v>
      </c>
      <c r="C126" t="s">
        <v>78</v>
      </c>
      <c r="D126" s="28" t="s">
        <v>92</v>
      </c>
    </row>
    <row r="127" spans="1:4" x14ac:dyDescent="0.35">
      <c r="A127" t="s">
        <v>21</v>
      </c>
      <c r="B127">
        <v>27.05</v>
      </c>
      <c r="C127" t="s">
        <v>78</v>
      </c>
      <c r="D127" t="s">
        <v>92</v>
      </c>
    </row>
    <row r="128" spans="1:4" x14ac:dyDescent="0.35">
      <c r="A128" t="s">
        <v>36</v>
      </c>
      <c r="B128">
        <v>25.86</v>
      </c>
      <c r="C128" t="s">
        <v>78</v>
      </c>
      <c r="D128" t="s">
        <v>92</v>
      </c>
    </row>
    <row r="129" spans="1:4" x14ac:dyDescent="0.35">
      <c r="A129" t="s">
        <v>112</v>
      </c>
      <c r="B129">
        <v>40.869999999999997</v>
      </c>
      <c r="C129" t="s">
        <v>78</v>
      </c>
      <c r="D129" s="28" t="s">
        <v>92</v>
      </c>
    </row>
    <row r="130" spans="1:4" x14ac:dyDescent="0.35">
      <c r="A130" t="s">
        <v>135</v>
      </c>
    </row>
    <row r="131" spans="1:4" x14ac:dyDescent="0.35">
      <c r="A131" t="s">
        <v>50</v>
      </c>
      <c r="B131">
        <v>6630</v>
      </c>
      <c r="C131" t="s">
        <v>137</v>
      </c>
      <c r="D131" s="28" t="s">
        <v>136</v>
      </c>
    </row>
    <row r="132" spans="1:4" x14ac:dyDescent="0.35">
      <c r="A132" t="s">
        <v>51</v>
      </c>
      <c r="B132">
        <v>11100</v>
      </c>
      <c r="C132" t="s">
        <v>138</v>
      </c>
      <c r="D132" s="28" t="s">
        <v>136</v>
      </c>
    </row>
  </sheetData>
  <hyperlinks>
    <hyperlink ref="D122" r:id="rId1" xr:uid="{E149DC1F-6A5C-4CE3-984A-739C3C85F562}"/>
    <hyperlink ref="D123" r:id="rId2" xr:uid="{B277D7AB-CEDC-49C0-B95B-F9C7BD5355EB}"/>
    <hyperlink ref="D124" r:id="rId3" xr:uid="{2D96DAF4-72BF-4429-A085-3E0A0851075A}"/>
    <hyperlink ref="I103" r:id="rId4" xr:uid="{324BAB25-BFF2-481F-86B6-0225C4944A26}"/>
    <hyperlink ref="D125" r:id="rId5" xr:uid="{2FFC55C7-E5C1-461D-B685-835718838933}"/>
    <hyperlink ref="D126" r:id="rId6" xr:uid="{791B42CD-AEAF-44DF-B7FA-591956439C04}"/>
    <hyperlink ref="G103" r:id="rId7" xr:uid="{31EA5AFF-F63D-4D3F-9368-DFF32C4C660F}"/>
    <hyperlink ref="D129" r:id="rId8" xr:uid="{C3DD6646-DAFA-47E3-A56D-CD3AC683E900}"/>
    <hyperlink ref="D131" r:id="rId9" display="https://ghgprotocol.org/sites/default/files/ghgp/Global-Warming-Potential-Values %28Feb 16 2016%29_1.pdf" xr:uid="{29338EFB-A976-44D0-A677-2FAA6AD2B13A}"/>
    <hyperlink ref="D132" r:id="rId10" display="https://ghgprotocol.org/sites/default/files/ghgp/Global-Warming-Potential-Values %28Feb 16 2016%29_1.pdf" xr:uid="{6360F98F-ADE6-48F8-A1AF-AC987C45BF1B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EDC9-18DE-40B1-A118-53BD5B63AA3C}">
  <sheetPr codeName="Sheet2"/>
  <dimension ref="A1:L125"/>
  <sheetViews>
    <sheetView workbookViewId="0">
      <pane ySplit="1" topLeftCell="A2" activePane="bottomLeft" state="frozen"/>
      <selection pane="bottomLeft" activeCell="L55" sqref="L55"/>
    </sheetView>
  </sheetViews>
  <sheetFormatPr defaultRowHeight="14.5" x14ac:dyDescent="0.35"/>
  <cols>
    <col min="1" max="1" width="17.7265625" customWidth="1"/>
    <col min="2" max="5" width="8.7265625" customWidth="1"/>
    <col min="6" max="6" width="10.81640625" customWidth="1"/>
    <col min="7" max="7" width="10.81640625" bestFit="1" customWidth="1"/>
    <col min="8" max="8" width="10.81640625" customWidth="1"/>
    <col min="9" max="9" width="8.7265625" customWidth="1"/>
    <col min="10" max="10" width="11.81640625" bestFit="1" customWidth="1"/>
    <col min="11" max="11" width="11.81640625" customWidth="1"/>
  </cols>
  <sheetData>
    <row r="1" spans="1:12" ht="15" thickBot="1" x14ac:dyDescent="0.4">
      <c r="A1" t="s">
        <v>139</v>
      </c>
      <c r="B1" t="s">
        <v>1</v>
      </c>
      <c r="C1" t="s">
        <v>2</v>
      </c>
      <c r="D1" t="s">
        <v>3</v>
      </c>
      <c r="E1" t="s">
        <v>74</v>
      </c>
      <c r="F1" t="s">
        <v>4</v>
      </c>
      <c r="G1" t="s">
        <v>118</v>
      </c>
      <c r="H1" t="s">
        <v>96</v>
      </c>
      <c r="I1" t="s">
        <v>90</v>
      </c>
      <c r="J1" t="s">
        <v>140</v>
      </c>
      <c r="K1" t="s">
        <v>18</v>
      </c>
      <c r="L1" t="s">
        <v>141</v>
      </c>
    </row>
    <row r="2" spans="1:12" x14ac:dyDescent="0.35">
      <c r="A2" s="14" t="s">
        <v>28</v>
      </c>
      <c r="B2" s="2"/>
      <c r="C2" s="2"/>
      <c r="D2" s="2"/>
      <c r="E2" s="2"/>
      <c r="F2" s="2"/>
      <c r="G2" s="2" t="s">
        <v>119</v>
      </c>
      <c r="H2" s="2"/>
      <c r="I2" s="2"/>
      <c r="J2" s="2"/>
      <c r="K2" s="2"/>
      <c r="L2" s="3"/>
    </row>
    <row r="3" spans="1:12" x14ac:dyDescent="0.35">
      <c r="A3" s="4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35">
      <c r="A4" s="7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35">
      <c r="A5" s="7" t="s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35">
      <c r="A6" s="7" t="s">
        <v>21</v>
      </c>
      <c r="B6" s="5"/>
      <c r="C6" s="5">
        <f>21859/5.4648</f>
        <v>3999.9634021373149</v>
      </c>
      <c r="D6" s="5"/>
      <c r="E6" s="5"/>
      <c r="F6" s="5"/>
      <c r="G6" s="5"/>
      <c r="H6" s="5"/>
      <c r="I6" s="5"/>
      <c r="J6" s="5" t="s">
        <v>142</v>
      </c>
      <c r="K6" s="5"/>
      <c r="L6" s="6" t="s">
        <v>143</v>
      </c>
    </row>
    <row r="7" spans="1:12" x14ac:dyDescent="0.35">
      <c r="A7" s="7" t="s">
        <v>13</v>
      </c>
      <c r="B7" s="5"/>
      <c r="C7" s="5"/>
      <c r="D7" s="5"/>
      <c r="E7" s="5"/>
      <c r="F7" s="5"/>
      <c r="G7" s="5"/>
      <c r="H7" s="5"/>
      <c r="I7" s="5"/>
      <c r="J7" s="5"/>
      <c r="K7" s="5"/>
      <c r="L7" s="6"/>
    </row>
    <row r="8" spans="1:12" x14ac:dyDescent="0.35">
      <c r="A8" s="7" t="s">
        <v>12</v>
      </c>
      <c r="B8" s="5"/>
      <c r="C8" s="5"/>
      <c r="D8" s="5"/>
      <c r="E8" s="5"/>
      <c r="F8" s="5"/>
      <c r="G8" s="5"/>
      <c r="H8" s="5"/>
      <c r="I8" s="5"/>
      <c r="J8" s="5"/>
      <c r="K8" s="5"/>
      <c r="L8" s="6"/>
    </row>
    <row r="9" spans="1:12" x14ac:dyDescent="0.35">
      <c r="A9" s="7" t="s">
        <v>43</v>
      </c>
      <c r="B9" s="5"/>
      <c r="C9" s="5"/>
      <c r="D9" s="5"/>
      <c r="E9" s="5"/>
      <c r="F9" s="19"/>
      <c r="G9" s="19"/>
      <c r="H9" s="19"/>
      <c r="I9" s="19"/>
      <c r="J9" s="19"/>
      <c r="K9" s="19"/>
      <c r="L9" s="6"/>
    </row>
    <row r="10" spans="1:12" x14ac:dyDescent="0.35">
      <c r="A10" s="7" t="s">
        <v>6</v>
      </c>
      <c r="B10" s="5"/>
      <c r="C10" s="5"/>
      <c r="D10" s="5"/>
      <c r="E10" s="5"/>
      <c r="F10" s="5"/>
      <c r="G10" s="5"/>
      <c r="H10" s="5"/>
      <c r="I10" s="19"/>
      <c r="J10" s="19"/>
      <c r="K10" s="19"/>
      <c r="L10" s="6"/>
    </row>
    <row r="11" spans="1:12" x14ac:dyDescent="0.35">
      <c r="A11" s="4" t="s">
        <v>30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1:12" x14ac:dyDescent="0.35">
      <c r="A12" s="11" t="s">
        <v>15</v>
      </c>
      <c r="B12" s="12"/>
      <c r="C12" s="12">
        <v>700</v>
      </c>
      <c r="D12" s="12"/>
      <c r="E12" s="12"/>
      <c r="F12" s="12"/>
      <c r="G12" s="12"/>
      <c r="H12" s="12"/>
      <c r="I12" s="12"/>
      <c r="J12" s="5" t="s">
        <v>142</v>
      </c>
      <c r="K12" s="5"/>
      <c r="L12" s="28" t="s">
        <v>144</v>
      </c>
    </row>
    <row r="13" spans="1:12" x14ac:dyDescent="0.35">
      <c r="A13" s="7" t="s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</row>
    <row r="14" spans="1:12" ht="15" thickBot="1" x14ac:dyDescent="0.4">
      <c r="A14" s="8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10"/>
    </row>
    <row r="15" spans="1:12" ht="15" thickBot="1" x14ac:dyDescent="0.4"/>
    <row r="16" spans="1:12" x14ac:dyDescent="0.35">
      <c r="A16" s="29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2" x14ac:dyDescent="0.35">
      <c r="A17" s="16" t="s">
        <v>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 x14ac:dyDescent="0.35">
      <c r="A18" s="17" t="s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 x14ac:dyDescent="0.35">
      <c r="A19" s="17" t="s">
        <v>31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6"/>
    </row>
    <row r="20" spans="1:12" x14ac:dyDescent="0.35">
      <c r="A20" s="17" t="s">
        <v>93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1:12" x14ac:dyDescent="0.35">
      <c r="A21" s="17" t="s">
        <v>94</v>
      </c>
      <c r="B21" s="5"/>
      <c r="C21" s="5"/>
      <c r="D21" s="5"/>
      <c r="E21" s="5"/>
      <c r="F21" s="5"/>
      <c r="G21" s="5"/>
      <c r="H21" s="5"/>
      <c r="I21" s="19"/>
      <c r="J21" s="19"/>
      <c r="K21" s="19"/>
      <c r="L21" s="6"/>
    </row>
    <row r="22" spans="1:12" x14ac:dyDescent="0.35">
      <c r="A22" s="17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</row>
    <row r="23" spans="1:12" x14ac:dyDescent="0.35">
      <c r="A23" s="17" t="s">
        <v>33</v>
      </c>
      <c r="B23" s="19"/>
      <c r="C23" s="5"/>
      <c r="D23" s="5"/>
      <c r="E23" s="5"/>
      <c r="F23" s="5"/>
      <c r="G23" s="5"/>
      <c r="H23" s="5"/>
      <c r="I23" s="5"/>
      <c r="J23" s="5"/>
      <c r="K23" s="5"/>
      <c r="L23" s="6"/>
    </row>
    <row r="24" spans="1:12" x14ac:dyDescent="0.35">
      <c r="A24" s="17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6"/>
    </row>
    <row r="25" spans="1:12" x14ac:dyDescent="0.35">
      <c r="A25" s="17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6"/>
    </row>
    <row r="26" spans="1:12" x14ac:dyDescent="0.35">
      <c r="A26" s="17" t="s">
        <v>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</row>
    <row r="27" spans="1:12" x14ac:dyDescent="0.35">
      <c r="A27" s="17" t="s">
        <v>12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6"/>
    </row>
    <row r="28" spans="1:12" x14ac:dyDescent="0.35">
      <c r="A28" s="17" t="s">
        <v>35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6"/>
    </row>
    <row r="29" spans="1:12" x14ac:dyDescent="0.35">
      <c r="A29" s="17" t="s">
        <v>36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6"/>
    </row>
    <row r="30" spans="1:12" x14ac:dyDescent="0.35">
      <c r="A30" s="17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6"/>
    </row>
    <row r="31" spans="1:12" x14ac:dyDescent="0.35">
      <c r="A31" s="17" t="s">
        <v>43</v>
      </c>
      <c r="B31" s="5"/>
      <c r="C31" s="5"/>
      <c r="D31" s="5"/>
      <c r="E31" s="5"/>
      <c r="F31" s="19"/>
      <c r="G31" s="19"/>
      <c r="H31" s="19"/>
      <c r="I31" s="19"/>
      <c r="J31" s="19"/>
      <c r="K31" s="19"/>
      <c r="L31" s="6"/>
    </row>
    <row r="32" spans="1:12" x14ac:dyDescent="0.35">
      <c r="A32" s="16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6"/>
    </row>
    <row r="33" spans="1:12" x14ac:dyDescent="0.35">
      <c r="A33" s="20" t="s">
        <v>37</v>
      </c>
      <c r="B33" s="12"/>
      <c r="C33" s="12"/>
      <c r="D33" s="12"/>
      <c r="E33" s="12"/>
      <c r="F33" s="21"/>
      <c r="G33" s="21"/>
      <c r="H33" s="21"/>
      <c r="I33" s="21"/>
      <c r="J33" s="21"/>
      <c r="K33" s="21"/>
      <c r="L33" s="13"/>
    </row>
    <row r="34" spans="1:12" x14ac:dyDescent="0.35">
      <c r="A34" s="17" t="s">
        <v>33</v>
      </c>
      <c r="B34" s="5"/>
      <c r="C34" s="5"/>
      <c r="D34" s="5"/>
      <c r="E34" s="5"/>
      <c r="F34" s="19"/>
      <c r="G34" s="19"/>
      <c r="H34" s="19"/>
      <c r="I34" s="19"/>
      <c r="J34" s="19"/>
      <c r="K34" s="19"/>
      <c r="L34" s="6"/>
    </row>
    <row r="35" spans="1:12" ht="15" thickBot="1" x14ac:dyDescent="0.4">
      <c r="A35" s="18" t="s"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10"/>
    </row>
    <row r="36" spans="1:12" ht="15" thickBot="1" x14ac:dyDescent="0.4">
      <c r="A36" s="15"/>
    </row>
    <row r="37" spans="1:12" x14ac:dyDescent="0.35">
      <c r="A37" s="29" t="s">
        <v>45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</row>
    <row r="38" spans="1:12" x14ac:dyDescent="0.35">
      <c r="A38" s="16" t="s">
        <v>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6"/>
    </row>
    <row r="39" spans="1:12" x14ac:dyDescent="0.35">
      <c r="A39" s="17" t="s">
        <v>97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6"/>
    </row>
    <row r="40" spans="1:12" x14ac:dyDescent="0.35">
      <c r="A40" s="17" t="s">
        <v>83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6"/>
    </row>
    <row r="41" spans="1:12" x14ac:dyDescent="0.35">
      <c r="A41" s="17" t="s">
        <v>84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6"/>
    </row>
    <row r="42" spans="1:12" x14ac:dyDescent="0.35">
      <c r="A42" s="17" t="s">
        <v>85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6"/>
    </row>
    <row r="43" spans="1:12" x14ac:dyDescent="0.35">
      <c r="A43" s="17" t="s">
        <v>38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6"/>
    </row>
    <row r="44" spans="1:12" x14ac:dyDescent="0.35">
      <c r="A44" s="17" t="s">
        <v>39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6"/>
    </row>
    <row r="45" spans="1:12" x14ac:dyDescent="0.35">
      <c r="A45" s="17" t="s">
        <v>40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6"/>
    </row>
    <row r="46" spans="1:12" x14ac:dyDescent="0.35">
      <c r="A46" s="17" t="s">
        <v>41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6"/>
    </row>
    <row r="47" spans="1:12" x14ac:dyDescent="0.35">
      <c r="A47" s="17" t="s">
        <v>42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6"/>
    </row>
    <row r="48" spans="1:12" x14ac:dyDescent="0.35">
      <c r="A48" s="17" t="s">
        <v>21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6"/>
    </row>
    <row r="49" spans="1:12" x14ac:dyDescent="0.35">
      <c r="A49" s="17" t="s">
        <v>13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6"/>
    </row>
    <row r="50" spans="1:12" x14ac:dyDescent="0.35">
      <c r="A50" s="17" t="s">
        <v>12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6"/>
    </row>
    <row r="51" spans="1:12" x14ac:dyDescent="0.35">
      <c r="A51" s="17" t="s">
        <v>23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6"/>
    </row>
    <row r="52" spans="1:12" x14ac:dyDescent="0.35">
      <c r="A52" s="17" t="s">
        <v>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6"/>
    </row>
    <row r="53" spans="1:12" x14ac:dyDescent="0.35">
      <c r="A53" s="17" t="s">
        <v>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6"/>
    </row>
    <row r="54" spans="1:12" x14ac:dyDescent="0.35">
      <c r="A54" s="16" t="s">
        <v>30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6"/>
    </row>
    <row r="55" spans="1:12" ht="15" thickBot="1" x14ac:dyDescent="0.4">
      <c r="A55" s="23" t="s">
        <v>44</v>
      </c>
      <c r="B55" s="24"/>
      <c r="C55" s="24">
        <v>3663</v>
      </c>
      <c r="D55" s="24"/>
      <c r="E55" s="24"/>
      <c r="F55" s="24"/>
      <c r="G55" s="24"/>
      <c r="H55" s="24"/>
      <c r="I55" s="24"/>
      <c r="J55" s="24"/>
      <c r="K55" s="24" t="s">
        <v>145</v>
      </c>
      <c r="L55" s="25" t="s">
        <v>146</v>
      </c>
    </row>
    <row r="56" spans="1:12" ht="15" thickBot="1" x14ac:dyDescent="0.4">
      <c r="A56" s="15"/>
    </row>
    <row r="57" spans="1:12" x14ac:dyDescent="0.35">
      <c r="A57" s="29" t="s">
        <v>101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</row>
    <row r="58" spans="1:12" x14ac:dyDescent="0.35">
      <c r="A58" s="16" t="s">
        <v>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6"/>
    </row>
    <row r="59" spans="1:12" x14ac:dyDescent="0.35">
      <c r="A59" s="17" t="s">
        <v>37</v>
      </c>
      <c r="B59" s="5"/>
      <c r="C59" s="5"/>
      <c r="D59" s="5"/>
      <c r="E59" s="5"/>
      <c r="F59" s="5"/>
      <c r="G59" s="5"/>
      <c r="H59" s="19"/>
      <c r="I59" s="5"/>
      <c r="J59" s="5"/>
      <c r="K59" s="5"/>
      <c r="L59" s="6"/>
    </row>
    <row r="60" spans="1:12" x14ac:dyDescent="0.35">
      <c r="A60" s="17" t="s">
        <v>46</v>
      </c>
      <c r="B60" s="5"/>
      <c r="C60" s="5"/>
      <c r="D60" s="5"/>
      <c r="E60" s="5"/>
      <c r="F60" s="5"/>
      <c r="G60" s="5"/>
      <c r="H60" s="19"/>
      <c r="I60" s="5"/>
      <c r="J60" s="5"/>
      <c r="K60" s="5"/>
      <c r="L60" s="6"/>
    </row>
    <row r="61" spans="1:12" x14ac:dyDescent="0.35">
      <c r="A61" s="17" t="s">
        <v>102</v>
      </c>
      <c r="B61" s="5"/>
      <c r="C61" s="5"/>
      <c r="D61" s="5"/>
      <c r="E61" s="5"/>
      <c r="F61" s="5"/>
      <c r="G61" s="5"/>
      <c r="H61" s="19"/>
      <c r="I61" s="5"/>
      <c r="J61" s="5"/>
      <c r="K61" s="5"/>
      <c r="L61" s="6"/>
    </row>
    <row r="62" spans="1:12" x14ac:dyDescent="0.35">
      <c r="A62" s="17" t="s">
        <v>47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6"/>
    </row>
    <row r="63" spans="1:12" x14ac:dyDescent="0.35">
      <c r="A63" s="17" t="s">
        <v>48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6"/>
    </row>
    <row r="64" spans="1:12" x14ac:dyDescent="0.35">
      <c r="A64" s="17" t="s">
        <v>86</v>
      </c>
      <c r="B64" s="19"/>
      <c r="C64" s="5"/>
      <c r="D64" s="5"/>
      <c r="E64" s="5"/>
      <c r="F64" s="5"/>
      <c r="G64" s="5"/>
      <c r="H64" s="5"/>
      <c r="I64" s="5"/>
      <c r="J64" s="5"/>
      <c r="K64" s="5"/>
      <c r="L64" s="6"/>
    </row>
    <row r="65" spans="1:12" x14ac:dyDescent="0.35">
      <c r="A65" s="17" t="s">
        <v>21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6"/>
    </row>
    <row r="66" spans="1:12" x14ac:dyDescent="0.35">
      <c r="A66" s="17" t="s">
        <v>6</v>
      </c>
      <c r="B66" s="19"/>
      <c r="C66" s="5"/>
      <c r="D66" s="5"/>
      <c r="E66" s="5"/>
      <c r="F66" s="5"/>
      <c r="G66" s="5"/>
      <c r="H66" s="5"/>
      <c r="I66" s="5"/>
      <c r="J66" s="5"/>
      <c r="K66" s="5"/>
      <c r="L66" s="6"/>
    </row>
    <row r="67" spans="1:12" x14ac:dyDescent="0.35">
      <c r="A67" s="16" t="s">
        <v>30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6"/>
    </row>
    <row r="68" spans="1:12" x14ac:dyDescent="0.35">
      <c r="A68" s="20" t="s">
        <v>49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3"/>
    </row>
    <row r="69" spans="1:12" x14ac:dyDescent="0.35">
      <c r="A69" s="17" t="s">
        <v>50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6"/>
    </row>
    <row r="70" spans="1:12" ht="15" thickBot="1" x14ac:dyDescent="0.4">
      <c r="A70" s="18" t="s">
        <v>51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10"/>
    </row>
    <row r="71" spans="1:12" ht="15" thickBot="1" x14ac:dyDescent="0.4">
      <c r="A71" s="15"/>
    </row>
    <row r="72" spans="1:12" x14ac:dyDescent="0.35">
      <c r="A72" s="22" t="s">
        <v>52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3"/>
    </row>
    <row r="73" spans="1:12" x14ac:dyDescent="0.35">
      <c r="A73" s="16" t="s">
        <v>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6"/>
    </row>
    <row r="74" spans="1:12" x14ac:dyDescent="0.35">
      <c r="A74" s="17" t="s">
        <v>53</v>
      </c>
      <c r="B74" s="5"/>
      <c r="C74" s="5"/>
      <c r="D74" s="5"/>
      <c r="E74" s="5"/>
      <c r="F74" s="5"/>
      <c r="G74" s="5"/>
      <c r="H74" s="19"/>
      <c r="I74" s="5"/>
      <c r="J74" s="5"/>
      <c r="K74" s="5"/>
      <c r="L74" s="6"/>
    </row>
    <row r="75" spans="1:12" x14ac:dyDescent="0.35">
      <c r="A75" s="17" t="s">
        <v>87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</row>
    <row r="76" spans="1:12" x14ac:dyDescent="0.35">
      <c r="A76" s="17" t="s">
        <v>88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"/>
    </row>
    <row r="77" spans="1:12" x14ac:dyDescent="0.35">
      <c r="A77" s="17" t="s">
        <v>54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6"/>
    </row>
    <row r="78" spans="1:12" x14ac:dyDescent="0.35">
      <c r="A78" s="17" t="s">
        <v>55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6"/>
    </row>
    <row r="79" spans="1:12" x14ac:dyDescent="0.35">
      <c r="A79" s="17" t="s">
        <v>56</v>
      </c>
      <c r="B79" s="5"/>
      <c r="C79" s="5"/>
      <c r="D79" s="5"/>
      <c r="E79" s="5"/>
      <c r="F79" s="5"/>
      <c r="G79" s="5"/>
      <c r="H79" s="19"/>
      <c r="I79" s="5"/>
      <c r="J79" s="5"/>
      <c r="K79" s="5"/>
      <c r="L79" s="6"/>
    </row>
    <row r="80" spans="1:12" x14ac:dyDescent="0.35">
      <c r="A80" s="17" t="s">
        <v>57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6"/>
    </row>
    <row r="81" spans="1:12" x14ac:dyDescent="0.35">
      <c r="A81" s="17" t="s">
        <v>58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6"/>
    </row>
    <row r="82" spans="1:12" x14ac:dyDescent="0.35">
      <c r="A82" s="17" t="s">
        <v>98</v>
      </c>
      <c r="B82" s="5"/>
      <c r="C82" s="5"/>
      <c r="D82" s="5"/>
      <c r="E82" s="5"/>
      <c r="F82" s="5"/>
      <c r="G82" s="5"/>
      <c r="H82" s="19"/>
      <c r="I82" s="5"/>
      <c r="J82" s="5"/>
      <c r="K82" s="5"/>
      <c r="L82" s="6"/>
    </row>
    <row r="83" spans="1:12" x14ac:dyDescent="0.35">
      <c r="A83" s="17" t="s">
        <v>59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6"/>
    </row>
    <row r="84" spans="1:12" x14ac:dyDescent="0.35">
      <c r="A84" s="17" t="s">
        <v>21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6"/>
    </row>
    <row r="85" spans="1:12" x14ac:dyDescent="0.35">
      <c r="A85" s="17" t="s">
        <v>13</v>
      </c>
      <c r="B85" s="5"/>
      <c r="C85" s="5"/>
      <c r="D85" s="5"/>
      <c r="E85" s="5"/>
      <c r="F85" s="5"/>
      <c r="G85" s="5"/>
      <c r="H85" s="19"/>
      <c r="I85" s="5"/>
      <c r="J85" s="5"/>
      <c r="K85" s="5"/>
      <c r="L85" s="6"/>
    </row>
    <row r="86" spans="1:12" x14ac:dyDescent="0.35">
      <c r="A86" s="17" t="s">
        <v>12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6"/>
    </row>
    <row r="87" spans="1:12" x14ac:dyDescent="0.35">
      <c r="A87" s="17" t="s">
        <v>23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6"/>
    </row>
    <row r="88" spans="1:12" x14ac:dyDescent="0.35">
      <c r="A88" s="17" t="s">
        <v>43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6"/>
    </row>
    <row r="89" spans="1:12" x14ac:dyDescent="0.35">
      <c r="A89" s="17" t="s">
        <v>6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6"/>
    </row>
    <row r="90" spans="1:12" x14ac:dyDescent="0.35">
      <c r="A90" s="16" t="s">
        <v>30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6"/>
    </row>
    <row r="91" spans="1:12" ht="15" thickBot="1" x14ac:dyDescent="0.4">
      <c r="A91" s="23" t="s">
        <v>60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5"/>
    </row>
    <row r="92" spans="1:12" x14ac:dyDescent="0.35">
      <c r="A92" s="15"/>
    </row>
    <row r="124" spans="4:5" x14ac:dyDescent="0.35">
      <c r="D124" s="28"/>
      <c r="E124" s="28"/>
    </row>
    <row r="125" spans="4:5" x14ac:dyDescent="0.35">
      <c r="D125" s="28"/>
      <c r="E125" s="28"/>
    </row>
  </sheetData>
  <hyperlinks>
    <hyperlink ref="L12" r:id="rId1" xr:uid="{65D33695-1D4F-49EC-8472-0C01601F4C2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AACE-EDE4-4B10-8681-7564AE6E91C7}">
  <sheetPr codeName="Sheet3"/>
  <dimension ref="A1:B6"/>
  <sheetViews>
    <sheetView tabSelected="1" workbookViewId="0">
      <selection activeCell="M20" sqref="M20"/>
    </sheetView>
  </sheetViews>
  <sheetFormatPr defaultRowHeight="14.5" x14ac:dyDescent="0.35"/>
  <sheetData>
    <row r="1" spans="1:2" x14ac:dyDescent="0.35">
      <c r="A1" t="s">
        <v>103</v>
      </c>
      <c r="B1" t="s">
        <v>2</v>
      </c>
    </row>
    <row r="2" spans="1:2" x14ac:dyDescent="0.35">
      <c r="A2" t="s">
        <v>104</v>
      </c>
      <c r="B2">
        <v>60</v>
      </c>
    </row>
    <row r="3" spans="1:2" x14ac:dyDescent="0.35">
      <c r="A3" t="s">
        <v>105</v>
      </c>
      <c r="B3">
        <v>40</v>
      </c>
    </row>
    <row r="4" spans="1:2" x14ac:dyDescent="0.35">
      <c r="A4" t="s">
        <v>106</v>
      </c>
      <c r="B4" t="s">
        <v>109</v>
      </c>
    </row>
    <row r="5" spans="1:2" x14ac:dyDescent="0.35">
      <c r="A5" t="s">
        <v>107</v>
      </c>
      <c r="B5">
        <v>2017</v>
      </c>
    </row>
    <row r="6" spans="1:2" x14ac:dyDescent="0.35">
      <c r="A6" t="s">
        <v>108</v>
      </c>
      <c r="B6" s="28" t="s">
        <v>110</v>
      </c>
    </row>
  </sheetData>
  <hyperlinks>
    <hyperlink ref="B6" r:id="rId1" xr:uid="{1F7DF245-7317-4304-98D5-3A3CF88451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1840-7C60-4393-84AA-290E5B0971AF}">
  <sheetPr codeName="Sheet4"/>
  <dimension ref="A1:G5"/>
  <sheetViews>
    <sheetView workbookViewId="0">
      <selection activeCell="E11" sqref="E11"/>
    </sheetView>
  </sheetViews>
  <sheetFormatPr defaultRowHeight="14.5" x14ac:dyDescent="0.35"/>
  <cols>
    <col min="1" max="1" width="12.81640625" bestFit="1" customWidth="1"/>
    <col min="2" max="2" width="9" customWidth="1"/>
  </cols>
  <sheetData>
    <row r="1" spans="1:7" x14ac:dyDescent="0.35">
      <c r="A1" t="s">
        <v>113</v>
      </c>
      <c r="B1" t="s">
        <v>2</v>
      </c>
      <c r="C1" t="s">
        <v>1</v>
      </c>
      <c r="D1" t="s">
        <v>3</v>
      </c>
      <c r="E1" t="s">
        <v>74</v>
      </c>
      <c r="F1" t="s">
        <v>4</v>
      </c>
      <c r="G1" t="s">
        <v>106</v>
      </c>
    </row>
    <row r="2" spans="1:7" x14ac:dyDescent="0.35">
      <c r="A2" t="s">
        <v>115</v>
      </c>
      <c r="B2">
        <v>3347500</v>
      </c>
      <c r="C2">
        <f>24*1400000</f>
        <v>33600000</v>
      </c>
      <c r="D2">
        <f>D3*325100</f>
        <v>5851800</v>
      </c>
      <c r="G2" t="s">
        <v>114</v>
      </c>
    </row>
    <row r="3" spans="1:7" x14ac:dyDescent="0.35">
      <c r="A3" t="s">
        <v>115</v>
      </c>
      <c r="B3">
        <v>2.5</v>
      </c>
      <c r="C3">
        <v>24</v>
      </c>
      <c r="D3">
        <v>18</v>
      </c>
      <c r="G3" t="s">
        <v>116</v>
      </c>
    </row>
    <row r="4" spans="1:7" x14ac:dyDescent="0.35">
      <c r="A4" t="s">
        <v>107</v>
      </c>
      <c r="B4">
        <v>2017</v>
      </c>
      <c r="C4">
        <v>2017</v>
      </c>
      <c r="D4">
        <v>2017</v>
      </c>
    </row>
    <row r="5" spans="1:7" x14ac:dyDescent="0.35">
      <c r="A5" t="s">
        <v>108</v>
      </c>
      <c r="B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Bayer_Hall_Heroult</vt:lpstr>
      <vt:lpstr>material_price</vt:lpstr>
      <vt:lpstr>aluminum_production_mix</vt:lpstr>
      <vt:lpstr>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2022-04-12T23:11:11Z</dcterms:modified>
</cp:coreProperties>
</file>