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rekin\Desktop\"/>
    </mc:Choice>
  </mc:AlternateContent>
  <bookViews>
    <workbookView xWindow="0" yWindow="0" windowWidth="19170" windowHeight="4335" activeTab="3"/>
  </bookViews>
  <sheets>
    <sheet name="NPC Data" sheetId="1" r:id="rId1"/>
    <sheet name="Checking SESAME" sheetId="6" r:id="rId2"/>
    <sheet name="Nat_gas CC Results" sheetId="9" r:id="rId3"/>
    <sheet name="Coal Results" sheetId="10" r:id="rId4"/>
  </sheets>
  <definedNames>
    <definedName name="a">#REF!</definedName>
    <definedName name="b">#REF!</definedName>
    <definedName name="d">#REF!</definedName>
    <definedName name="x">#REF!</definedName>
    <definedName name="y">#REF!</definedName>
    <definedName name="z">#REF!</definedName>
  </definedNames>
  <calcPr calcId="152511" calcMode="manual" iterate="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6" l="1"/>
  <c r="G15" i="6" s="1"/>
  <c r="J14" i="6"/>
  <c r="G14" i="6" l="1"/>
  <c r="C10" i="9" l="1"/>
  <c r="X28" i="9"/>
  <c r="T28" i="9" s="1"/>
  <c r="X27" i="9"/>
  <c r="T27" i="9" s="1"/>
  <c r="T25" i="9"/>
  <c r="Y25" i="9" s="1"/>
  <c r="T26" i="9"/>
  <c r="Y26" i="9" s="1"/>
  <c r="T23" i="9"/>
  <c r="T18" i="9"/>
  <c r="T17" i="9"/>
  <c r="Y17" i="9" s="1"/>
  <c r="T15" i="9"/>
  <c r="T4" i="10"/>
  <c r="X28" i="10"/>
  <c r="T28" i="10" s="1"/>
  <c r="X27" i="10"/>
  <c r="T27" i="10" s="1"/>
  <c r="T26" i="10"/>
  <c r="Y26" i="10" s="1"/>
  <c r="T25" i="10"/>
  <c r="Y25" i="10" s="1"/>
  <c r="T23" i="10"/>
  <c r="T18" i="10"/>
  <c r="Y18" i="10" s="1"/>
  <c r="T17" i="10"/>
  <c r="Y17" i="10" s="1"/>
  <c r="T16" i="10"/>
  <c r="T24" i="10" s="1"/>
  <c r="X24" i="10" s="1"/>
  <c r="U15" i="10"/>
  <c r="T15" i="10"/>
  <c r="U9" i="10"/>
  <c r="T29" i="10" s="1"/>
  <c r="T9" i="10"/>
  <c r="U8" i="10"/>
  <c r="T8" i="10"/>
  <c r="U4" i="10"/>
  <c r="U15" i="9"/>
  <c r="U9" i="9"/>
  <c r="U8" i="9"/>
  <c r="T9" i="9"/>
  <c r="T8" i="9"/>
  <c r="U4" i="9"/>
  <c r="T4" i="9"/>
  <c r="T16" i="9" s="1"/>
  <c r="T24" i="9" s="1"/>
  <c r="X24" i="9" s="1"/>
  <c r="U23" i="9"/>
  <c r="Y18" i="9"/>
  <c r="G51" i="10"/>
  <c r="F51" i="10"/>
  <c r="F52" i="10" s="1"/>
  <c r="G9" i="10"/>
  <c r="G10" i="10" s="1"/>
  <c r="F9" i="10"/>
  <c r="F10" i="10" s="1"/>
  <c r="D51" i="10"/>
  <c r="D52" i="10" s="1"/>
  <c r="E51" i="10"/>
  <c r="E52" i="10" s="1"/>
  <c r="E9" i="10"/>
  <c r="C51" i="10"/>
  <c r="C52" i="10" s="1"/>
  <c r="D9" i="10"/>
  <c r="D10" i="10" s="1"/>
  <c r="C9" i="10"/>
  <c r="C10" i="10" s="1"/>
  <c r="G60" i="10"/>
  <c r="F60" i="10"/>
  <c r="G52" i="10"/>
  <c r="E10" i="10"/>
  <c r="G49" i="9"/>
  <c r="F49" i="9"/>
  <c r="E49" i="9"/>
  <c r="E50" i="9" s="1"/>
  <c r="D49" i="9"/>
  <c r="D50" i="9" s="1"/>
  <c r="C49" i="9"/>
  <c r="G58" i="9"/>
  <c r="F58" i="9"/>
  <c r="G50" i="9"/>
  <c r="F50" i="9"/>
  <c r="C50" i="9"/>
  <c r="G9" i="9"/>
  <c r="G10" i="9" s="1"/>
  <c r="F9" i="9"/>
  <c r="F10" i="9" s="1"/>
  <c r="E9" i="9"/>
  <c r="E10" i="9" s="1"/>
  <c r="D9" i="9"/>
  <c r="D10" i="9" s="1"/>
  <c r="C9" i="9"/>
  <c r="T19" i="9" l="1"/>
  <c r="V19" i="9" s="1"/>
  <c r="V29" i="10"/>
  <c r="T29" i="9"/>
  <c r="V29" i="9" s="1"/>
  <c r="W24" i="10"/>
  <c r="T19" i="10"/>
  <c r="V19" i="10" s="1"/>
  <c r="X16" i="10"/>
  <c r="W25" i="10"/>
  <c r="W26" i="10" s="1"/>
  <c r="W27" i="10" s="1"/>
  <c r="W28" i="10" s="1"/>
  <c r="W29" i="10" s="1"/>
  <c r="U23" i="10"/>
  <c r="W24" i="9"/>
  <c r="W25" i="9"/>
  <c r="W26" i="9" s="1"/>
  <c r="W27" i="9" s="1"/>
  <c r="W28" i="9" s="1"/>
  <c r="W29" i="9" s="1"/>
  <c r="X16" i="9"/>
  <c r="W17" i="9" s="1"/>
  <c r="W18" i="9" s="1"/>
  <c r="W19" i="9" s="1"/>
  <c r="W17" i="10" l="1"/>
  <c r="W18" i="10" s="1"/>
  <c r="W19" i="10" s="1"/>
  <c r="W16" i="10"/>
  <c r="W16" i="9"/>
  <c r="P41" i="6"/>
  <c r="P40" i="6"/>
  <c r="P4" i="6"/>
  <c r="P10" i="6" s="1"/>
  <c r="P2" i="6"/>
  <c r="P29" i="6" s="1"/>
  <c r="C4" i="6"/>
  <c r="C10" i="6" s="1"/>
  <c r="P39" i="6" l="1"/>
  <c r="W14" i="6"/>
  <c r="P36" i="6"/>
  <c r="P37" i="6"/>
  <c r="P38" i="6"/>
  <c r="P31" i="6"/>
  <c r="P22" i="6"/>
  <c r="P28" i="6"/>
  <c r="X14" i="6"/>
  <c r="P14" i="6"/>
  <c r="P16" i="6" s="1"/>
  <c r="P15" i="6"/>
  <c r="P17" i="6" s="1"/>
  <c r="P30" i="6"/>
  <c r="P21" i="6"/>
  <c r="T16" i="6"/>
  <c r="T18" i="6" l="1"/>
  <c r="T14" i="6"/>
  <c r="P42" i="6"/>
  <c r="P43" i="6" s="1"/>
  <c r="T37" i="6" s="1"/>
  <c r="P33" i="6"/>
  <c r="T17" i="6"/>
  <c r="P23" i="6"/>
  <c r="T15" i="6"/>
  <c r="P24" i="6" l="1"/>
  <c r="T22" i="6" s="1"/>
  <c r="W21" i="6"/>
  <c r="T30" i="6"/>
  <c r="W28" i="6"/>
  <c r="T36" i="6"/>
  <c r="W36" i="6" s="1"/>
  <c r="P32" i="6"/>
  <c r="T28" i="6" s="1"/>
  <c r="X28" i="6"/>
  <c r="T38" i="6"/>
  <c r="T40" i="6" s="1"/>
  <c r="T23" i="6"/>
  <c r="X21" i="6"/>
  <c r="T39" i="6"/>
  <c r="T29" i="6"/>
  <c r="T31" i="6" l="1"/>
  <c r="X36" i="6"/>
  <c r="T32" i="6"/>
  <c r="T25" i="6"/>
  <c r="T24" i="6"/>
  <c r="T21" i="6"/>
  <c r="C41" i="6" l="1"/>
  <c r="C40" i="6"/>
  <c r="C31" i="6"/>
  <c r="C2" i="6"/>
  <c r="C38" i="6" s="1"/>
  <c r="C29" i="6" l="1"/>
  <c r="C37" i="6"/>
  <c r="C14" i="6"/>
  <c r="C30" i="6"/>
  <c r="C33" i="6" s="1"/>
  <c r="C39" i="6"/>
  <c r="C36" i="6"/>
  <c r="C42" i="6" s="1"/>
  <c r="K14" i="6"/>
  <c r="C28" i="6"/>
  <c r="C21" i="6"/>
  <c r="C22" i="6"/>
  <c r="G16" i="6"/>
  <c r="C15" i="6"/>
  <c r="T23" i="1"/>
  <c r="T22" i="1"/>
  <c r="T19" i="1"/>
  <c r="T18" i="1"/>
  <c r="C32" i="6" l="1"/>
  <c r="G29" i="6" s="1"/>
  <c r="G28" i="6"/>
  <c r="K28" i="6"/>
  <c r="J28" i="6"/>
  <c r="G30" i="6"/>
  <c r="C17" i="6"/>
  <c r="G18" i="6" s="1"/>
  <c r="C23" i="6"/>
  <c r="J21" i="6" s="1"/>
  <c r="C43" i="6"/>
  <c r="G32" i="6" l="1"/>
  <c r="G31" i="6"/>
  <c r="G17" i="6"/>
  <c r="G36" i="6"/>
  <c r="J36" i="6" s="1"/>
  <c r="G39" i="6"/>
  <c r="K21" i="6"/>
  <c r="G37" i="6"/>
  <c r="C24" i="6"/>
  <c r="G23" i="6"/>
  <c r="G38" i="6"/>
  <c r="G40" i="6" s="1"/>
  <c r="K36" i="6" l="1"/>
  <c r="G25" i="6"/>
  <c r="G22" i="6"/>
  <c r="G24" i="6"/>
  <c r="G21" i="6"/>
  <c r="L19" i="1" l="1"/>
  <c r="L22" i="1" l="1"/>
  <c r="N22" i="1" s="1"/>
  <c r="L23" i="1"/>
  <c r="N23" i="1" s="1"/>
  <c r="N19" i="1"/>
  <c r="L18" i="1"/>
  <c r="N18" i="1" s="1"/>
</calcChain>
</file>

<file path=xl/comments1.xml><?xml version="1.0" encoding="utf-8"?>
<comments xmlns="http://schemas.openxmlformats.org/spreadsheetml/2006/main">
  <authors>
    <author>Grekin, Rebecca</author>
  </authors>
  <commentList>
    <comment ref="F18" authorId="0" shapeId="0">
      <text>
        <r>
          <rPr>
            <b/>
            <sz val="9"/>
            <color indexed="81"/>
            <rFont val="Tahoma"/>
            <charset val="1"/>
          </rPr>
          <t>Grekin, Rebecca:</t>
        </r>
        <r>
          <rPr>
            <sz val="9"/>
            <color indexed="81"/>
            <rFont val="Tahoma"/>
            <charset val="1"/>
          </rPr>
          <t xml:space="preserve">
kg CO2/kwh electricity
ng_power_greet_lcidata.csv G426
Electric tab Row 144-154 for Natural gas Combined Cycle when Inputs tab E710 = US
</t>
        </r>
      </text>
    </comment>
    <comment ref="G18" authorId="0" shapeId="0">
      <text>
        <r>
          <rPr>
            <b/>
            <sz val="9"/>
            <color indexed="81"/>
            <rFont val="Tahoma"/>
            <charset val="1"/>
          </rPr>
          <t>Grekin, Rebecca:</t>
        </r>
        <r>
          <rPr>
            <sz val="9"/>
            <color indexed="81"/>
            <rFont val="Tahoma"/>
            <charset val="1"/>
          </rPr>
          <t xml:space="preserve">
kg CO2/kwh electricity
ng_power_greet_lcidata.csv G426
Electric tab Row 144-154 for Natural gas Combined Cycle when Inputs tab E710 = US
</t>
        </r>
      </text>
    </comment>
    <comment ref="F58" authorId="0" shapeId="0">
      <text>
        <r>
          <rPr>
            <b/>
            <sz val="9"/>
            <color indexed="81"/>
            <rFont val="Tahoma"/>
            <charset val="1"/>
          </rPr>
          <t>Grekin, Rebecca:</t>
        </r>
        <r>
          <rPr>
            <sz val="9"/>
            <color indexed="81"/>
            <rFont val="Tahoma"/>
            <charset val="1"/>
          </rPr>
          <t xml:space="preserve">
kg CO2/kWh
</t>
        </r>
      </text>
    </comment>
    <comment ref="G58" authorId="0" shapeId="0">
      <text>
        <r>
          <rPr>
            <b/>
            <sz val="9"/>
            <color indexed="81"/>
            <rFont val="Tahoma"/>
            <charset val="1"/>
          </rPr>
          <t>Grekin, Rebecca:</t>
        </r>
        <r>
          <rPr>
            <sz val="9"/>
            <color indexed="81"/>
            <rFont val="Tahoma"/>
            <charset val="1"/>
          </rPr>
          <t xml:space="preserve">
kg CO2/kWh
</t>
        </r>
      </text>
    </comment>
  </commentList>
</comments>
</file>

<file path=xl/comments2.xml><?xml version="1.0" encoding="utf-8"?>
<comments xmlns="http://schemas.openxmlformats.org/spreadsheetml/2006/main">
  <authors>
    <author>Grekin, Rebecca</author>
  </authors>
  <commentList>
    <comment ref="F18" authorId="0" shapeId="0">
      <text>
        <r>
          <rPr>
            <b/>
            <sz val="9"/>
            <color indexed="81"/>
            <rFont val="Tahoma"/>
            <charset val="1"/>
          </rPr>
          <t>Grekin, Rebecca:</t>
        </r>
        <r>
          <rPr>
            <sz val="9"/>
            <color indexed="81"/>
            <rFont val="Tahoma"/>
            <charset val="1"/>
          </rPr>
          <t xml:space="preserve">
kg CO2/kwh electricity
ng_power_greet_lcidata.csv G426
Electric tab Row 144-154 for Natural gas Combined Cycle when Inputs tab E710 = US
</t>
        </r>
      </text>
    </comment>
    <comment ref="G18" authorId="0" shapeId="0">
      <text>
        <r>
          <rPr>
            <b/>
            <sz val="9"/>
            <color indexed="81"/>
            <rFont val="Tahoma"/>
            <charset val="1"/>
          </rPr>
          <t>Grekin, Rebecca:</t>
        </r>
        <r>
          <rPr>
            <sz val="9"/>
            <color indexed="81"/>
            <rFont val="Tahoma"/>
            <charset val="1"/>
          </rPr>
          <t xml:space="preserve">
kg CO2/kwh electricity
ng_power_greet_lcidata.csv G426
Electric tab Row 144-154 for Natural gas Combined Cycle when Inputs tab E710 = US
</t>
        </r>
      </text>
    </comment>
    <comment ref="F60" authorId="0" shapeId="0">
      <text>
        <r>
          <rPr>
            <b/>
            <sz val="9"/>
            <color indexed="81"/>
            <rFont val="Tahoma"/>
            <charset val="1"/>
          </rPr>
          <t>Grekin, Rebecca:</t>
        </r>
        <r>
          <rPr>
            <sz val="9"/>
            <color indexed="81"/>
            <rFont val="Tahoma"/>
            <charset val="1"/>
          </rPr>
          <t xml:space="preserve">
kg CO2/kWh
</t>
        </r>
      </text>
    </comment>
    <comment ref="G60" authorId="0" shapeId="0">
      <text>
        <r>
          <rPr>
            <b/>
            <sz val="9"/>
            <color indexed="81"/>
            <rFont val="Tahoma"/>
            <charset val="1"/>
          </rPr>
          <t>Grekin, Rebecca:</t>
        </r>
        <r>
          <rPr>
            <sz val="9"/>
            <color indexed="81"/>
            <rFont val="Tahoma"/>
            <charset val="1"/>
          </rPr>
          <t xml:space="preserve">
kg CO2/kWh
</t>
        </r>
      </text>
    </comment>
  </commentList>
</comments>
</file>

<file path=xl/sharedStrings.xml><?xml version="1.0" encoding="utf-8"?>
<sst xmlns="http://schemas.openxmlformats.org/spreadsheetml/2006/main" count="621" uniqueCount="224">
  <si>
    <t>Facility Type</t>
  </si>
  <si>
    <t>Reference Plant Size</t>
  </si>
  <si>
    <t>Capacity Utilization</t>
  </si>
  <si>
    <t>Stream Flowrate (tonnes/hour)</t>
  </si>
  <si>
    <t>CO2 Separation Technology</t>
  </si>
  <si>
    <t>CO2 Volume Captured (tonnes/year)</t>
  </si>
  <si>
    <t>Separation Notes</t>
  </si>
  <si>
    <t>Natural Gas Processing</t>
  </si>
  <si>
    <t>Ethanol Production</t>
  </si>
  <si>
    <t>Ammonia Production</t>
  </si>
  <si>
    <t>Hydrogen Production</t>
  </si>
  <si>
    <t>Cement Plants</t>
  </si>
  <si>
    <t>Refinery Fluidized Catalytic Cracking (FCC) Plants</t>
  </si>
  <si>
    <t>Steel/Iron Plants</t>
  </si>
  <si>
    <t>Coal Power Plants</t>
  </si>
  <si>
    <t>Industrial Furnaces (refining/chemicals)</t>
  </si>
  <si>
    <t>Natural Gas Power Plants</t>
  </si>
  <si>
    <t>140 MMCF/D</t>
  </si>
  <si>
    <t>150 million gal/yr</t>
  </si>
  <si>
    <t>907,000 tonnes/yr</t>
  </si>
  <si>
    <t>87 MMCF/D</t>
  </si>
  <si>
    <t>1 million tonnes/yr</t>
  </si>
  <si>
    <t>60,000 barrels/day</t>
  </si>
  <si>
    <t>2.54 million tonnes/yr</t>
  </si>
  <si>
    <t>550 MW net</t>
  </si>
  <si>
    <t>4x150 MMBTU/hr</t>
  </si>
  <si>
    <t>560 MW net</t>
  </si>
  <si>
    <t>85/55/35</t>
  </si>
  <si>
    <t>95-100</t>
  </si>
  <si>
    <t>None</t>
  </si>
  <si>
    <t>Amine</t>
  </si>
  <si>
    <t>3089000/1999000/1272000</t>
  </si>
  <si>
    <t>1279000/827000/527000</t>
  </si>
  <si>
    <t>Vented only, not combustion</t>
  </si>
  <si>
    <t>Process only, not combustion</t>
  </si>
  <si>
    <t>both process and combustion</t>
  </si>
  <si>
    <t>process only, not combustion</t>
  </si>
  <si>
    <t>combustion</t>
  </si>
  <si>
    <t>Capital Cost Low-High ($millions)</t>
  </si>
  <si>
    <t>Unit Capital Cost 20-year life low-high ($/tonne)</t>
  </si>
  <si>
    <t>17-28</t>
  </si>
  <si>
    <t>21-36</t>
  </si>
  <si>
    <t>24-41</t>
  </si>
  <si>
    <t>59-98</t>
  </si>
  <si>
    <t>148-247</t>
  </si>
  <si>
    <t>136-227</t>
  </si>
  <si>
    <t>805-1342</t>
  </si>
  <si>
    <t>891-1485</t>
  </si>
  <si>
    <t>92-153</t>
  </si>
  <si>
    <t>399-666</t>
  </si>
  <si>
    <t>19-33</t>
  </si>
  <si>
    <t>7-12</t>
  </si>
  <si>
    <t>6-10</t>
  </si>
  <si>
    <t>6-11</t>
  </si>
  <si>
    <t>17-29</t>
  </si>
  <si>
    <t>43-72</t>
  </si>
  <si>
    <t>26-44</t>
  </si>
  <si>
    <t>33-55/54-91/89-149</t>
  </si>
  <si>
    <t>49-83</t>
  </si>
  <si>
    <t>34-58/57-95/92-155</t>
  </si>
  <si>
    <t>Non-energy O&amp;M % of CAPEX</t>
  </si>
  <si>
    <t>Electricity (MWh/tonne CO2)</t>
  </si>
  <si>
    <t>Gas MMBTU/tonne co2</t>
  </si>
  <si>
    <t>Unit non-energy cost 20-year life low-high ($/tonne)</t>
  </si>
  <si>
    <t>8-13</t>
  </si>
  <si>
    <t>15-26</t>
  </si>
  <si>
    <t>22-37</t>
  </si>
  <si>
    <t>28-47</t>
  </si>
  <si>
    <t>22-38</t>
  </si>
  <si>
    <t>33-55</t>
  </si>
  <si>
    <t>22-37/35-59/57-95</t>
  </si>
  <si>
    <t>29-49/47-79/75-126</t>
  </si>
  <si>
    <t>Unit Energy Operating Cost ($/tonne)</t>
  </si>
  <si>
    <t>30/26/23</t>
  </si>
  <si>
    <t>31/26/23</t>
  </si>
  <si>
    <t>Unit Total Cost 20-year life low-high ($/tonne)</t>
  </si>
  <si>
    <t>23-35</t>
  </si>
  <si>
    <t>24-34</t>
  </si>
  <si>
    <t>21-30</t>
  </si>
  <si>
    <t>61-88</t>
  </si>
  <si>
    <t>64-95</t>
  </si>
  <si>
    <t>97-150</t>
  </si>
  <si>
    <t>75-113</t>
  </si>
  <si>
    <t>83-124/113-178/166-268</t>
  </si>
  <si>
    <t>110-171</t>
  </si>
  <si>
    <t>93-140/122-192/179-290</t>
  </si>
  <si>
    <t>Estimated Capture Costs</t>
  </si>
  <si>
    <t>Estimated CO2 Pipeline Costs</t>
  </si>
  <si>
    <t>Region</t>
  </si>
  <si>
    <t>Longitude</t>
  </si>
  <si>
    <t>Pipeline Cost ($ Thousands/inch-mile)</t>
  </si>
  <si>
    <t>min</t>
  </si>
  <si>
    <t>max</t>
  </si>
  <si>
    <t>Western</t>
  </si>
  <si>
    <t>Rockies</t>
  </si>
  <si>
    <t>Central</t>
  </si>
  <si>
    <t>Eastern</t>
  </si>
  <si>
    <t>Midwest Trunk Line</t>
  </si>
  <si>
    <t>South-Central Trunk Line</t>
  </si>
  <si>
    <t>Eastern Trunk Line</t>
  </si>
  <si>
    <t>California</t>
  </si>
  <si>
    <t>Midwest</t>
  </si>
  <si>
    <t>North Central</t>
  </si>
  <si>
    <t>Gulf Coast</t>
  </si>
  <si>
    <t>South Central</t>
  </si>
  <si>
    <t>Overall Average/Total</t>
  </si>
  <si>
    <t>Average Cost ($/tonne)</t>
  </si>
  <si>
    <t>Storage Volume (gigatonnes)</t>
  </si>
  <si>
    <t>Volume-Weighted Storage Cost</t>
  </si>
  <si>
    <t>CO2 in Exhaust (%)</t>
  </si>
  <si>
    <t>Electricity</t>
  </si>
  <si>
    <t>Gas</t>
  </si>
  <si>
    <t>MMBTU/tonne</t>
  </si>
  <si>
    <t>MWh/tonne</t>
  </si>
  <si>
    <t>MJ/kg CO2</t>
  </si>
  <si>
    <t>Coal Power Plant</t>
  </si>
  <si>
    <t>Natural Gas Power Plant</t>
  </si>
  <si>
    <t>No CCS</t>
  </si>
  <si>
    <t>NG Power Production</t>
  </si>
  <si>
    <t>Boiler</t>
  </si>
  <si>
    <t>kg CO2</t>
  </si>
  <si>
    <t>Upstream</t>
  </si>
  <si>
    <t xml:space="preserve"> </t>
  </si>
  <si>
    <t>natural gas</t>
  </si>
  <si>
    <t>electricity</t>
  </si>
  <si>
    <t>MJ</t>
  </si>
  <si>
    <t>%</t>
  </si>
  <si>
    <t>US Boiler value</t>
  </si>
  <si>
    <t>Ethanol Plant</t>
  </si>
  <si>
    <t>Hydrogen Plant</t>
  </si>
  <si>
    <t>Fuel</t>
  </si>
  <si>
    <t>Gate to Enduse</t>
  </si>
  <si>
    <t>Enduse</t>
  </si>
  <si>
    <t>Midstream</t>
  </si>
  <si>
    <t>Process</t>
  </si>
  <si>
    <t>Case 1: No capture from regeneration nor compression</t>
  </si>
  <si>
    <t xml:space="preserve">CO2 from power plant: </t>
  </si>
  <si>
    <t>electricity carbon intensity :</t>
  </si>
  <si>
    <t>produce __ kwh of electricity</t>
  </si>
  <si>
    <t>kg CO2 / kwh electricity</t>
  </si>
  <si>
    <t>nat gas needed for capture</t>
  </si>
  <si>
    <t>elec needed for capture</t>
  </si>
  <si>
    <t>CO2 from nat gas</t>
  </si>
  <si>
    <t>CO2 from elec</t>
  </si>
  <si>
    <t>nat gas carbon intensity</t>
  </si>
  <si>
    <t>kg CO2/MJ</t>
  </si>
  <si>
    <t>produced CO2</t>
  </si>
  <si>
    <t>emitted CO2</t>
  </si>
  <si>
    <t>captured CO2</t>
  </si>
  <si>
    <t>effective CO2 Capture</t>
  </si>
  <si>
    <t xml:space="preserve">kg </t>
  </si>
  <si>
    <t>avoided CO2</t>
  </si>
  <si>
    <t>% cap power plant</t>
  </si>
  <si>
    <t>% cap elec</t>
  </si>
  <si>
    <t>% cap nat gas</t>
  </si>
  <si>
    <t>Case 2: Capture from regeneration only</t>
  </si>
  <si>
    <t xml:space="preserve">b </t>
  </si>
  <si>
    <t>intermediate</t>
  </si>
  <si>
    <t>a</t>
  </si>
  <si>
    <t>Case 3: Capture from compression only</t>
  </si>
  <si>
    <t>b</t>
  </si>
  <si>
    <t>c</t>
  </si>
  <si>
    <t>d</t>
  </si>
  <si>
    <t>Case 4: Capture from regeneration and compression</t>
  </si>
  <si>
    <t>e</t>
  </si>
  <si>
    <t>f</t>
  </si>
  <si>
    <t>nat gas</t>
  </si>
  <si>
    <t>elec</t>
  </si>
  <si>
    <t>SESAME</t>
  </si>
  <si>
    <t>Case 4</t>
  </si>
  <si>
    <t>Case 3</t>
  </si>
  <si>
    <t>Case 2</t>
  </si>
  <si>
    <t>Case 1</t>
  </si>
  <si>
    <t>Case 1 emissions breakdown</t>
  </si>
  <si>
    <t>Total kg CO2 captured</t>
  </si>
  <si>
    <t>X stream</t>
  </si>
  <si>
    <t>CO2 for regen</t>
  </si>
  <si>
    <t>Effective CO2 Capture % compared to no CCS Scenario</t>
  </si>
  <si>
    <t>kg CO2 avoided</t>
  </si>
  <si>
    <t>Base</t>
  </si>
  <si>
    <t>Base Power Plant No CCS</t>
  </si>
  <si>
    <t>Start</t>
  </si>
  <si>
    <t>End</t>
  </si>
  <si>
    <t>Down</t>
  </si>
  <si>
    <t>Up</t>
  </si>
  <si>
    <t>Net CO2 Emissions</t>
  </si>
  <si>
    <t>Case 4 emissions breakdown</t>
  </si>
  <si>
    <t>US Combined Cycle value</t>
  </si>
  <si>
    <t>CO2 Emissions captured from stream Y</t>
  </si>
  <si>
    <t>CO2 Emissions stream Y</t>
  </si>
  <si>
    <t>CO2 Emissions stream Z</t>
  </si>
  <si>
    <t>CO2 Emissions captured from stream Z</t>
  </si>
  <si>
    <t>CO2 Emissions captured from stream X</t>
  </si>
  <si>
    <t xml:space="preserve">Inputs </t>
  </si>
  <si>
    <t>1000 kWh</t>
  </si>
  <si>
    <t>1% loss</t>
  </si>
  <si>
    <t>GREET</t>
  </si>
  <si>
    <t>US</t>
  </si>
  <si>
    <t>Combined Cycle</t>
  </si>
  <si>
    <t>Do not include infrastructure Emissions</t>
  </si>
  <si>
    <t>100 miles</t>
  </si>
  <si>
    <t>1% loss factor</t>
  </si>
  <si>
    <t>Conventional</t>
  </si>
  <si>
    <t>do not include well infrastructure emissions</t>
  </si>
  <si>
    <t>EPA 2019</t>
  </si>
  <si>
    <t>85% capture</t>
  </si>
  <si>
    <t>100 miles transportation of co2</t>
  </si>
  <si>
    <t>kg CO2-eq/kWh</t>
  </si>
  <si>
    <t>Total kg CO2 captured/kWh</t>
  </si>
  <si>
    <t>Effective CO2 capture</t>
  </si>
  <si>
    <t>kg CO2 avoided/kWh</t>
  </si>
  <si>
    <t>100 miles transportation</t>
  </si>
  <si>
    <t>Assuming the user defined electricity carbon intensity is 0.37 (US average Natural Gas Power Plant Emissions)</t>
  </si>
  <si>
    <t>Solar User defined electricity Intensity (US SW (Phoenix), Single crystal Si, utility, 1-axis tracking, 20% shading loss, lifetime 10 yrs, efficiency = 20, 1% degradation rate/yr, inverse loading ratio = 2, ghg emissions of electricity used to make the panels = 370 g/kWh, other electricity CI: 370, 100 km)</t>
  </si>
  <si>
    <t>Coal Power Production</t>
  </si>
  <si>
    <t>Mix</t>
  </si>
  <si>
    <t>do not include infrastructure emissions</t>
  </si>
  <si>
    <t>default mix</t>
  </si>
  <si>
    <t xml:space="preserve">1% loss </t>
  </si>
  <si>
    <t>10% underground mining share</t>
  </si>
  <si>
    <t>CO2 for compression</t>
  </si>
  <si>
    <t>Checking equations</t>
  </si>
  <si>
    <t>Checking SESAME</t>
  </si>
  <si>
    <t>Inputs for above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</si>
</sst>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0.00000"/>
    <numFmt numFmtId="166" formatCode="0.0000000"/>
    <numFmt numFmtId="167" formatCode="0.000"/>
    <numFmt numFmtId="177" formatCode="0.0000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7A1E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6" applyNumberFormat="0" applyFill="0" applyAlignment="0" applyProtection="0"/>
    <xf numFmtId="0" fontId="4" fillId="0" borderId="17" applyNumberFormat="0" applyFill="0" applyAlignment="0" applyProtection="0"/>
    <xf numFmtId="0" fontId="5" fillId="0" borderId="18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19" applyNumberFormat="0" applyAlignment="0" applyProtection="0"/>
    <xf numFmtId="0" fontId="10" fillId="6" borderId="20" applyNumberFormat="0" applyAlignment="0" applyProtection="0"/>
    <xf numFmtId="0" fontId="11" fillId="6" borderId="19" applyNumberFormat="0" applyAlignment="0" applyProtection="0"/>
    <xf numFmtId="0" fontId="12" fillId="0" borderId="21" applyNumberFormat="0" applyFill="0" applyAlignment="0" applyProtection="0"/>
    <xf numFmtId="0" fontId="13" fillId="7" borderId="22" applyNumberFormat="0" applyAlignment="0" applyProtection="0"/>
    <xf numFmtId="0" fontId="14" fillId="0" borderId="0" applyNumberFormat="0" applyFill="0" applyBorder="0" applyAlignment="0" applyProtection="0"/>
    <xf numFmtId="0" fontId="1" fillId="8" borderId="23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0" xfId="0" applyBorder="1"/>
    <xf numFmtId="3" fontId="0" fillId="0" borderId="0" xfId="0" applyNumberFormat="1" applyBorder="1"/>
    <xf numFmtId="2" fontId="0" fillId="0" borderId="0" xfId="0" quotePrefix="1" applyNumberFormat="1" applyBorder="1"/>
    <xf numFmtId="0" fontId="0" fillId="0" borderId="0" xfId="0" quotePrefix="1" applyBorder="1"/>
    <xf numFmtId="0" fontId="0" fillId="0" borderId="6" xfId="0" applyBorder="1"/>
    <xf numFmtId="2" fontId="0" fillId="0" borderId="0" xfId="0" applyNumberFormat="1" applyBorder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0" fontId="0" fillId="0" borderId="9" xfId="0" applyBorder="1"/>
    <xf numFmtId="0" fontId="0" fillId="0" borderId="14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5" xfId="0" applyBorder="1"/>
    <xf numFmtId="0" fontId="0" fillId="0" borderId="12" xfId="0" applyBorder="1"/>
    <xf numFmtId="0" fontId="0" fillId="0" borderId="13" xfId="0" applyBorder="1"/>
    <xf numFmtId="0" fontId="0" fillId="0" borderId="26" xfId="0" applyBorder="1"/>
    <xf numFmtId="0" fontId="0" fillId="0" borderId="27" xfId="0" applyBorder="1"/>
    <xf numFmtId="0" fontId="0" fillId="0" borderId="0" xfId="0" applyFill="1" applyBorder="1"/>
    <xf numFmtId="0" fontId="0" fillId="0" borderId="12" xfId="0" applyFill="1" applyBorder="1"/>
    <xf numFmtId="0" fontId="0" fillId="33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/>
    <xf numFmtId="0" fontId="0" fillId="0" borderId="0" xfId="0" applyBorder="1"/>
    <xf numFmtId="0" fontId="0" fillId="0" borderId="8" xfId="0" applyFill="1" applyBorder="1"/>
    <xf numFmtId="0" fontId="0" fillId="34" borderId="25" xfId="0" applyFill="1" applyBorder="1"/>
    <xf numFmtId="0" fontId="0" fillId="34" borderId="12" xfId="0" applyFill="1" applyBorder="1"/>
    <xf numFmtId="0" fontId="0" fillId="0" borderId="28" xfId="0" applyBorder="1"/>
    <xf numFmtId="165" fontId="0" fillId="0" borderId="0" xfId="0" applyNumberFormat="1"/>
    <xf numFmtId="0" fontId="0" fillId="34" borderId="3" xfId="0" applyFill="1" applyBorder="1" applyAlignment="1">
      <alignment wrapText="1"/>
    </xf>
    <xf numFmtId="0" fontId="0" fillId="34" borderId="0" xfId="0" applyFill="1" applyBorder="1"/>
    <xf numFmtId="0" fontId="0" fillId="34" borderId="8" xfId="0" applyFill="1" applyBorder="1"/>
    <xf numFmtId="0" fontId="0" fillId="35" borderId="25" xfId="0" applyFill="1" applyBorder="1"/>
    <xf numFmtId="0" fontId="0" fillId="35" borderId="12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7" borderId="25" xfId="0" applyFill="1" applyBorder="1"/>
    <xf numFmtId="0" fontId="0" fillId="37" borderId="12" xfId="0" applyFill="1" applyBorder="1"/>
    <xf numFmtId="165" fontId="0" fillId="0" borderId="0" xfId="0" applyNumberFormat="1" applyBorder="1"/>
    <xf numFmtId="166" fontId="0" fillId="0" borderId="0" xfId="0" applyNumberFormat="1" applyBorder="1"/>
    <xf numFmtId="166" fontId="0" fillId="0" borderId="8" xfId="0" applyNumberFormat="1" applyBorder="1"/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25" xfId="0" applyFill="1" applyBorder="1"/>
    <xf numFmtId="0" fontId="0" fillId="0" borderId="13" xfId="0" applyFill="1" applyBorder="1"/>
    <xf numFmtId="0" fontId="0" fillId="0" borderId="30" xfId="0" applyFill="1" applyBorder="1"/>
    <xf numFmtId="0" fontId="0" fillId="0" borderId="29" xfId="0" applyBorder="1"/>
    <xf numFmtId="167" fontId="0" fillId="0" borderId="27" xfId="0" applyNumberFormat="1" applyBorder="1"/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32" xfId="0" applyBorder="1"/>
    <xf numFmtId="177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38" borderId="0" xfId="0" applyFill="1" applyBorder="1"/>
    <xf numFmtId="0" fontId="0" fillId="34" borderId="13" xfId="0" applyFill="1" applyBorder="1"/>
    <xf numFmtId="0" fontId="0" fillId="34" borderId="12" xfId="0" applyFill="1" applyBorder="1" applyAlignment="1">
      <alignment wrapText="1"/>
    </xf>
    <xf numFmtId="0" fontId="20" fillId="34" borderId="25" xfId="0" applyFont="1" applyFill="1" applyBorder="1"/>
    <xf numFmtId="0" fontId="0" fillId="34" borderId="15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7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Combined Cycle US Average Emissions from Natural Gas Power Plant with 85% Capture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'Nat_gas CC Results'!$B$5</c:f>
              <c:strCache>
                <c:ptCount val="1"/>
                <c:pt idx="0">
                  <c:v>Enduse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'Nat_gas CC Results'!$C$4:$G$4</c:f>
              <c:strCache>
                <c:ptCount val="5"/>
                <c:pt idx="0">
                  <c:v>No CCS</c:v>
                </c:pt>
                <c:pt idx="1">
                  <c:v>Case 4</c:v>
                </c:pt>
                <c:pt idx="2">
                  <c:v>Case 3</c:v>
                </c:pt>
                <c:pt idx="3">
                  <c:v>Case 2</c:v>
                </c:pt>
                <c:pt idx="4">
                  <c:v>Case 1</c:v>
                </c:pt>
              </c:strCache>
            </c:strRef>
          </c:cat>
          <c:val>
            <c:numRef>
              <c:f>'Nat_gas CC Results'!$C$5:$G$5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'Nat_gas CC Results'!$B$6</c:f>
              <c:strCache>
                <c:ptCount val="1"/>
                <c:pt idx="0">
                  <c:v>Gate to Enduse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'Nat_gas CC Results'!$C$4:$G$4</c:f>
              <c:strCache>
                <c:ptCount val="5"/>
                <c:pt idx="0">
                  <c:v>No CCS</c:v>
                </c:pt>
                <c:pt idx="1">
                  <c:v>Case 4</c:v>
                </c:pt>
                <c:pt idx="2">
                  <c:v>Case 3</c:v>
                </c:pt>
                <c:pt idx="3">
                  <c:v>Case 2</c:v>
                </c:pt>
                <c:pt idx="4">
                  <c:v>Case 1</c:v>
                </c:pt>
              </c:strCache>
            </c:strRef>
          </c:cat>
          <c:val>
            <c:numRef>
              <c:f>'Nat_gas CC Results'!$C$6:$G$6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'Nat_gas CC Results'!$B$7</c:f>
              <c:strCache>
                <c:ptCount val="1"/>
                <c:pt idx="0">
                  <c:v>Midstream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'Nat_gas CC Results'!$C$4:$G$4</c:f>
              <c:strCache>
                <c:ptCount val="5"/>
                <c:pt idx="0">
                  <c:v>No CCS</c:v>
                </c:pt>
                <c:pt idx="1">
                  <c:v>Case 4</c:v>
                </c:pt>
                <c:pt idx="2">
                  <c:v>Case 3</c:v>
                </c:pt>
                <c:pt idx="3">
                  <c:v>Case 2</c:v>
                </c:pt>
                <c:pt idx="4">
                  <c:v>Case 1</c:v>
                </c:pt>
              </c:strCache>
            </c:strRef>
          </c:cat>
          <c:val>
            <c:numRef>
              <c:f>'Nat_gas CC Results'!$C$7:$G$7</c:f>
              <c:numCache>
                <c:formatCode>General</c:formatCode>
                <c:ptCount val="5"/>
                <c:pt idx="0">
                  <c:v>1.6000000000000001E-3</c:v>
                </c:pt>
                <c:pt idx="1">
                  <c:v>2.3E-3</c:v>
                </c:pt>
                <c:pt idx="2">
                  <c:v>2.2000000000000001E-3</c:v>
                </c:pt>
                <c:pt idx="3">
                  <c:v>1.9E-3</c:v>
                </c:pt>
                <c:pt idx="4">
                  <c:v>1.8E-3</c:v>
                </c:pt>
              </c:numCache>
            </c:numRef>
          </c:val>
        </c:ser>
        <c:ser>
          <c:idx val="4"/>
          <c:order val="3"/>
          <c:tx>
            <c:strRef>
              <c:f>'Nat_gas CC Results'!$B$9</c:f>
              <c:strCache>
                <c:ptCount val="1"/>
                <c:pt idx="0">
                  <c:v>Upstream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'Nat_gas CC Results'!$C$4:$G$4</c:f>
              <c:strCache>
                <c:ptCount val="5"/>
                <c:pt idx="0">
                  <c:v>No CCS</c:v>
                </c:pt>
                <c:pt idx="1">
                  <c:v>Case 4</c:v>
                </c:pt>
                <c:pt idx="2">
                  <c:v>Case 3</c:v>
                </c:pt>
                <c:pt idx="3">
                  <c:v>Case 2</c:v>
                </c:pt>
                <c:pt idx="4">
                  <c:v>Case 1</c:v>
                </c:pt>
              </c:strCache>
            </c:strRef>
          </c:cat>
          <c:val>
            <c:numRef>
              <c:f>'Nat_gas CC Results'!$C$9:$G$9</c:f>
              <c:numCache>
                <c:formatCode>General</c:formatCode>
                <c:ptCount val="5"/>
                <c:pt idx="0">
                  <c:v>5.5199999999999999E-2</c:v>
                </c:pt>
                <c:pt idx="1">
                  <c:v>7.7199999999999991E-2</c:v>
                </c:pt>
                <c:pt idx="2">
                  <c:v>7.2700000000000001E-2</c:v>
                </c:pt>
                <c:pt idx="3">
                  <c:v>6.25E-2</c:v>
                </c:pt>
                <c:pt idx="4">
                  <c:v>6.1900000000000004E-2</c:v>
                </c:pt>
              </c:numCache>
            </c:numRef>
          </c:val>
        </c:ser>
        <c:ser>
          <c:idx val="3"/>
          <c:order val="4"/>
          <c:tx>
            <c:strRef>
              <c:f>'Nat_gas CC Results'!$B$8</c:f>
              <c:strCache>
                <c:ptCount val="1"/>
                <c:pt idx="0">
                  <c:v>Process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'Nat_gas CC Results'!$C$4:$G$4</c:f>
              <c:strCache>
                <c:ptCount val="5"/>
                <c:pt idx="0">
                  <c:v>No CCS</c:v>
                </c:pt>
                <c:pt idx="1">
                  <c:v>Case 4</c:v>
                </c:pt>
                <c:pt idx="2">
                  <c:v>Case 3</c:v>
                </c:pt>
                <c:pt idx="3">
                  <c:v>Case 2</c:v>
                </c:pt>
                <c:pt idx="4">
                  <c:v>Case 1</c:v>
                </c:pt>
              </c:strCache>
            </c:strRef>
          </c:cat>
          <c:val>
            <c:numRef>
              <c:f>'Nat_gas CC Results'!$C$8:$G$8</c:f>
              <c:numCache>
                <c:formatCode>General</c:formatCode>
                <c:ptCount val="5"/>
                <c:pt idx="0">
                  <c:v>0.37369999999999998</c:v>
                </c:pt>
                <c:pt idx="1">
                  <c:v>7.2989999999999999E-2</c:v>
                </c:pt>
                <c:pt idx="2">
                  <c:v>0.117733</c:v>
                </c:pt>
                <c:pt idx="3">
                  <c:v>9.0611999999999998E-2</c:v>
                </c:pt>
                <c:pt idx="4">
                  <c:v>0.13061400000000001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8836304"/>
        <c:axId val="878837088"/>
      </c:barChart>
      <c:catAx>
        <c:axId val="87883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37088"/>
        <c:crosses val="autoZero"/>
        <c:auto val="1"/>
        <c:lblAlgn val="ctr"/>
        <c:lblOffset val="100"/>
        <c:noMultiLvlLbl val="0"/>
      </c:catAx>
      <c:valAx>
        <c:axId val="8788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CO2/kWh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3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Combined Cycle US Average Emissions from Natural Gas Power Plant with 85% Capture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'Nat_gas CC Results'!$B$45</c:f>
              <c:strCache>
                <c:ptCount val="1"/>
                <c:pt idx="0">
                  <c:v>Enduse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'Nat_gas CC Results'!$C$44:$G$44</c:f>
              <c:strCache>
                <c:ptCount val="5"/>
                <c:pt idx="0">
                  <c:v>No CCS</c:v>
                </c:pt>
                <c:pt idx="1">
                  <c:v>Case 4</c:v>
                </c:pt>
                <c:pt idx="2">
                  <c:v>Case 3</c:v>
                </c:pt>
                <c:pt idx="3">
                  <c:v>Case 2</c:v>
                </c:pt>
                <c:pt idx="4">
                  <c:v>Case 1</c:v>
                </c:pt>
              </c:strCache>
            </c:strRef>
          </c:cat>
          <c:val>
            <c:numRef>
              <c:f>'Nat_gas CC Results'!$C$45:$G$45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'Nat_gas CC Results'!$B$46</c:f>
              <c:strCache>
                <c:ptCount val="1"/>
                <c:pt idx="0">
                  <c:v>Gate to Enduse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'Nat_gas CC Results'!$C$44:$G$44</c:f>
              <c:strCache>
                <c:ptCount val="5"/>
                <c:pt idx="0">
                  <c:v>No CCS</c:v>
                </c:pt>
                <c:pt idx="1">
                  <c:v>Case 4</c:v>
                </c:pt>
                <c:pt idx="2">
                  <c:v>Case 3</c:v>
                </c:pt>
                <c:pt idx="3">
                  <c:v>Case 2</c:v>
                </c:pt>
                <c:pt idx="4">
                  <c:v>Case 1</c:v>
                </c:pt>
              </c:strCache>
            </c:strRef>
          </c:cat>
          <c:val>
            <c:numRef>
              <c:f>'Nat_gas CC Results'!$C$46:$G$46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'Nat_gas CC Results'!$B$47</c:f>
              <c:strCache>
                <c:ptCount val="1"/>
                <c:pt idx="0">
                  <c:v>Midstream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'Nat_gas CC Results'!$C$44:$G$44</c:f>
              <c:strCache>
                <c:ptCount val="5"/>
                <c:pt idx="0">
                  <c:v>No CCS</c:v>
                </c:pt>
                <c:pt idx="1">
                  <c:v>Case 4</c:v>
                </c:pt>
                <c:pt idx="2">
                  <c:v>Case 3</c:v>
                </c:pt>
                <c:pt idx="3">
                  <c:v>Case 2</c:v>
                </c:pt>
                <c:pt idx="4">
                  <c:v>Case 1</c:v>
                </c:pt>
              </c:strCache>
            </c:strRef>
          </c:cat>
          <c:val>
            <c:numRef>
              <c:f>'Nat_gas CC Results'!$C$47:$G$47</c:f>
              <c:numCache>
                <c:formatCode>General</c:formatCode>
                <c:ptCount val="5"/>
                <c:pt idx="0">
                  <c:v>1.6000000000000001E-3</c:v>
                </c:pt>
                <c:pt idx="1">
                  <c:v>2.3E-3</c:v>
                </c:pt>
                <c:pt idx="2">
                  <c:v>2.2000000000000001E-3</c:v>
                </c:pt>
                <c:pt idx="3">
                  <c:v>1.9E-3</c:v>
                </c:pt>
                <c:pt idx="4">
                  <c:v>1.8E-3</c:v>
                </c:pt>
              </c:numCache>
            </c:numRef>
          </c:val>
        </c:ser>
        <c:ser>
          <c:idx val="4"/>
          <c:order val="3"/>
          <c:tx>
            <c:strRef>
              <c:f>'Nat_gas CC Results'!$B$49</c:f>
              <c:strCache>
                <c:ptCount val="1"/>
                <c:pt idx="0">
                  <c:v>Upstream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'Nat_gas CC Results'!$C$44:$G$44</c:f>
              <c:strCache>
                <c:ptCount val="5"/>
                <c:pt idx="0">
                  <c:v>No CCS</c:v>
                </c:pt>
                <c:pt idx="1">
                  <c:v>Case 4</c:v>
                </c:pt>
                <c:pt idx="2">
                  <c:v>Case 3</c:v>
                </c:pt>
                <c:pt idx="3">
                  <c:v>Case 2</c:v>
                </c:pt>
                <c:pt idx="4">
                  <c:v>Case 1</c:v>
                </c:pt>
              </c:strCache>
            </c:strRef>
          </c:cat>
          <c:val>
            <c:numRef>
              <c:f>'Nat_gas CC Results'!$C$49:$G$49</c:f>
              <c:numCache>
                <c:formatCode>General</c:formatCode>
                <c:ptCount val="5"/>
                <c:pt idx="0">
                  <c:v>5.5199999999999999E-2</c:v>
                </c:pt>
                <c:pt idx="1">
                  <c:v>7.7199999999999991E-2</c:v>
                </c:pt>
                <c:pt idx="2">
                  <c:v>7.2700000000000001E-2</c:v>
                </c:pt>
                <c:pt idx="3">
                  <c:v>6.25E-2</c:v>
                </c:pt>
                <c:pt idx="4">
                  <c:v>6.1900000000000004E-2</c:v>
                </c:pt>
              </c:numCache>
            </c:numRef>
          </c:val>
        </c:ser>
        <c:ser>
          <c:idx val="3"/>
          <c:order val="4"/>
          <c:tx>
            <c:strRef>
              <c:f>'Nat_gas CC Results'!$B$48</c:f>
              <c:strCache>
                <c:ptCount val="1"/>
                <c:pt idx="0">
                  <c:v>Process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'Nat_gas CC Results'!$C$44:$G$44</c:f>
              <c:strCache>
                <c:ptCount val="5"/>
                <c:pt idx="0">
                  <c:v>No CCS</c:v>
                </c:pt>
                <c:pt idx="1">
                  <c:v>Case 4</c:v>
                </c:pt>
                <c:pt idx="2">
                  <c:v>Case 3</c:v>
                </c:pt>
                <c:pt idx="3">
                  <c:v>Case 2</c:v>
                </c:pt>
                <c:pt idx="4">
                  <c:v>Case 1</c:v>
                </c:pt>
              </c:strCache>
            </c:strRef>
          </c:cat>
          <c:val>
            <c:numRef>
              <c:f>'Nat_gas CC Results'!$C$48:$G$48</c:f>
              <c:numCache>
                <c:formatCode>General</c:formatCode>
                <c:ptCount val="5"/>
                <c:pt idx="0">
                  <c:v>0.37369999999999998</c:v>
                </c:pt>
                <c:pt idx="1">
                  <c:v>7.2989999999999999E-2</c:v>
                </c:pt>
                <c:pt idx="2">
                  <c:v>0.117733</c:v>
                </c:pt>
                <c:pt idx="3">
                  <c:v>6.8715999999999999E-2</c:v>
                </c:pt>
                <c:pt idx="4">
                  <c:v>0.11181199999999999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475672"/>
        <c:axId val="543476848"/>
      </c:barChart>
      <c:catAx>
        <c:axId val="54347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6848"/>
        <c:crosses val="autoZero"/>
        <c:auto val="1"/>
        <c:lblAlgn val="ctr"/>
        <c:lblOffset val="100"/>
        <c:noMultiLvlLbl val="0"/>
      </c:catAx>
      <c:valAx>
        <c:axId val="5434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CO2/kWh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</a:t>
            </a:r>
            <a:r>
              <a:rPr lang="en-US" baseline="0"/>
              <a:t> 1: 1 MWh Natural Gas Power Plant with 85% Capture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'Nat_gas CC Results'!$U$14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'Nat_gas CC Results'!$S$15:$S$19</c:f>
              <c:strCache>
                <c:ptCount val="5"/>
                <c:pt idx="0">
                  <c:v>Base Power Plant No CCS</c:v>
                </c:pt>
                <c:pt idx="1">
                  <c:v>CO2 Emissions captured from stream X</c:v>
                </c:pt>
                <c:pt idx="2">
                  <c:v>CO2 Emissions stream Y</c:v>
                </c:pt>
                <c:pt idx="3">
                  <c:v>CO2 Emissions stream Z</c:v>
                </c:pt>
                <c:pt idx="4">
                  <c:v>Net CO2 Emissions</c:v>
                </c:pt>
              </c:strCache>
            </c:strRef>
          </c:cat>
          <c:val>
            <c:numRef>
              <c:f>'Nat_gas CC Results'!$U$15:$U$19</c:f>
              <c:numCache>
                <c:formatCode>General</c:formatCode>
                <c:ptCount val="5"/>
                <c:pt idx="0">
                  <c:v>0.37369999999999998</c:v>
                </c:pt>
              </c:numCache>
            </c:numRef>
          </c:val>
        </c:ser>
        <c:ser>
          <c:idx val="1"/>
          <c:order val="1"/>
          <c:tx>
            <c:strRef>
              <c:f>'Nat_gas CC Results'!$V$14</c:f>
              <c:strCache>
                <c:ptCount val="1"/>
                <c:pt idx="0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'Nat_gas CC Results'!$S$15:$S$19</c:f>
              <c:strCache>
                <c:ptCount val="5"/>
                <c:pt idx="0">
                  <c:v>Base Power Plant No CCS</c:v>
                </c:pt>
                <c:pt idx="1">
                  <c:v>CO2 Emissions captured from stream X</c:v>
                </c:pt>
                <c:pt idx="2">
                  <c:v>CO2 Emissions stream Y</c:v>
                </c:pt>
                <c:pt idx="3">
                  <c:v>CO2 Emissions stream Z</c:v>
                </c:pt>
                <c:pt idx="4">
                  <c:v>Net CO2 Emissions</c:v>
                </c:pt>
              </c:strCache>
            </c:strRef>
          </c:cat>
          <c:val>
            <c:numRef>
              <c:f>'Nat_gas CC Results'!$V$15:$V$19</c:f>
              <c:numCache>
                <c:formatCode>General</c:formatCode>
                <c:ptCount val="5"/>
                <c:pt idx="4">
                  <c:v>0.12766514312078026</c:v>
                </c:pt>
              </c:numCache>
            </c:numRef>
          </c:val>
        </c:ser>
        <c:ser>
          <c:idx val="2"/>
          <c:order val="2"/>
          <c:tx>
            <c:strRef>
              <c:f>'Nat_gas CC Results'!$W$14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'Nat_gas CC Results'!$S$15:$S$19</c:f>
              <c:strCache>
                <c:ptCount val="5"/>
                <c:pt idx="0">
                  <c:v>Base Power Plant No CCS</c:v>
                </c:pt>
                <c:pt idx="1">
                  <c:v>CO2 Emissions captured from stream X</c:v>
                </c:pt>
                <c:pt idx="2">
                  <c:v>CO2 Emissions stream Y</c:v>
                </c:pt>
                <c:pt idx="3">
                  <c:v>CO2 Emissions stream Z</c:v>
                </c:pt>
                <c:pt idx="4">
                  <c:v>Net CO2 Emissions</c:v>
                </c:pt>
              </c:strCache>
            </c:strRef>
          </c:cat>
          <c:val>
            <c:numRef>
              <c:f>'Nat_gas CC Results'!$W$15:$W$19</c:f>
              <c:numCache>
                <c:formatCode>General</c:formatCode>
                <c:ptCount val="5"/>
                <c:pt idx="1">
                  <c:v>5.6055000000000965E-2</c:v>
                </c:pt>
                <c:pt idx="2">
                  <c:v>5.6055000000000965E-2</c:v>
                </c:pt>
                <c:pt idx="3">
                  <c:v>7.4859584000000964E-2</c:v>
                </c:pt>
                <c:pt idx="4">
                  <c:v>0.12766514312078026</c:v>
                </c:pt>
              </c:numCache>
            </c:numRef>
          </c:val>
        </c:ser>
        <c:ser>
          <c:idx val="3"/>
          <c:order val="3"/>
          <c:tx>
            <c:strRef>
              <c:f>'Nat_gas CC Results'!$X$14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'Nat_gas CC Results'!$S$15:$S$19</c:f>
              <c:strCache>
                <c:ptCount val="5"/>
                <c:pt idx="0">
                  <c:v>Base Power Plant No CCS</c:v>
                </c:pt>
                <c:pt idx="1">
                  <c:v>CO2 Emissions captured from stream X</c:v>
                </c:pt>
                <c:pt idx="2">
                  <c:v>CO2 Emissions stream Y</c:v>
                </c:pt>
                <c:pt idx="3">
                  <c:v>CO2 Emissions stream Z</c:v>
                </c:pt>
                <c:pt idx="4">
                  <c:v>Net CO2 Emissions</c:v>
                </c:pt>
              </c:strCache>
            </c:strRef>
          </c:cat>
          <c:val>
            <c:numRef>
              <c:f>'Nat_gas CC Results'!$X$15:$X$19</c:f>
              <c:numCache>
                <c:formatCode>General</c:formatCode>
                <c:ptCount val="5"/>
                <c:pt idx="1">
                  <c:v>0.31764499999999901</c:v>
                </c:pt>
              </c:numCache>
            </c:numRef>
          </c:val>
        </c:ser>
        <c:ser>
          <c:idx val="4"/>
          <c:order val="4"/>
          <c:tx>
            <c:strRef>
              <c:f>'Nat_gas CC Results'!$Y$14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'Nat_gas CC Results'!$S$15:$S$19</c:f>
              <c:strCache>
                <c:ptCount val="5"/>
                <c:pt idx="0">
                  <c:v>Base Power Plant No CCS</c:v>
                </c:pt>
                <c:pt idx="1">
                  <c:v>CO2 Emissions captured from stream X</c:v>
                </c:pt>
                <c:pt idx="2">
                  <c:v>CO2 Emissions stream Y</c:v>
                </c:pt>
                <c:pt idx="3">
                  <c:v>CO2 Emissions stream Z</c:v>
                </c:pt>
                <c:pt idx="4">
                  <c:v>Net CO2 Emissions</c:v>
                </c:pt>
              </c:strCache>
            </c:strRef>
          </c:cat>
          <c:val>
            <c:numRef>
              <c:f>'Nat_gas CC Results'!$Y$15:$Y$19</c:f>
              <c:numCache>
                <c:formatCode>General</c:formatCode>
                <c:ptCount val="5"/>
                <c:pt idx="2">
                  <c:v>1.8804583999999999E-2</c:v>
                </c:pt>
                <c:pt idx="3">
                  <c:v>5.2805559120779298E-2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802584"/>
        <c:axId val="506802976"/>
      </c:barChart>
      <c:catAx>
        <c:axId val="50680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02976"/>
        <c:crosses val="autoZero"/>
        <c:auto val="1"/>
        <c:lblAlgn val="ctr"/>
        <c:lblOffset val="100"/>
        <c:noMultiLvlLbl val="0"/>
      </c:catAx>
      <c:valAx>
        <c:axId val="5068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CO2-eq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0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</a:t>
            </a:r>
            <a:r>
              <a:rPr lang="en-US" baseline="0"/>
              <a:t> 4: 1 MWh Natural Gas Power Plant with 85% Capture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'Nat_gas CC Results'!$U$14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'Nat_gas CC Results'!$S$23:$S$29</c:f>
              <c:strCache>
                <c:ptCount val="7"/>
                <c:pt idx="0">
                  <c:v>Base Power Plant No CCS</c:v>
                </c:pt>
                <c:pt idx="1">
                  <c:v>CO2 Emissions captured from stream X</c:v>
                </c:pt>
                <c:pt idx="2">
                  <c:v>CO2 Emissions stream Y</c:v>
                </c:pt>
                <c:pt idx="3">
                  <c:v>CO2 Emissions stream Z</c:v>
                </c:pt>
                <c:pt idx="4">
                  <c:v>CO2 Emissions captured from stream Y</c:v>
                </c:pt>
                <c:pt idx="5">
                  <c:v>CO2 Emissions captured from stream Z</c:v>
                </c:pt>
                <c:pt idx="6">
                  <c:v>Net CO2 Emissions</c:v>
                </c:pt>
              </c:strCache>
            </c:strRef>
          </c:cat>
          <c:val>
            <c:numRef>
              <c:f>'Nat_gas CC Results'!$U$23:$U$29</c:f>
              <c:numCache>
                <c:formatCode>General</c:formatCode>
                <c:ptCount val="7"/>
                <c:pt idx="0">
                  <c:v>0.37369999999999998</c:v>
                </c:pt>
              </c:numCache>
            </c:numRef>
          </c:val>
        </c:ser>
        <c:ser>
          <c:idx val="1"/>
          <c:order val="1"/>
          <c:tx>
            <c:strRef>
              <c:f>'Nat_gas CC Results'!$V$14</c:f>
              <c:strCache>
                <c:ptCount val="1"/>
                <c:pt idx="0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'Nat_gas CC Results'!$S$23:$S$29</c:f>
              <c:strCache>
                <c:ptCount val="7"/>
                <c:pt idx="0">
                  <c:v>Base Power Plant No CCS</c:v>
                </c:pt>
                <c:pt idx="1">
                  <c:v>CO2 Emissions captured from stream X</c:v>
                </c:pt>
                <c:pt idx="2">
                  <c:v>CO2 Emissions stream Y</c:v>
                </c:pt>
                <c:pt idx="3">
                  <c:v>CO2 Emissions stream Z</c:v>
                </c:pt>
                <c:pt idx="4">
                  <c:v>CO2 Emissions captured from stream Y</c:v>
                </c:pt>
                <c:pt idx="5">
                  <c:v>CO2 Emissions captured from stream Z</c:v>
                </c:pt>
                <c:pt idx="6">
                  <c:v>Net CO2 Emissions</c:v>
                </c:pt>
              </c:strCache>
            </c:strRef>
          </c:cat>
          <c:val>
            <c:numRef>
              <c:f>'Nat_gas CC Results'!$V$23:$V$29</c:f>
              <c:numCache>
                <c:formatCode>General</c:formatCode>
                <c:ptCount val="7"/>
                <c:pt idx="6">
                  <c:v>6.9342789977802743E-2</c:v>
                </c:pt>
              </c:numCache>
            </c:numRef>
          </c:val>
        </c:ser>
        <c:ser>
          <c:idx val="2"/>
          <c:order val="2"/>
          <c:tx>
            <c:strRef>
              <c:f>'Nat_gas CC Results'!$W$14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'Nat_gas CC Results'!$S$23:$S$29</c:f>
              <c:strCache>
                <c:ptCount val="7"/>
                <c:pt idx="0">
                  <c:v>Base Power Plant No CCS</c:v>
                </c:pt>
                <c:pt idx="1">
                  <c:v>CO2 Emissions captured from stream X</c:v>
                </c:pt>
                <c:pt idx="2">
                  <c:v>CO2 Emissions stream Y</c:v>
                </c:pt>
                <c:pt idx="3">
                  <c:v>CO2 Emissions stream Z</c:v>
                </c:pt>
                <c:pt idx="4">
                  <c:v>CO2 Emissions captured from stream Y</c:v>
                </c:pt>
                <c:pt idx="5">
                  <c:v>CO2 Emissions captured from stream Z</c:v>
                </c:pt>
                <c:pt idx="6">
                  <c:v>Net CO2 Emissions</c:v>
                </c:pt>
              </c:strCache>
            </c:strRef>
          </c:cat>
          <c:val>
            <c:numRef>
              <c:f>'Nat_gas CC Results'!$W$23:$W$29</c:f>
              <c:numCache>
                <c:formatCode>General</c:formatCode>
                <c:ptCount val="7"/>
                <c:pt idx="1">
                  <c:v>5.6055000000000965E-2</c:v>
                </c:pt>
                <c:pt idx="2">
                  <c:v>5.6055000000000965E-2</c:v>
                </c:pt>
                <c:pt idx="3">
                  <c:v>7.9317194611220859E-2</c:v>
                </c:pt>
                <c:pt idx="4">
                  <c:v>0.12486740109914264</c:v>
                </c:pt>
                <c:pt idx="5">
                  <c:v>6.9342789977802743E-2</c:v>
                </c:pt>
                <c:pt idx="6">
                  <c:v>1.3818178856462845E-2</c:v>
                </c:pt>
              </c:numCache>
            </c:numRef>
          </c:val>
        </c:ser>
        <c:ser>
          <c:idx val="3"/>
          <c:order val="3"/>
          <c:tx>
            <c:strRef>
              <c:f>'Nat_gas CC Results'!$X$14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'Nat_gas CC Results'!$S$23:$S$29</c:f>
              <c:strCache>
                <c:ptCount val="7"/>
                <c:pt idx="0">
                  <c:v>Base Power Plant No CCS</c:v>
                </c:pt>
                <c:pt idx="1">
                  <c:v>CO2 Emissions captured from stream X</c:v>
                </c:pt>
                <c:pt idx="2">
                  <c:v>CO2 Emissions stream Y</c:v>
                </c:pt>
                <c:pt idx="3">
                  <c:v>CO2 Emissions stream Z</c:v>
                </c:pt>
                <c:pt idx="4">
                  <c:v>CO2 Emissions captured from stream Y</c:v>
                </c:pt>
                <c:pt idx="5">
                  <c:v>CO2 Emissions captured from stream Z</c:v>
                </c:pt>
                <c:pt idx="6">
                  <c:v>Net CO2 Emissions</c:v>
                </c:pt>
              </c:strCache>
            </c:strRef>
          </c:cat>
          <c:val>
            <c:numRef>
              <c:f>'Nat_gas CC Results'!$X$23:$X$29</c:f>
              <c:numCache>
                <c:formatCode>General</c:formatCode>
                <c:ptCount val="7"/>
                <c:pt idx="1">
                  <c:v>0.31764499999999901</c:v>
                </c:pt>
                <c:pt idx="4">
                  <c:v>1.9772865419536916E-2</c:v>
                </c:pt>
                <c:pt idx="5">
                  <c:v>5.5524611121339898E-2</c:v>
                </c:pt>
              </c:numCache>
            </c:numRef>
          </c:val>
        </c:ser>
        <c:ser>
          <c:idx val="4"/>
          <c:order val="4"/>
          <c:tx>
            <c:strRef>
              <c:f>'Nat_gas CC Results'!$Y$14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'Nat_gas CC Results'!$S$23:$S$29</c:f>
              <c:strCache>
                <c:ptCount val="7"/>
                <c:pt idx="0">
                  <c:v>Base Power Plant No CCS</c:v>
                </c:pt>
                <c:pt idx="1">
                  <c:v>CO2 Emissions captured from stream X</c:v>
                </c:pt>
                <c:pt idx="2">
                  <c:v>CO2 Emissions stream Y</c:v>
                </c:pt>
                <c:pt idx="3">
                  <c:v>CO2 Emissions stream Z</c:v>
                </c:pt>
                <c:pt idx="4">
                  <c:v>CO2 Emissions captured from stream Y</c:v>
                </c:pt>
                <c:pt idx="5">
                  <c:v>CO2 Emissions captured from stream Z</c:v>
                </c:pt>
                <c:pt idx="6">
                  <c:v>Net CO2 Emissions</c:v>
                </c:pt>
              </c:strCache>
            </c:strRef>
          </c:cat>
          <c:val>
            <c:numRef>
              <c:f>'Nat_gas CC Results'!$Y$23:$Y$29</c:f>
              <c:numCache>
                <c:formatCode>General</c:formatCode>
                <c:ptCount val="7"/>
                <c:pt idx="2">
                  <c:v>2.3262194611219901E-2</c:v>
                </c:pt>
                <c:pt idx="3">
                  <c:v>6.5323071907458702E-2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8502120"/>
        <c:axId val="818499768"/>
      </c:barChart>
      <c:catAx>
        <c:axId val="81850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99768"/>
        <c:crosses val="autoZero"/>
        <c:auto val="1"/>
        <c:lblAlgn val="ctr"/>
        <c:lblOffset val="100"/>
        <c:noMultiLvlLbl val="0"/>
      </c:catAx>
      <c:valAx>
        <c:axId val="81849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CO2-eq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0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Boiler US Average Emissions from Coal Power Plant with 85% Capture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'Coal Results'!$B$47</c:f>
              <c:strCache>
                <c:ptCount val="1"/>
                <c:pt idx="0">
                  <c:v>Enduse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'Coal Results'!$C$46:$G$46</c:f>
              <c:strCache>
                <c:ptCount val="5"/>
                <c:pt idx="0">
                  <c:v>No CCS</c:v>
                </c:pt>
                <c:pt idx="1">
                  <c:v>Case 4</c:v>
                </c:pt>
                <c:pt idx="2">
                  <c:v>Case 3</c:v>
                </c:pt>
                <c:pt idx="3">
                  <c:v>Case 2</c:v>
                </c:pt>
                <c:pt idx="4">
                  <c:v>Case 1</c:v>
                </c:pt>
              </c:strCache>
            </c:strRef>
          </c:cat>
          <c:val>
            <c:numRef>
              <c:f>'Coal Results'!$C$47:$G$47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'Coal Results'!$B$48</c:f>
              <c:strCache>
                <c:ptCount val="1"/>
                <c:pt idx="0">
                  <c:v>Gate to Enduse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'Coal Results'!$C$46:$G$46</c:f>
              <c:strCache>
                <c:ptCount val="5"/>
                <c:pt idx="0">
                  <c:v>No CCS</c:v>
                </c:pt>
                <c:pt idx="1">
                  <c:v>Case 4</c:v>
                </c:pt>
                <c:pt idx="2">
                  <c:v>Case 3</c:v>
                </c:pt>
                <c:pt idx="3">
                  <c:v>Case 2</c:v>
                </c:pt>
                <c:pt idx="4">
                  <c:v>Case 1</c:v>
                </c:pt>
              </c:strCache>
            </c:strRef>
          </c:cat>
          <c:val>
            <c:numRef>
              <c:f>'Coal Results'!$C$48:$G$48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'Coal Results'!$B$49</c:f>
              <c:strCache>
                <c:ptCount val="1"/>
                <c:pt idx="0">
                  <c:v>Midstream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'Coal Results'!$C$46:$G$46</c:f>
              <c:strCache>
                <c:ptCount val="5"/>
                <c:pt idx="0">
                  <c:v>No CCS</c:v>
                </c:pt>
                <c:pt idx="1">
                  <c:v>Case 4</c:v>
                </c:pt>
                <c:pt idx="2">
                  <c:v>Case 3</c:v>
                </c:pt>
                <c:pt idx="3">
                  <c:v>Case 2</c:v>
                </c:pt>
                <c:pt idx="4">
                  <c:v>Case 1</c:v>
                </c:pt>
              </c:strCache>
            </c:strRef>
          </c:cat>
          <c:val>
            <c:numRef>
              <c:f>'Coal Results'!$C$49:$G$49</c:f>
              <c:numCache>
                <c:formatCode>General</c:formatCode>
                <c:ptCount val="5"/>
                <c:pt idx="0">
                  <c:v>1.2999999999999999E-3</c:v>
                </c:pt>
                <c:pt idx="1">
                  <c:v>2.5999999999999999E-3</c:v>
                </c:pt>
                <c:pt idx="2">
                  <c:v>2.2000000000000001E-3</c:v>
                </c:pt>
                <c:pt idx="3">
                  <c:v>1.6000000000000001E-3</c:v>
                </c:pt>
                <c:pt idx="4">
                  <c:v>1.5E-3</c:v>
                </c:pt>
              </c:numCache>
            </c:numRef>
          </c:val>
        </c:ser>
        <c:ser>
          <c:idx val="4"/>
          <c:order val="3"/>
          <c:tx>
            <c:strRef>
              <c:f>'Coal Results'!$B$51</c:f>
              <c:strCache>
                <c:ptCount val="1"/>
                <c:pt idx="0">
                  <c:v>Upstream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'Coal Results'!$C$46:$G$46</c:f>
              <c:strCache>
                <c:ptCount val="5"/>
                <c:pt idx="0">
                  <c:v>No CCS</c:v>
                </c:pt>
                <c:pt idx="1">
                  <c:v>Case 4</c:v>
                </c:pt>
                <c:pt idx="2">
                  <c:v>Case 3</c:v>
                </c:pt>
                <c:pt idx="3">
                  <c:v>Case 2</c:v>
                </c:pt>
                <c:pt idx="4">
                  <c:v>Case 1</c:v>
                </c:pt>
              </c:strCache>
            </c:strRef>
          </c:cat>
          <c:val>
            <c:numRef>
              <c:f>'Coal Results'!$C$51:$G$51</c:f>
              <c:numCache>
                <c:formatCode>General</c:formatCode>
                <c:ptCount val="5"/>
                <c:pt idx="0">
                  <c:v>2.9399999999999999E-2</c:v>
                </c:pt>
                <c:pt idx="1">
                  <c:v>5.91E-2</c:v>
                </c:pt>
                <c:pt idx="2">
                  <c:v>5.16E-2</c:v>
                </c:pt>
                <c:pt idx="3">
                  <c:v>3.6900000000000002E-2</c:v>
                </c:pt>
                <c:pt idx="4">
                  <c:v>3.6500000000000005E-2</c:v>
                </c:pt>
              </c:numCache>
            </c:numRef>
          </c:val>
        </c:ser>
        <c:ser>
          <c:idx val="3"/>
          <c:order val="4"/>
          <c:tx>
            <c:strRef>
              <c:f>'Coal Results'!$B$50</c:f>
              <c:strCache>
                <c:ptCount val="1"/>
                <c:pt idx="0">
                  <c:v>Process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'Coal Results'!$C$46:$G$46</c:f>
              <c:strCache>
                <c:ptCount val="5"/>
                <c:pt idx="0">
                  <c:v>No CCS</c:v>
                </c:pt>
                <c:pt idx="1">
                  <c:v>Case 4</c:v>
                </c:pt>
                <c:pt idx="2">
                  <c:v>Case 3</c:v>
                </c:pt>
                <c:pt idx="3">
                  <c:v>Case 2</c:v>
                </c:pt>
                <c:pt idx="4">
                  <c:v>Case 1</c:v>
                </c:pt>
              </c:strCache>
            </c:strRef>
          </c:cat>
          <c:val>
            <c:numRef>
              <c:f>'Coal Results'!$C$50:$G$50</c:f>
              <c:numCache>
                <c:formatCode>General</c:formatCode>
                <c:ptCount val="5"/>
                <c:pt idx="0">
                  <c:v>0.95760000000000001</c:v>
                </c:pt>
                <c:pt idx="1">
                  <c:v>0.23256299999999999</c:v>
                </c:pt>
                <c:pt idx="2">
                  <c:v>0.41646699999999998</c:v>
                </c:pt>
                <c:pt idx="3">
                  <c:v>0.19408400000000001</c:v>
                </c:pt>
                <c:pt idx="4">
                  <c:v>0.36277900000000002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547944"/>
        <c:axId val="808546768"/>
      </c:barChart>
      <c:catAx>
        <c:axId val="80854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546768"/>
        <c:crosses val="autoZero"/>
        <c:auto val="1"/>
        <c:lblAlgn val="ctr"/>
        <c:lblOffset val="100"/>
        <c:noMultiLvlLbl val="0"/>
      </c:catAx>
      <c:valAx>
        <c:axId val="8085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CO2/kWh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54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</a:t>
            </a:r>
            <a:r>
              <a:rPr lang="en-US" baseline="0"/>
              <a:t> 1: 1 MWh Natural Gas Power Plant with 85% Capture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'Coal Results'!$U$14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'Coal Results'!$S$15:$S$19</c:f>
              <c:strCache>
                <c:ptCount val="5"/>
                <c:pt idx="0">
                  <c:v>Base Power Plant No CCS</c:v>
                </c:pt>
                <c:pt idx="1">
                  <c:v>CO2 Emissions captured from stream X</c:v>
                </c:pt>
                <c:pt idx="2">
                  <c:v>CO2 Emissions stream Y</c:v>
                </c:pt>
                <c:pt idx="3">
                  <c:v>CO2 Emissions stream Z</c:v>
                </c:pt>
                <c:pt idx="4">
                  <c:v>Net CO2 Emissions</c:v>
                </c:pt>
              </c:strCache>
            </c:strRef>
          </c:cat>
          <c:val>
            <c:numRef>
              <c:f>'Coal Results'!$U$15:$U$19</c:f>
              <c:numCache>
                <c:formatCode>General</c:formatCode>
                <c:ptCount val="5"/>
                <c:pt idx="0">
                  <c:v>0.95760000000000001</c:v>
                </c:pt>
              </c:numCache>
            </c:numRef>
          </c:val>
        </c:ser>
        <c:ser>
          <c:idx val="1"/>
          <c:order val="1"/>
          <c:tx>
            <c:strRef>
              <c:f>'Coal Results'!$V$14</c:f>
              <c:strCache>
                <c:ptCount val="1"/>
                <c:pt idx="0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'Coal Results'!$S$15:$S$19</c:f>
              <c:strCache>
                <c:ptCount val="5"/>
                <c:pt idx="0">
                  <c:v>Base Power Plant No CCS</c:v>
                </c:pt>
                <c:pt idx="1">
                  <c:v>CO2 Emissions captured from stream X</c:v>
                </c:pt>
                <c:pt idx="2">
                  <c:v>CO2 Emissions stream Y</c:v>
                </c:pt>
                <c:pt idx="3">
                  <c:v>CO2 Emissions stream Z</c:v>
                </c:pt>
                <c:pt idx="4">
                  <c:v>Net CO2 Emissions</c:v>
                </c:pt>
              </c:strCache>
            </c:strRef>
          </c:cat>
          <c:val>
            <c:numRef>
              <c:f>'Coal Results'!$V$15:$V$19</c:f>
              <c:numCache>
                <c:formatCode>General</c:formatCode>
                <c:ptCount val="5"/>
                <c:pt idx="4">
                  <c:v>0.40340352577958999</c:v>
                </c:pt>
              </c:numCache>
            </c:numRef>
          </c:val>
        </c:ser>
        <c:ser>
          <c:idx val="2"/>
          <c:order val="2"/>
          <c:tx>
            <c:strRef>
              <c:f>'Coal Results'!$W$14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'Coal Results'!$S$15:$S$19</c:f>
              <c:strCache>
                <c:ptCount val="5"/>
                <c:pt idx="0">
                  <c:v>Base Power Plant No CCS</c:v>
                </c:pt>
                <c:pt idx="1">
                  <c:v>CO2 Emissions captured from stream X</c:v>
                </c:pt>
                <c:pt idx="2">
                  <c:v>CO2 Emissions stream Y</c:v>
                </c:pt>
                <c:pt idx="3">
                  <c:v>CO2 Emissions stream Z</c:v>
                </c:pt>
                <c:pt idx="4">
                  <c:v>Net CO2 Emissions</c:v>
                </c:pt>
              </c:strCache>
            </c:strRef>
          </c:cat>
          <c:val>
            <c:numRef>
              <c:f>'Coal Results'!$W$15:$W$19</c:f>
              <c:numCache>
                <c:formatCode>General</c:formatCode>
                <c:ptCount val="5"/>
                <c:pt idx="1">
                  <c:v>0.14363999999999999</c:v>
                </c:pt>
                <c:pt idx="2">
                  <c:v>0.14363999999999999</c:v>
                </c:pt>
                <c:pt idx="3">
                  <c:v>0.19182643199999999</c:v>
                </c:pt>
                <c:pt idx="4">
                  <c:v>0.40340352577958999</c:v>
                </c:pt>
              </c:numCache>
            </c:numRef>
          </c:val>
        </c:ser>
        <c:ser>
          <c:idx val="3"/>
          <c:order val="3"/>
          <c:tx>
            <c:strRef>
              <c:f>'Coal Results'!$X$14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'Coal Results'!$S$15:$S$19</c:f>
              <c:strCache>
                <c:ptCount val="5"/>
                <c:pt idx="0">
                  <c:v>Base Power Plant No CCS</c:v>
                </c:pt>
                <c:pt idx="1">
                  <c:v>CO2 Emissions captured from stream X</c:v>
                </c:pt>
                <c:pt idx="2">
                  <c:v>CO2 Emissions stream Y</c:v>
                </c:pt>
                <c:pt idx="3">
                  <c:v>CO2 Emissions stream Z</c:v>
                </c:pt>
                <c:pt idx="4">
                  <c:v>Net CO2 Emissions</c:v>
                </c:pt>
              </c:strCache>
            </c:strRef>
          </c:cat>
          <c:val>
            <c:numRef>
              <c:f>'Coal Results'!$X$15:$X$19</c:f>
              <c:numCache>
                <c:formatCode>General</c:formatCode>
                <c:ptCount val="5"/>
                <c:pt idx="1">
                  <c:v>0.81396000000000002</c:v>
                </c:pt>
              </c:numCache>
            </c:numRef>
          </c:val>
        </c:ser>
        <c:ser>
          <c:idx val="4"/>
          <c:order val="4"/>
          <c:tx>
            <c:strRef>
              <c:f>'Coal Results'!$Y$14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'Coal Results'!$S$15:$S$19</c:f>
              <c:strCache>
                <c:ptCount val="5"/>
                <c:pt idx="0">
                  <c:v>Base Power Plant No CCS</c:v>
                </c:pt>
                <c:pt idx="1">
                  <c:v>CO2 Emissions captured from stream X</c:v>
                </c:pt>
                <c:pt idx="2">
                  <c:v>CO2 Emissions stream Y</c:v>
                </c:pt>
                <c:pt idx="3">
                  <c:v>CO2 Emissions stream Z</c:v>
                </c:pt>
                <c:pt idx="4">
                  <c:v>Net CO2 Emissions</c:v>
                </c:pt>
              </c:strCache>
            </c:strRef>
          </c:cat>
          <c:val>
            <c:numRef>
              <c:f>'Coal Results'!$Y$15:$Y$19</c:f>
              <c:numCache>
                <c:formatCode>General</c:formatCode>
                <c:ptCount val="5"/>
                <c:pt idx="2">
                  <c:v>4.8186432000000001E-2</c:v>
                </c:pt>
                <c:pt idx="3">
                  <c:v>0.21157709377959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8096608"/>
        <c:axId val="818098960"/>
      </c:barChart>
      <c:catAx>
        <c:axId val="8180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98960"/>
        <c:crosses val="autoZero"/>
        <c:auto val="1"/>
        <c:lblAlgn val="ctr"/>
        <c:lblOffset val="100"/>
        <c:noMultiLvlLbl val="0"/>
      </c:catAx>
      <c:valAx>
        <c:axId val="8180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CO2-eq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9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</a:t>
            </a:r>
            <a:r>
              <a:rPr lang="en-US" baseline="0"/>
              <a:t> 4: 1 MWh Natural Gas Power Plant with 85% Capture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'Coal Results'!$U$14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'Coal Results'!$S$23:$S$29</c:f>
              <c:strCache>
                <c:ptCount val="7"/>
                <c:pt idx="0">
                  <c:v>Base Power Plant No CCS</c:v>
                </c:pt>
                <c:pt idx="1">
                  <c:v>CO2 Emissions captured from stream X</c:v>
                </c:pt>
                <c:pt idx="2">
                  <c:v>CO2 Emissions stream Y</c:v>
                </c:pt>
                <c:pt idx="3">
                  <c:v>CO2 Emissions stream Z</c:v>
                </c:pt>
                <c:pt idx="4">
                  <c:v>CO2 Emissions captured from stream Y</c:v>
                </c:pt>
                <c:pt idx="5">
                  <c:v>CO2 Emissions captured from stream Z</c:v>
                </c:pt>
                <c:pt idx="6">
                  <c:v>Net CO2 Emissions</c:v>
                </c:pt>
              </c:strCache>
            </c:strRef>
          </c:cat>
          <c:val>
            <c:numRef>
              <c:f>'Coal Results'!$U$23:$U$29</c:f>
              <c:numCache>
                <c:formatCode>General</c:formatCode>
                <c:ptCount val="7"/>
                <c:pt idx="0">
                  <c:v>0.95760000000000001</c:v>
                </c:pt>
              </c:numCache>
            </c:numRef>
          </c:val>
        </c:ser>
        <c:ser>
          <c:idx val="1"/>
          <c:order val="1"/>
          <c:tx>
            <c:strRef>
              <c:f>'Coal Results'!$V$14</c:f>
              <c:strCache>
                <c:ptCount val="1"/>
                <c:pt idx="0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'Coal Results'!$S$23:$S$29</c:f>
              <c:strCache>
                <c:ptCount val="7"/>
                <c:pt idx="0">
                  <c:v>Base Power Plant No CCS</c:v>
                </c:pt>
                <c:pt idx="1">
                  <c:v>CO2 Emissions captured from stream X</c:v>
                </c:pt>
                <c:pt idx="2">
                  <c:v>CO2 Emissions stream Y</c:v>
                </c:pt>
                <c:pt idx="3">
                  <c:v>CO2 Emissions stream Z</c:v>
                </c:pt>
                <c:pt idx="4">
                  <c:v>CO2 Emissions captured from stream Y</c:v>
                </c:pt>
                <c:pt idx="5">
                  <c:v>CO2 Emissions captured from stream Z</c:v>
                </c:pt>
                <c:pt idx="6">
                  <c:v>Net CO2 Emissions</c:v>
                </c:pt>
              </c:strCache>
            </c:strRef>
          </c:cat>
          <c:val>
            <c:numRef>
              <c:f>'Coal Results'!$V$23:$V$29</c:f>
              <c:numCache>
                <c:formatCode>General</c:formatCode>
                <c:ptCount val="7"/>
                <c:pt idx="6">
                  <c:v>0.23190837694856903</c:v>
                </c:pt>
              </c:numCache>
            </c:numRef>
          </c:val>
        </c:ser>
        <c:ser>
          <c:idx val="2"/>
          <c:order val="2"/>
          <c:tx>
            <c:strRef>
              <c:f>'Coal Results'!$W$14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'Coal Results'!$S$23:$S$29</c:f>
              <c:strCache>
                <c:ptCount val="7"/>
                <c:pt idx="0">
                  <c:v>Base Power Plant No CCS</c:v>
                </c:pt>
                <c:pt idx="1">
                  <c:v>CO2 Emissions captured from stream X</c:v>
                </c:pt>
                <c:pt idx="2">
                  <c:v>CO2 Emissions stream Y</c:v>
                </c:pt>
                <c:pt idx="3">
                  <c:v>CO2 Emissions stream Z</c:v>
                </c:pt>
                <c:pt idx="4">
                  <c:v>CO2 Emissions captured from stream Y</c:v>
                </c:pt>
                <c:pt idx="5">
                  <c:v>CO2 Emissions captured from stream Z</c:v>
                </c:pt>
                <c:pt idx="6">
                  <c:v>Net CO2 Emissions</c:v>
                </c:pt>
              </c:strCache>
            </c:strRef>
          </c:cat>
          <c:val>
            <c:numRef>
              <c:f>'Coal Results'!$W$23:$W$29</c:f>
              <c:numCache>
                <c:formatCode>General</c:formatCode>
                <c:ptCount val="7"/>
                <c:pt idx="1">
                  <c:v>0.14363999999999999</c:v>
                </c:pt>
                <c:pt idx="2">
                  <c:v>0.14363999999999999</c:v>
                </c:pt>
                <c:pt idx="3">
                  <c:v>0.33354364172361095</c:v>
                </c:pt>
                <c:pt idx="4">
                  <c:v>0.49756526612908358</c:v>
                </c:pt>
                <c:pt idx="5">
                  <c:v>0.2209415042391229</c:v>
                </c:pt>
                <c:pt idx="6">
                  <c:v>-5.5682257650837785E-2</c:v>
                </c:pt>
              </c:numCache>
            </c:numRef>
          </c:val>
        </c:ser>
        <c:ser>
          <c:idx val="3"/>
          <c:order val="3"/>
          <c:tx>
            <c:strRef>
              <c:f>'Coal Results'!$X$14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'Coal Results'!$S$23:$S$29</c:f>
              <c:strCache>
                <c:ptCount val="7"/>
                <c:pt idx="0">
                  <c:v>Base Power Plant No CCS</c:v>
                </c:pt>
                <c:pt idx="1">
                  <c:v>CO2 Emissions captured from stream X</c:v>
                </c:pt>
                <c:pt idx="2">
                  <c:v>CO2 Emissions stream Y</c:v>
                </c:pt>
                <c:pt idx="3">
                  <c:v>CO2 Emissions stream Z</c:v>
                </c:pt>
                <c:pt idx="4">
                  <c:v>CO2 Emissions captured from stream Y</c:v>
                </c:pt>
                <c:pt idx="5">
                  <c:v>CO2 Emissions captured from stream Z</c:v>
                </c:pt>
                <c:pt idx="6">
                  <c:v>Net CO2 Emissions</c:v>
                </c:pt>
              </c:strCache>
            </c:strRef>
          </c:cat>
          <c:val>
            <c:numRef>
              <c:f>'Coal Results'!$X$23:$X$29</c:f>
              <c:numCache>
                <c:formatCode>General</c:formatCode>
                <c:ptCount val="7"/>
                <c:pt idx="1">
                  <c:v>0.81396000000000002</c:v>
                </c:pt>
                <c:pt idx="4">
                  <c:v>0.16141809546506933</c:v>
                </c:pt>
                <c:pt idx="5">
                  <c:v>0.27662376188996068</c:v>
                </c:pt>
              </c:numCache>
            </c:numRef>
          </c:val>
        </c:ser>
        <c:ser>
          <c:idx val="4"/>
          <c:order val="4"/>
          <c:tx>
            <c:strRef>
              <c:f>'Coal Results'!$Y$14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'Coal Results'!$S$23:$S$29</c:f>
              <c:strCache>
                <c:ptCount val="7"/>
                <c:pt idx="0">
                  <c:v>Base Power Plant No CCS</c:v>
                </c:pt>
                <c:pt idx="1">
                  <c:v>CO2 Emissions captured from stream X</c:v>
                </c:pt>
                <c:pt idx="2">
                  <c:v>CO2 Emissions stream Y</c:v>
                </c:pt>
                <c:pt idx="3">
                  <c:v>CO2 Emissions stream Z</c:v>
                </c:pt>
                <c:pt idx="4">
                  <c:v>CO2 Emissions captured from stream Y</c:v>
                </c:pt>
                <c:pt idx="5">
                  <c:v>CO2 Emissions captured from stream Z</c:v>
                </c:pt>
                <c:pt idx="6">
                  <c:v>Net CO2 Emissions</c:v>
                </c:pt>
              </c:strCache>
            </c:strRef>
          </c:cat>
          <c:val>
            <c:numRef>
              <c:f>'Coal Results'!$Y$23:$Y$29</c:f>
              <c:numCache>
                <c:formatCode>General</c:formatCode>
                <c:ptCount val="7"/>
                <c:pt idx="2">
                  <c:v>0.18990364172361099</c:v>
                </c:pt>
                <c:pt idx="3">
                  <c:v>0.32543971987054199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8092688"/>
        <c:axId val="818092296"/>
      </c:barChart>
      <c:catAx>
        <c:axId val="8180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92296"/>
        <c:crosses val="autoZero"/>
        <c:auto val="1"/>
        <c:lblAlgn val="ctr"/>
        <c:lblOffset val="100"/>
        <c:noMultiLvlLbl val="0"/>
      </c:catAx>
      <c:valAx>
        <c:axId val="81809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CO2-eq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9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Boiler US Average Emissions from Coal Power Plant with 85% Capture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'Coal Results'!$B$5</c:f>
              <c:strCache>
                <c:ptCount val="1"/>
                <c:pt idx="0">
                  <c:v>Enduse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'Coal Results'!$C$4:$G$4</c:f>
              <c:strCache>
                <c:ptCount val="5"/>
                <c:pt idx="0">
                  <c:v>No CCS</c:v>
                </c:pt>
                <c:pt idx="1">
                  <c:v>Case 4</c:v>
                </c:pt>
                <c:pt idx="2">
                  <c:v>Case 3</c:v>
                </c:pt>
                <c:pt idx="3">
                  <c:v>Case 2</c:v>
                </c:pt>
                <c:pt idx="4">
                  <c:v>Case 1</c:v>
                </c:pt>
              </c:strCache>
            </c:strRef>
          </c:cat>
          <c:val>
            <c:numRef>
              <c:f>'Coal Results'!$C$5:$G$5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'Coal Results'!$B$6</c:f>
              <c:strCache>
                <c:ptCount val="1"/>
                <c:pt idx="0">
                  <c:v>Gate to Enduse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'Coal Results'!$C$4:$G$4</c:f>
              <c:strCache>
                <c:ptCount val="5"/>
                <c:pt idx="0">
                  <c:v>No CCS</c:v>
                </c:pt>
                <c:pt idx="1">
                  <c:v>Case 4</c:v>
                </c:pt>
                <c:pt idx="2">
                  <c:v>Case 3</c:v>
                </c:pt>
                <c:pt idx="3">
                  <c:v>Case 2</c:v>
                </c:pt>
                <c:pt idx="4">
                  <c:v>Case 1</c:v>
                </c:pt>
              </c:strCache>
            </c:strRef>
          </c:cat>
          <c:val>
            <c:numRef>
              <c:f>'Coal Results'!$C$6:$G$6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'Coal Results'!$B$7</c:f>
              <c:strCache>
                <c:ptCount val="1"/>
                <c:pt idx="0">
                  <c:v>Midstream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'Coal Results'!$C$4:$G$4</c:f>
              <c:strCache>
                <c:ptCount val="5"/>
                <c:pt idx="0">
                  <c:v>No CCS</c:v>
                </c:pt>
                <c:pt idx="1">
                  <c:v>Case 4</c:v>
                </c:pt>
                <c:pt idx="2">
                  <c:v>Case 3</c:v>
                </c:pt>
                <c:pt idx="3">
                  <c:v>Case 2</c:v>
                </c:pt>
                <c:pt idx="4">
                  <c:v>Case 1</c:v>
                </c:pt>
              </c:strCache>
            </c:strRef>
          </c:cat>
          <c:val>
            <c:numRef>
              <c:f>'Coal Results'!$C$7:$G$7</c:f>
              <c:numCache>
                <c:formatCode>General</c:formatCode>
                <c:ptCount val="5"/>
                <c:pt idx="0">
                  <c:v>1.2999999999999999E-3</c:v>
                </c:pt>
                <c:pt idx="1">
                  <c:v>2.5999999999999999E-3</c:v>
                </c:pt>
                <c:pt idx="2">
                  <c:v>2.2000000000000001E-3</c:v>
                </c:pt>
                <c:pt idx="3">
                  <c:v>1.6000000000000001E-3</c:v>
                </c:pt>
                <c:pt idx="4">
                  <c:v>1.5E-3</c:v>
                </c:pt>
              </c:numCache>
            </c:numRef>
          </c:val>
        </c:ser>
        <c:ser>
          <c:idx val="4"/>
          <c:order val="3"/>
          <c:tx>
            <c:strRef>
              <c:f>'Coal Results'!$B$9</c:f>
              <c:strCache>
                <c:ptCount val="1"/>
                <c:pt idx="0">
                  <c:v>Upstream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'Coal Results'!$C$4:$G$4</c:f>
              <c:strCache>
                <c:ptCount val="5"/>
                <c:pt idx="0">
                  <c:v>No CCS</c:v>
                </c:pt>
                <c:pt idx="1">
                  <c:v>Case 4</c:v>
                </c:pt>
                <c:pt idx="2">
                  <c:v>Case 3</c:v>
                </c:pt>
                <c:pt idx="3">
                  <c:v>Case 2</c:v>
                </c:pt>
                <c:pt idx="4">
                  <c:v>Case 1</c:v>
                </c:pt>
              </c:strCache>
            </c:strRef>
          </c:cat>
          <c:val>
            <c:numRef>
              <c:f>'Coal Results'!$C$9:$G$9</c:f>
              <c:numCache>
                <c:formatCode>General</c:formatCode>
                <c:ptCount val="5"/>
                <c:pt idx="0">
                  <c:v>2.9399999999999999E-2</c:v>
                </c:pt>
                <c:pt idx="1">
                  <c:v>5.91E-2</c:v>
                </c:pt>
                <c:pt idx="2">
                  <c:v>5.16E-2</c:v>
                </c:pt>
                <c:pt idx="3">
                  <c:v>3.6900000000000002E-2</c:v>
                </c:pt>
                <c:pt idx="4">
                  <c:v>3.6500000000000005E-2</c:v>
                </c:pt>
              </c:numCache>
            </c:numRef>
          </c:val>
        </c:ser>
        <c:ser>
          <c:idx val="3"/>
          <c:order val="4"/>
          <c:tx>
            <c:strRef>
              <c:f>'Coal Results'!$B$8</c:f>
              <c:strCache>
                <c:ptCount val="1"/>
                <c:pt idx="0">
                  <c:v>Process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'Coal Results'!$C$4:$G$4</c:f>
              <c:strCache>
                <c:ptCount val="5"/>
                <c:pt idx="0">
                  <c:v>No CCS</c:v>
                </c:pt>
                <c:pt idx="1">
                  <c:v>Case 4</c:v>
                </c:pt>
                <c:pt idx="2">
                  <c:v>Case 3</c:v>
                </c:pt>
                <c:pt idx="3">
                  <c:v>Case 2</c:v>
                </c:pt>
                <c:pt idx="4">
                  <c:v>Case 1</c:v>
                </c:pt>
              </c:strCache>
            </c:strRef>
          </c:cat>
          <c:val>
            <c:numRef>
              <c:f>'Coal Results'!$C$8:$G$8</c:f>
              <c:numCache>
                <c:formatCode>General</c:formatCode>
                <c:ptCount val="5"/>
                <c:pt idx="0">
                  <c:v>0.95760000000000001</c:v>
                </c:pt>
                <c:pt idx="1">
                  <c:v>0.23256299999999999</c:v>
                </c:pt>
                <c:pt idx="2">
                  <c:v>0.41646699999999998</c:v>
                </c:pt>
                <c:pt idx="3">
                  <c:v>0.25592799999999999</c:v>
                </c:pt>
                <c:pt idx="4">
                  <c:v>0.41095900000000002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8099744"/>
        <c:axId val="818095040"/>
      </c:barChart>
      <c:catAx>
        <c:axId val="8180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95040"/>
        <c:crosses val="autoZero"/>
        <c:auto val="1"/>
        <c:lblAlgn val="ctr"/>
        <c:lblOffset val="100"/>
        <c:noMultiLvlLbl val="0"/>
      </c:catAx>
      <c:valAx>
        <c:axId val="8180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CO2/kWh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611440</xdr:colOff>
      <xdr:row>1</xdr:row>
      <xdr:rowOff>2268</xdr:rowOff>
    </xdr:from>
    <xdr:to>
      <xdr:col>15</xdr:col>
      <xdr:colOff>1236347</xdr:colOff>
      <xdr:row>19</xdr:row>
      <xdr:rowOff>66315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43</xdr:row>
      <xdr:rowOff>0</xdr:rowOff>
    </xdr:from>
    <xdr:to>
      <xdr:col>15</xdr:col>
      <xdr:colOff>1228157</xdr:colOff>
      <xdr:row>61</xdr:row>
      <xdr:rowOff>64047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</xdr:row>
      <xdr:rowOff>15875</xdr:rowOff>
    </xdr:from>
    <xdr:to>
      <xdr:col>37</xdr:col>
      <xdr:colOff>424391</xdr:colOff>
      <xdr:row>18</xdr:row>
      <xdr:rowOff>143933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20</xdr:row>
      <xdr:rowOff>0</xdr:rowOff>
    </xdr:from>
    <xdr:to>
      <xdr:col>37</xdr:col>
      <xdr:colOff>424391</xdr:colOff>
      <xdr:row>37</xdr:row>
      <xdr:rowOff>143933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45</xdr:row>
      <xdr:rowOff>0</xdr:rowOff>
    </xdr:from>
    <xdr:to>
      <xdr:col>15</xdr:col>
      <xdr:colOff>1228157</xdr:colOff>
      <xdr:row>63</xdr:row>
      <xdr:rowOff>64047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</xdr:row>
      <xdr:rowOff>15875</xdr:rowOff>
    </xdr:from>
    <xdr:to>
      <xdr:col>37</xdr:col>
      <xdr:colOff>424391</xdr:colOff>
      <xdr:row>18</xdr:row>
      <xdr:rowOff>143933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21</xdr:row>
      <xdr:rowOff>0</xdr:rowOff>
    </xdr:from>
    <xdr:to>
      <xdr:col>37</xdr:col>
      <xdr:colOff>424391</xdr:colOff>
      <xdr:row>38</xdr:row>
      <xdr:rowOff>128058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15</xdr:col>
      <xdr:colOff>1233827</xdr:colOff>
      <xdr:row>19</xdr:row>
      <xdr:rowOff>64047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zoomScaleNormal="100" workbookViewId="0">
      <selection activeCell="S25" sqref="S25"/>
    </sheetView>
  </sheetViews>
  <sheetFormatPr defaultRowHeight="15" x14ac:dyDescent="0.25"/>
  <cols>
    <col min="2" max="2" width="45.140625" bestFit="1" customWidth="1"/>
    <col min="3" max="3" width="20.7109375" bestFit="1" customWidth="1"/>
    <col min="4" max="4" width="18.28515625" bestFit="1" customWidth="1"/>
    <col min="5" max="5" width="15.42578125" customWidth="1"/>
    <col min="6" max="6" width="14.140625" bestFit="1" customWidth="1"/>
    <col min="7" max="7" width="14.28515625" customWidth="1"/>
    <col min="8" max="8" width="24.28515625" customWidth="1"/>
    <col min="9" max="9" width="27.42578125" bestFit="1" customWidth="1"/>
    <col min="10" max="10" width="16" customWidth="1"/>
    <col min="11" max="11" width="17.42578125" customWidth="1"/>
    <col min="12" max="12" width="12.42578125" customWidth="1"/>
    <col min="13" max="13" width="12.5703125" customWidth="1"/>
    <col min="14" max="14" width="20.5703125" bestFit="1" customWidth="1"/>
    <col min="15" max="15" width="21.5703125" bestFit="1" customWidth="1"/>
    <col min="16" max="16" width="14.28515625" customWidth="1"/>
    <col min="17" max="17" width="22.42578125" customWidth="1"/>
    <col min="18" max="18" width="11.7109375" customWidth="1"/>
    <col min="19" max="19" width="15.85546875" customWidth="1"/>
    <col min="21" max="21" width="12" bestFit="1" customWidth="1"/>
    <col min="22" max="22" width="18.7109375" customWidth="1"/>
    <col min="23" max="23" width="14.7109375" customWidth="1"/>
    <col min="24" max="25" width="14.7109375" style="30" customWidth="1"/>
    <col min="26" max="26" width="12" bestFit="1" customWidth="1"/>
    <col min="28" max="28" width="17.7109375" customWidth="1"/>
    <col min="29" max="29" width="14" customWidth="1"/>
  </cols>
  <sheetData>
    <row r="1" spans="1:17" ht="15.75" thickBot="1" x14ac:dyDescent="0.3">
      <c r="B1" t="s">
        <v>86</v>
      </c>
    </row>
    <row r="2" spans="1:17" s="19" customFormat="1" ht="45" x14ac:dyDescent="0.25">
      <c r="A2" s="15"/>
      <c r="B2" s="16" t="s">
        <v>0</v>
      </c>
      <c r="C2" s="17" t="s">
        <v>1</v>
      </c>
      <c r="D2" s="17" t="s">
        <v>2</v>
      </c>
      <c r="E2" s="17" t="s">
        <v>3</v>
      </c>
      <c r="F2" s="17" t="s">
        <v>109</v>
      </c>
      <c r="G2" s="17" t="s">
        <v>4</v>
      </c>
      <c r="H2" s="17" t="s">
        <v>5</v>
      </c>
      <c r="I2" s="17" t="s">
        <v>6</v>
      </c>
      <c r="J2" s="17" t="s">
        <v>38</v>
      </c>
      <c r="K2" s="17" t="s">
        <v>39</v>
      </c>
      <c r="L2" s="17" t="s">
        <v>60</v>
      </c>
      <c r="M2" s="37" t="s">
        <v>61</v>
      </c>
      <c r="N2" s="37" t="s">
        <v>62</v>
      </c>
      <c r="O2" s="17" t="s">
        <v>63</v>
      </c>
      <c r="P2" s="17" t="s">
        <v>72</v>
      </c>
      <c r="Q2" s="18" t="s">
        <v>75</v>
      </c>
    </row>
    <row r="3" spans="1:17" x14ac:dyDescent="0.25">
      <c r="B3" s="3" t="s">
        <v>7</v>
      </c>
      <c r="C3" s="4" t="s">
        <v>17</v>
      </c>
      <c r="D3" s="4">
        <v>85</v>
      </c>
      <c r="E3" s="4">
        <v>21</v>
      </c>
      <c r="F3" s="4" t="s">
        <v>28</v>
      </c>
      <c r="G3" s="4" t="s">
        <v>29</v>
      </c>
      <c r="H3" s="5">
        <v>24000</v>
      </c>
      <c r="I3" s="4" t="s">
        <v>33</v>
      </c>
      <c r="J3" s="4" t="s">
        <v>40</v>
      </c>
      <c r="K3" s="6" t="s">
        <v>51</v>
      </c>
      <c r="L3" s="4">
        <v>6</v>
      </c>
      <c r="M3" s="38">
        <v>0.1</v>
      </c>
      <c r="N3" s="38">
        <v>0</v>
      </c>
      <c r="O3" s="7" t="s">
        <v>64</v>
      </c>
      <c r="P3" s="4">
        <v>9</v>
      </c>
      <c r="Q3" s="8" t="s">
        <v>76</v>
      </c>
    </row>
    <row r="4" spans="1:17" x14ac:dyDescent="0.25">
      <c r="B4" s="3" t="s">
        <v>8</v>
      </c>
      <c r="C4" s="4" t="s">
        <v>18</v>
      </c>
      <c r="D4" s="4">
        <v>85</v>
      </c>
      <c r="E4" s="4">
        <v>49</v>
      </c>
      <c r="F4" s="4" t="s">
        <v>28</v>
      </c>
      <c r="G4" s="4" t="s">
        <v>29</v>
      </c>
      <c r="H4" s="4">
        <v>342000</v>
      </c>
      <c r="I4" s="4" t="s">
        <v>33</v>
      </c>
      <c r="J4" s="4" t="s">
        <v>41</v>
      </c>
      <c r="K4" s="6" t="s">
        <v>52</v>
      </c>
      <c r="L4" s="4">
        <v>7</v>
      </c>
      <c r="M4" s="38">
        <v>0.12</v>
      </c>
      <c r="N4" s="38">
        <v>0</v>
      </c>
      <c r="O4" s="7" t="s">
        <v>64</v>
      </c>
      <c r="P4" s="4">
        <v>11</v>
      </c>
      <c r="Q4" s="8" t="s">
        <v>77</v>
      </c>
    </row>
    <row r="5" spans="1:17" x14ac:dyDescent="0.25">
      <c r="B5" s="3" t="s">
        <v>9</v>
      </c>
      <c r="C5" s="4" t="s">
        <v>19</v>
      </c>
      <c r="D5" s="4">
        <v>85</v>
      </c>
      <c r="E5" s="4">
        <v>53</v>
      </c>
      <c r="F5" s="4" t="s">
        <v>28</v>
      </c>
      <c r="G5" s="4" t="s">
        <v>29</v>
      </c>
      <c r="H5" s="4">
        <v>389000</v>
      </c>
      <c r="I5" s="4" t="s">
        <v>33</v>
      </c>
      <c r="J5" s="4" t="s">
        <v>42</v>
      </c>
      <c r="K5" s="6" t="s">
        <v>53</v>
      </c>
      <c r="L5" s="4">
        <v>5</v>
      </c>
      <c r="M5" s="38">
        <v>0.1</v>
      </c>
      <c r="N5" s="38">
        <v>0</v>
      </c>
      <c r="O5" s="7" t="s">
        <v>52</v>
      </c>
      <c r="P5" s="4">
        <v>9</v>
      </c>
      <c r="Q5" s="8" t="s">
        <v>78</v>
      </c>
    </row>
    <row r="6" spans="1:17" x14ac:dyDescent="0.25">
      <c r="B6" s="3" t="s">
        <v>10</v>
      </c>
      <c r="C6" s="4" t="s">
        <v>20</v>
      </c>
      <c r="D6" s="4">
        <v>85</v>
      </c>
      <c r="E6" s="4">
        <v>59</v>
      </c>
      <c r="F6" s="4">
        <v>45</v>
      </c>
      <c r="G6" s="4" t="s">
        <v>30</v>
      </c>
      <c r="H6" s="4">
        <v>340000</v>
      </c>
      <c r="I6" s="4" t="s">
        <v>34</v>
      </c>
      <c r="J6" s="4" t="s">
        <v>43</v>
      </c>
      <c r="K6" s="9" t="s">
        <v>50</v>
      </c>
      <c r="L6" s="4">
        <v>5</v>
      </c>
      <c r="M6" s="38">
        <v>0.18</v>
      </c>
      <c r="N6" s="38">
        <v>2.6</v>
      </c>
      <c r="O6" s="7" t="s">
        <v>65</v>
      </c>
      <c r="P6" s="4">
        <v>28</v>
      </c>
      <c r="Q6" s="8" t="s">
        <v>79</v>
      </c>
    </row>
    <row r="7" spans="1:17" x14ac:dyDescent="0.25">
      <c r="B7" s="3" t="s">
        <v>11</v>
      </c>
      <c r="C7" s="4" t="s">
        <v>21</v>
      </c>
      <c r="D7" s="4">
        <v>85</v>
      </c>
      <c r="E7" s="4">
        <v>431</v>
      </c>
      <c r="F7" s="4">
        <v>21</v>
      </c>
      <c r="G7" s="4" t="s">
        <v>30</v>
      </c>
      <c r="H7" s="4">
        <v>842000</v>
      </c>
      <c r="I7" s="4" t="s">
        <v>35</v>
      </c>
      <c r="J7" s="4" t="s">
        <v>44</v>
      </c>
      <c r="K7" s="9" t="s">
        <v>54</v>
      </c>
      <c r="L7" s="4">
        <v>7</v>
      </c>
      <c r="M7" s="38">
        <v>0.16</v>
      </c>
      <c r="N7" s="38">
        <v>2.6</v>
      </c>
      <c r="O7" s="4" t="s">
        <v>66</v>
      </c>
      <c r="P7" s="4">
        <v>28</v>
      </c>
      <c r="Q7" s="8" t="s">
        <v>80</v>
      </c>
    </row>
    <row r="8" spans="1:17" x14ac:dyDescent="0.25">
      <c r="B8" s="3" t="s">
        <v>12</v>
      </c>
      <c r="C8" s="4" t="s">
        <v>22</v>
      </c>
      <c r="D8" s="4">
        <v>85</v>
      </c>
      <c r="E8" s="4">
        <v>272</v>
      </c>
      <c r="F8" s="4">
        <v>16</v>
      </c>
      <c r="G8" s="4" t="s">
        <v>30</v>
      </c>
      <c r="H8" s="4">
        <v>374000</v>
      </c>
      <c r="I8" s="4" t="s">
        <v>36</v>
      </c>
      <c r="J8" s="4" t="s">
        <v>45</v>
      </c>
      <c r="K8" s="9" t="s">
        <v>55</v>
      </c>
      <c r="L8" s="4">
        <v>4</v>
      </c>
      <c r="M8" s="38">
        <v>0.14000000000000001</v>
      </c>
      <c r="N8" s="38">
        <v>2.6</v>
      </c>
      <c r="O8" s="4" t="s">
        <v>67</v>
      </c>
      <c r="P8" s="4">
        <v>29</v>
      </c>
      <c r="Q8" s="8" t="s">
        <v>81</v>
      </c>
    </row>
    <row r="9" spans="1:17" x14ac:dyDescent="0.25">
      <c r="B9" s="3" t="s">
        <v>13</v>
      </c>
      <c r="C9" s="4" t="s">
        <v>23</v>
      </c>
      <c r="D9" s="4">
        <v>85</v>
      </c>
      <c r="E9" s="4">
        <v>1381</v>
      </c>
      <c r="F9" s="4">
        <v>26</v>
      </c>
      <c r="G9" s="4" t="s">
        <v>30</v>
      </c>
      <c r="H9" s="4">
        <v>3324000</v>
      </c>
      <c r="I9" s="4" t="s">
        <v>35</v>
      </c>
      <c r="J9" s="4" t="s">
        <v>46</v>
      </c>
      <c r="K9" s="9" t="s">
        <v>56</v>
      </c>
      <c r="L9" s="4">
        <v>5</v>
      </c>
      <c r="M9" s="38">
        <v>0.16</v>
      </c>
      <c r="N9" s="38">
        <v>2.6</v>
      </c>
      <c r="O9" s="4" t="s">
        <v>68</v>
      </c>
      <c r="P9" s="4">
        <v>29</v>
      </c>
      <c r="Q9" s="8" t="s">
        <v>82</v>
      </c>
    </row>
    <row r="10" spans="1:17" x14ac:dyDescent="0.25">
      <c r="B10" s="3" t="s">
        <v>14</v>
      </c>
      <c r="C10" s="4" t="s">
        <v>24</v>
      </c>
      <c r="D10" s="4" t="s">
        <v>27</v>
      </c>
      <c r="E10" s="4">
        <v>2829</v>
      </c>
      <c r="F10" s="4">
        <v>13</v>
      </c>
      <c r="G10" s="4" t="s">
        <v>30</v>
      </c>
      <c r="H10" s="4" t="s">
        <v>31</v>
      </c>
      <c r="I10" s="4" t="s">
        <v>37</v>
      </c>
      <c r="J10" s="4" t="s">
        <v>47</v>
      </c>
      <c r="K10" s="9" t="s">
        <v>57</v>
      </c>
      <c r="L10" s="4">
        <v>4</v>
      </c>
      <c r="M10" s="38">
        <v>0.16</v>
      </c>
      <c r="N10" s="38">
        <v>2.6</v>
      </c>
      <c r="O10" s="4" t="s">
        <v>70</v>
      </c>
      <c r="P10" s="4" t="s">
        <v>73</v>
      </c>
      <c r="Q10" s="8" t="s">
        <v>83</v>
      </c>
    </row>
    <row r="11" spans="1:17" x14ac:dyDescent="0.25">
      <c r="B11" s="3" t="s">
        <v>15</v>
      </c>
      <c r="C11" s="4" t="s">
        <v>25</v>
      </c>
      <c r="D11" s="4">
        <v>85</v>
      </c>
      <c r="E11" s="4">
        <v>247</v>
      </c>
      <c r="F11" s="4">
        <v>8</v>
      </c>
      <c r="G11" s="4" t="s">
        <v>30</v>
      </c>
      <c r="H11" s="4">
        <v>220000</v>
      </c>
      <c r="I11" s="4" t="s">
        <v>37</v>
      </c>
      <c r="J11" s="4" t="s">
        <v>48</v>
      </c>
      <c r="K11" s="9" t="s">
        <v>58</v>
      </c>
      <c r="L11" s="4">
        <v>4</v>
      </c>
      <c r="M11" s="38">
        <v>0.16</v>
      </c>
      <c r="N11" s="38">
        <v>2.6</v>
      </c>
      <c r="O11" s="4" t="s">
        <v>69</v>
      </c>
      <c r="P11" s="4">
        <v>31</v>
      </c>
      <c r="Q11" s="8" t="s">
        <v>84</v>
      </c>
    </row>
    <row r="12" spans="1:17" ht="15.75" thickBot="1" x14ac:dyDescent="0.3">
      <c r="B12" s="10" t="s">
        <v>16</v>
      </c>
      <c r="C12" s="11" t="s">
        <v>26</v>
      </c>
      <c r="D12" s="11" t="s">
        <v>27</v>
      </c>
      <c r="E12" s="11">
        <v>3707</v>
      </c>
      <c r="F12" s="11">
        <v>4</v>
      </c>
      <c r="G12" s="11" t="s">
        <v>30</v>
      </c>
      <c r="H12" s="11" t="s">
        <v>32</v>
      </c>
      <c r="I12" s="11" t="s">
        <v>37</v>
      </c>
      <c r="J12" s="11" t="s">
        <v>49</v>
      </c>
      <c r="K12" s="12" t="s">
        <v>59</v>
      </c>
      <c r="L12" s="11">
        <v>4</v>
      </c>
      <c r="M12" s="39">
        <v>0.16</v>
      </c>
      <c r="N12" s="39">
        <v>2.8</v>
      </c>
      <c r="O12" s="11" t="s">
        <v>71</v>
      </c>
      <c r="P12" s="11" t="s">
        <v>74</v>
      </c>
      <c r="Q12" s="13" t="s">
        <v>85</v>
      </c>
    </row>
    <row r="14" spans="1:17" ht="15.75" thickBot="1" x14ac:dyDescent="0.3">
      <c r="B14" t="s">
        <v>87</v>
      </c>
    </row>
    <row r="15" spans="1:17" x14ac:dyDescent="0.25">
      <c r="B15" s="50" t="s">
        <v>88</v>
      </c>
      <c r="C15" s="49" t="s">
        <v>89</v>
      </c>
      <c r="D15" s="49"/>
      <c r="E15" s="52" t="s">
        <v>90</v>
      </c>
    </row>
    <row r="16" spans="1:17" ht="15.75" thickBot="1" x14ac:dyDescent="0.3">
      <c r="B16" s="51"/>
      <c r="C16" s="1" t="s">
        <v>91</v>
      </c>
      <c r="D16" s="1" t="s">
        <v>92</v>
      </c>
      <c r="E16" s="53"/>
    </row>
    <row r="17" spans="2:21" x14ac:dyDescent="0.25">
      <c r="B17" s="14" t="s">
        <v>93</v>
      </c>
      <c r="C17" s="4"/>
      <c r="D17" s="4">
        <v>-114.75</v>
      </c>
      <c r="E17" s="8">
        <v>120</v>
      </c>
      <c r="K17" s="20" t="s">
        <v>116</v>
      </c>
      <c r="L17" s="21"/>
      <c r="M17" s="21"/>
      <c r="N17" s="21"/>
      <c r="O17" s="22"/>
      <c r="Q17" s="20" t="s">
        <v>128</v>
      </c>
      <c r="R17" s="21"/>
      <c r="S17" s="21"/>
      <c r="T17" s="21"/>
      <c r="U17" s="22"/>
    </row>
    <row r="18" spans="2:21" x14ac:dyDescent="0.25">
      <c r="B18" s="3" t="s">
        <v>94</v>
      </c>
      <c r="C18" s="4">
        <v>-114.75</v>
      </c>
      <c r="D18" s="4">
        <v>-102.5</v>
      </c>
      <c r="E18" s="8">
        <v>150</v>
      </c>
      <c r="K18" s="23" t="s">
        <v>110</v>
      </c>
      <c r="L18" s="4">
        <f>M12</f>
        <v>0.16</v>
      </c>
      <c r="M18" s="4" t="s">
        <v>113</v>
      </c>
      <c r="N18" s="4">
        <f>L18/1000*3600</f>
        <v>0.57600000000000007</v>
      </c>
      <c r="O18" s="8" t="s">
        <v>114</v>
      </c>
      <c r="Q18" s="23" t="s">
        <v>110</v>
      </c>
      <c r="R18" s="25">
        <v>0.12</v>
      </c>
      <c r="S18" s="31" t="s">
        <v>113</v>
      </c>
      <c r="T18" s="31">
        <f>R18/1000*3600</f>
        <v>0.43199999999999994</v>
      </c>
      <c r="U18" s="8" t="s">
        <v>114</v>
      </c>
    </row>
    <row r="19" spans="2:21" ht="15.75" thickBot="1" x14ac:dyDescent="0.3">
      <c r="B19" s="3" t="s">
        <v>95</v>
      </c>
      <c r="C19" s="4">
        <v>-102.5</v>
      </c>
      <c r="D19" s="4">
        <v>-85.75</v>
      </c>
      <c r="E19" s="8">
        <v>80</v>
      </c>
      <c r="K19" s="24" t="s">
        <v>111</v>
      </c>
      <c r="L19" s="11">
        <f>N12</f>
        <v>2.8</v>
      </c>
      <c r="M19" s="11" t="s">
        <v>112</v>
      </c>
      <c r="N19" s="11">
        <f>L19/1000/947.82*1000000</f>
        <v>2.9541474119558564</v>
      </c>
      <c r="O19" s="13" t="s">
        <v>114</v>
      </c>
      <c r="Q19" s="24" t="s">
        <v>130</v>
      </c>
      <c r="R19" s="32">
        <v>0</v>
      </c>
      <c r="S19" s="11" t="s">
        <v>112</v>
      </c>
      <c r="T19" s="11">
        <f>R19/1000/947.82*1000000</f>
        <v>0</v>
      </c>
      <c r="U19" s="13" t="s">
        <v>114</v>
      </c>
    </row>
    <row r="20" spans="2:21" ht="15.75" thickBot="1" x14ac:dyDescent="0.3">
      <c r="B20" s="3" t="s">
        <v>96</v>
      </c>
      <c r="C20" s="4">
        <v>-85.75</v>
      </c>
      <c r="D20" s="4"/>
      <c r="E20" s="8">
        <v>100</v>
      </c>
      <c r="R20" s="29"/>
    </row>
    <row r="21" spans="2:21" x14ac:dyDescent="0.25">
      <c r="B21" s="3" t="s">
        <v>97</v>
      </c>
      <c r="C21" s="4"/>
      <c r="D21" s="4"/>
      <c r="E21" s="8">
        <v>80</v>
      </c>
      <c r="K21" s="20" t="s">
        <v>115</v>
      </c>
      <c r="L21" s="21"/>
      <c r="M21" s="21"/>
      <c r="N21" s="21"/>
      <c r="O21" s="22"/>
      <c r="Q21" s="20" t="s">
        <v>129</v>
      </c>
      <c r="R21" s="26"/>
      <c r="S21" s="21"/>
      <c r="T21" s="21"/>
      <c r="U21" s="22"/>
    </row>
    <row r="22" spans="2:21" x14ac:dyDescent="0.25">
      <c r="B22" s="3" t="s">
        <v>98</v>
      </c>
      <c r="C22" s="4"/>
      <c r="D22" s="4"/>
      <c r="E22" s="8">
        <v>80</v>
      </c>
      <c r="K22" s="23" t="s">
        <v>110</v>
      </c>
      <c r="L22" s="4">
        <f>M10</f>
        <v>0.16</v>
      </c>
      <c r="M22" s="4" t="s">
        <v>113</v>
      </c>
      <c r="N22" s="4">
        <f>L22/1000*3600</f>
        <v>0.57600000000000007</v>
      </c>
      <c r="O22" s="8" t="s">
        <v>114</v>
      </c>
      <c r="Q22" s="23" t="s">
        <v>110</v>
      </c>
      <c r="R22" s="25">
        <v>0.18</v>
      </c>
      <c r="S22" s="31" t="s">
        <v>113</v>
      </c>
      <c r="T22" s="31">
        <f>R22/1000*3600</f>
        <v>0.64799999999999991</v>
      </c>
      <c r="U22" s="8"/>
    </row>
    <row r="23" spans="2:21" ht="15.75" thickBot="1" x14ac:dyDescent="0.3">
      <c r="B23" s="10" t="s">
        <v>99</v>
      </c>
      <c r="C23" s="11"/>
      <c r="D23" s="11"/>
      <c r="E23" s="13">
        <v>100</v>
      </c>
      <c r="K23" s="24" t="s">
        <v>130</v>
      </c>
      <c r="L23" s="11">
        <f>N10</f>
        <v>2.6</v>
      </c>
      <c r="M23" s="11" t="s">
        <v>112</v>
      </c>
      <c r="N23" s="11">
        <f>L23/1000/947.82*1000000</f>
        <v>2.7431368825304383</v>
      </c>
      <c r="O23" s="13" t="s">
        <v>114</v>
      </c>
      <c r="Q23" s="24" t="s">
        <v>130</v>
      </c>
      <c r="R23" s="32">
        <v>2.6</v>
      </c>
      <c r="S23" s="11" t="s">
        <v>112</v>
      </c>
      <c r="T23" s="11">
        <f>R23/1000/947.82*1000000</f>
        <v>2.7431368825304383</v>
      </c>
      <c r="U23" s="13"/>
    </row>
    <row r="25" spans="2:21" ht="15.75" thickBot="1" x14ac:dyDescent="0.3">
      <c r="B25" t="s">
        <v>108</v>
      </c>
    </row>
    <row r="26" spans="2:21" ht="30" x14ac:dyDescent="0.25">
      <c r="B26" s="2" t="s">
        <v>88</v>
      </c>
      <c r="C26" s="17" t="s">
        <v>106</v>
      </c>
      <c r="D26" s="18" t="s">
        <v>107</v>
      </c>
    </row>
    <row r="27" spans="2:21" x14ac:dyDescent="0.25">
      <c r="B27" s="3" t="s">
        <v>100</v>
      </c>
      <c r="C27" s="4">
        <v>7</v>
      </c>
      <c r="D27" s="8">
        <v>11</v>
      </c>
    </row>
    <row r="28" spans="2:21" x14ac:dyDescent="0.25">
      <c r="B28" s="3" t="s">
        <v>101</v>
      </c>
      <c r="C28" s="4">
        <v>7</v>
      </c>
      <c r="D28" s="8">
        <v>54</v>
      </c>
    </row>
    <row r="29" spans="2:21" x14ac:dyDescent="0.25">
      <c r="B29" s="3" t="s">
        <v>102</v>
      </c>
      <c r="C29" s="4">
        <v>11</v>
      </c>
      <c r="D29" s="8">
        <v>85</v>
      </c>
    </row>
    <row r="30" spans="2:21" x14ac:dyDescent="0.25">
      <c r="B30" s="3" t="s">
        <v>103</v>
      </c>
      <c r="C30" s="4">
        <v>7</v>
      </c>
      <c r="D30" s="8">
        <v>135</v>
      </c>
    </row>
    <row r="31" spans="2:21" x14ac:dyDescent="0.25">
      <c r="B31" s="3" t="s">
        <v>104</v>
      </c>
      <c r="C31" s="4">
        <v>8</v>
      </c>
      <c r="D31" s="8">
        <v>129</v>
      </c>
    </row>
    <row r="32" spans="2:21" ht="15.75" thickBot="1" x14ac:dyDescent="0.3">
      <c r="B32" s="10" t="s">
        <v>105</v>
      </c>
      <c r="C32" s="11">
        <v>8</v>
      </c>
      <c r="D32" s="13">
        <v>413</v>
      </c>
    </row>
  </sheetData>
  <mergeCells count="3">
    <mergeCell ref="C15:D15"/>
    <mergeCell ref="B15:B16"/>
    <mergeCell ref="E15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opLeftCell="A6" zoomScaleNormal="100" workbookViewId="0">
      <selection activeCell="W14" sqref="W14"/>
    </sheetView>
  </sheetViews>
  <sheetFormatPr defaultRowHeight="15" x14ac:dyDescent="0.25"/>
  <cols>
    <col min="1" max="1" width="9.140625" style="30"/>
    <col min="2" max="2" width="27.28515625" customWidth="1"/>
    <col min="3" max="3" width="15" customWidth="1"/>
    <col min="4" max="4" width="22.140625" bestFit="1" customWidth="1"/>
    <col min="5" max="5" width="17.85546875" customWidth="1"/>
    <col min="6" max="6" width="20.7109375" bestFit="1" customWidth="1"/>
    <col min="7" max="7" width="14.42578125" customWidth="1"/>
    <col min="9" max="9" width="11.140625" bestFit="1" customWidth="1"/>
    <col min="10" max="10" width="11.140625" customWidth="1"/>
    <col min="11" max="11" width="10.85546875" customWidth="1"/>
    <col min="12" max="12" width="9.140625" style="30"/>
    <col min="13" max="13" width="2.42578125" style="27" customWidth="1"/>
    <col min="15" max="15" width="27.140625" customWidth="1"/>
    <col min="16" max="16" width="16.5703125" bestFit="1" customWidth="1"/>
    <col min="17" max="17" width="22.140625" bestFit="1" customWidth="1"/>
    <col min="18" max="18" width="14.140625" customWidth="1"/>
    <col min="19" max="19" width="20.7109375" bestFit="1" customWidth="1"/>
    <col min="20" max="20" width="14.7109375" bestFit="1" customWidth="1"/>
    <col min="22" max="22" width="15.140625" bestFit="1" customWidth="1"/>
    <col min="23" max="23" width="11.5703125" bestFit="1" customWidth="1"/>
    <col min="24" max="24" width="11" customWidth="1"/>
  </cols>
  <sheetData>
    <row r="1" spans="2:24" s="30" customFormat="1" ht="15.75" thickBot="1" x14ac:dyDescent="0.3">
      <c r="B1" s="30" t="s">
        <v>222</v>
      </c>
      <c r="M1" s="27"/>
      <c r="O1" s="30" t="s">
        <v>221</v>
      </c>
    </row>
    <row r="2" spans="2:24" s="30" customFormat="1" x14ac:dyDescent="0.25">
      <c r="B2" s="20" t="s">
        <v>144</v>
      </c>
      <c r="C2" s="21">
        <f>947.81712/983*22*0.724/12.0107*44.009/1000</f>
        <v>5.6273698451673591E-2</v>
      </c>
      <c r="D2" s="21" t="s">
        <v>145</v>
      </c>
      <c r="E2" s="22"/>
      <c r="M2" s="27"/>
      <c r="O2" s="20" t="s">
        <v>144</v>
      </c>
      <c r="P2" s="21">
        <f>947.81712/983*22*0.724/12.0107*44.009/1000</f>
        <v>5.6273698451673591E-2</v>
      </c>
      <c r="Q2" s="21" t="s">
        <v>145</v>
      </c>
      <c r="R2" s="21"/>
      <c r="S2" s="22"/>
    </row>
    <row r="3" spans="2:24" x14ac:dyDescent="0.25">
      <c r="B3" s="23" t="s">
        <v>137</v>
      </c>
      <c r="C3" s="31">
        <v>0.59574235200000003</v>
      </c>
      <c r="D3" s="31" t="s">
        <v>139</v>
      </c>
      <c r="E3" s="8" t="s">
        <v>127</v>
      </c>
      <c r="O3" s="23" t="s">
        <v>137</v>
      </c>
      <c r="P3" s="31">
        <v>0.36839447399700004</v>
      </c>
      <c r="Q3" s="31" t="s">
        <v>139</v>
      </c>
      <c r="R3" s="60" t="s">
        <v>187</v>
      </c>
      <c r="S3" s="59"/>
      <c r="T3" s="30"/>
      <c r="U3" s="30"/>
      <c r="V3" s="30"/>
      <c r="W3" s="30"/>
      <c r="X3" s="30"/>
    </row>
    <row r="4" spans="2:24" x14ac:dyDescent="0.25">
      <c r="B4" s="23" t="s">
        <v>138</v>
      </c>
      <c r="C4" s="68">
        <f>100/0.99</f>
        <v>101.01010101010101</v>
      </c>
      <c r="D4" s="31"/>
      <c r="E4" s="8"/>
      <c r="O4" s="23" t="s">
        <v>138</v>
      </c>
      <c r="P4" s="68">
        <f>1000000/0.99</f>
        <v>1010101.0101010101</v>
      </c>
      <c r="Q4" s="31"/>
      <c r="R4" s="31"/>
      <c r="S4" s="8"/>
      <c r="T4" s="30"/>
      <c r="U4" s="30"/>
      <c r="V4" s="30"/>
      <c r="W4" s="30"/>
      <c r="X4" s="30"/>
    </row>
    <row r="5" spans="2:24" x14ac:dyDescent="0.25">
      <c r="B5" s="23" t="s">
        <v>152</v>
      </c>
      <c r="C5" s="68">
        <v>85</v>
      </c>
      <c r="D5" s="31"/>
      <c r="E5" s="8"/>
      <c r="O5" s="23" t="s">
        <v>152</v>
      </c>
      <c r="P5" s="68">
        <v>85</v>
      </c>
      <c r="Q5" s="31"/>
      <c r="R5" s="31"/>
      <c r="S5" s="8"/>
      <c r="T5" s="30"/>
      <c r="U5" s="30"/>
      <c r="V5" s="30"/>
      <c r="W5" s="30"/>
      <c r="X5" s="30"/>
    </row>
    <row r="6" spans="2:24" s="30" customFormat="1" x14ac:dyDescent="0.25">
      <c r="B6" s="23" t="s">
        <v>153</v>
      </c>
      <c r="C6" s="68">
        <v>85</v>
      </c>
      <c r="D6" s="31"/>
      <c r="E6" s="8"/>
      <c r="M6" s="27"/>
      <c r="O6" s="23" t="s">
        <v>153</v>
      </c>
      <c r="P6" s="68">
        <v>85</v>
      </c>
      <c r="Q6" s="31"/>
      <c r="R6" s="31"/>
      <c r="S6" s="8"/>
    </row>
    <row r="7" spans="2:24" s="30" customFormat="1" x14ac:dyDescent="0.25">
      <c r="B7" s="23" t="s">
        <v>154</v>
      </c>
      <c r="C7" s="68">
        <v>85</v>
      </c>
      <c r="D7" s="31"/>
      <c r="E7" s="8"/>
      <c r="M7" s="27"/>
      <c r="O7" s="23" t="s">
        <v>154</v>
      </c>
      <c r="P7" s="68">
        <v>85</v>
      </c>
      <c r="Q7" s="31"/>
      <c r="R7" s="31"/>
      <c r="S7" s="8"/>
    </row>
    <row r="8" spans="2:24" x14ac:dyDescent="0.25">
      <c r="B8" s="23" t="s">
        <v>123</v>
      </c>
      <c r="C8" s="31">
        <v>2.9541474120000002</v>
      </c>
      <c r="D8" s="31" t="s">
        <v>114</v>
      </c>
      <c r="E8" s="8"/>
      <c r="O8" s="23" t="s">
        <v>123</v>
      </c>
      <c r="P8" s="31">
        <v>2.9541474120000002</v>
      </c>
      <c r="Q8" s="31" t="s">
        <v>114</v>
      </c>
      <c r="R8" s="31"/>
      <c r="S8" s="8"/>
      <c r="T8" s="30"/>
      <c r="U8" s="30"/>
      <c r="V8" s="30"/>
      <c r="W8" s="30"/>
      <c r="X8" s="30"/>
    </row>
    <row r="9" spans="2:24" x14ac:dyDescent="0.25">
      <c r="B9" s="23" t="s">
        <v>124</v>
      </c>
      <c r="C9" s="31">
        <v>0.57599999999999996</v>
      </c>
      <c r="D9" s="31" t="s">
        <v>114</v>
      </c>
      <c r="E9" s="8"/>
      <c r="O9" s="23" t="s">
        <v>124</v>
      </c>
      <c r="P9" s="31">
        <v>0.57599999999999996</v>
      </c>
      <c r="Q9" s="31" t="s">
        <v>114</v>
      </c>
      <c r="R9" s="31"/>
      <c r="S9" s="8"/>
      <c r="T9" s="30"/>
      <c r="U9" s="30"/>
      <c r="V9" s="30"/>
      <c r="W9" s="30"/>
      <c r="X9" s="30"/>
    </row>
    <row r="10" spans="2:24" s="30" customFormat="1" ht="15.75" thickBot="1" x14ac:dyDescent="0.3">
      <c r="B10" s="24" t="s">
        <v>136</v>
      </c>
      <c r="C10" s="11">
        <f>C4*C3</f>
        <v>60.175995151515153</v>
      </c>
      <c r="D10" s="11" t="s">
        <v>120</v>
      </c>
      <c r="E10" s="13"/>
      <c r="M10" s="27"/>
      <c r="O10" s="24" t="s">
        <v>136</v>
      </c>
      <c r="P10" s="11">
        <f>P4*P3</f>
        <v>372115.63030000002</v>
      </c>
      <c r="Q10" s="11" t="s">
        <v>120</v>
      </c>
      <c r="R10" s="11"/>
      <c r="S10" s="13"/>
    </row>
    <row r="11" spans="2:24" s="30" customFormat="1" x14ac:dyDescent="0.25">
      <c r="M11" s="27"/>
    </row>
    <row r="12" spans="2:24" s="30" customFormat="1" ht="15.75" thickBot="1" x14ac:dyDescent="0.3">
      <c r="M12" s="27"/>
    </row>
    <row r="13" spans="2:24" x14ac:dyDescent="0.25">
      <c r="B13" s="40" t="s">
        <v>135</v>
      </c>
      <c r="C13" s="41"/>
      <c r="D13" s="41"/>
      <c r="E13" s="21"/>
      <c r="F13" s="21"/>
      <c r="G13" s="21"/>
      <c r="H13" s="22"/>
      <c r="J13" s="20" t="s">
        <v>166</v>
      </c>
      <c r="K13" s="22" t="s">
        <v>167</v>
      </c>
      <c r="O13" s="40" t="s">
        <v>135</v>
      </c>
      <c r="P13" s="41"/>
      <c r="Q13" s="41"/>
      <c r="R13" s="21"/>
      <c r="S13" s="21"/>
      <c r="T13" s="21"/>
      <c r="U13" s="22"/>
      <c r="V13" s="30"/>
      <c r="W13" s="20" t="s">
        <v>166</v>
      </c>
      <c r="X13" s="22" t="s">
        <v>167</v>
      </c>
    </row>
    <row r="14" spans="2:24" ht="15.75" thickBot="1" x14ac:dyDescent="0.3">
      <c r="B14" s="23" t="s">
        <v>140</v>
      </c>
      <c r="C14" s="31">
        <f>C8*(C5/100)*C10</f>
        <v>151.10344629016708</v>
      </c>
      <c r="D14" s="31" t="s">
        <v>125</v>
      </c>
      <c r="E14" s="31"/>
      <c r="F14" s="31" t="s">
        <v>146</v>
      </c>
      <c r="G14" s="31">
        <f xml:space="preserve"> C17+C16+C10</f>
        <v>73.554661811485246</v>
      </c>
      <c r="H14" s="8" t="s">
        <v>150</v>
      </c>
      <c r="J14" s="24">
        <f>(C10)*C8*C2*0.85</f>
        <v>8.5031497715415192</v>
      </c>
      <c r="K14" s="13">
        <f>(C10)*C3*C9/3.6*0.85</f>
        <v>4.8755168884285753</v>
      </c>
      <c r="O14" s="23" t="s">
        <v>140</v>
      </c>
      <c r="P14" s="31">
        <f>P8*(P5/100)*P10</f>
        <v>934391.76228316978</v>
      </c>
      <c r="Q14" s="31" t="s">
        <v>125</v>
      </c>
      <c r="R14" s="31"/>
      <c r="S14" s="31" t="s">
        <v>146</v>
      </c>
      <c r="T14" s="31">
        <f xml:space="preserve"> P17+P16+P10</f>
        <v>443340.91706354957</v>
      </c>
      <c r="U14" s="8" t="s">
        <v>150</v>
      </c>
      <c r="V14" s="30"/>
      <c r="W14" s="24">
        <f>(P10)*P8*P2*0.85</f>
        <v>52581.680266450967</v>
      </c>
      <c r="X14" s="13">
        <f>(P10)*P3*P9/3.6*0.85</f>
        <v>18643.606497098564</v>
      </c>
    </row>
    <row r="15" spans="2:24" x14ac:dyDescent="0.25">
      <c r="B15" s="23" t="s">
        <v>141</v>
      </c>
      <c r="C15" s="31">
        <f>C9*(C5/100)*C10</f>
        <v>29.462167226181815</v>
      </c>
      <c r="D15" s="31" t="s">
        <v>125</v>
      </c>
      <c r="E15" s="31"/>
      <c r="F15" s="31" t="s">
        <v>147</v>
      </c>
      <c r="G15" s="31">
        <f>(C10*(100-C5)/100)+C17+C16</f>
        <v>22.405065932697369</v>
      </c>
      <c r="H15" s="8" t="s">
        <v>150</v>
      </c>
      <c r="I15" s="25"/>
      <c r="O15" s="23" t="s">
        <v>141</v>
      </c>
      <c r="P15" s="31">
        <f>P9*(P5/100)*P10</f>
        <v>182187.81259487997</v>
      </c>
      <c r="Q15" s="31" t="s">
        <v>125</v>
      </c>
      <c r="R15" s="31"/>
      <c r="S15" s="31" t="s">
        <v>147</v>
      </c>
      <c r="T15" s="31">
        <f>(P10*(100-P5)/100)+P17+P16</f>
        <v>127042.63130854952</v>
      </c>
      <c r="U15" s="8" t="s">
        <v>150</v>
      </c>
      <c r="V15" s="25"/>
      <c r="W15" s="30"/>
      <c r="X15" s="30"/>
    </row>
    <row r="16" spans="2:24" ht="15.75" thickBot="1" x14ac:dyDescent="0.3">
      <c r="B16" s="23" t="s">
        <v>142</v>
      </c>
      <c r="C16" s="31">
        <f>C14*C2</f>
        <v>8.5031497715415192</v>
      </c>
      <c r="D16" s="31" t="s">
        <v>120</v>
      </c>
      <c r="E16" s="31"/>
      <c r="F16" s="31" t="s">
        <v>148</v>
      </c>
      <c r="G16" s="31">
        <f>C10*(C5/100)</f>
        <v>51.149595878787878</v>
      </c>
      <c r="H16" s="8" t="s">
        <v>150</v>
      </c>
      <c r="O16" s="23" t="s">
        <v>142</v>
      </c>
      <c r="P16" s="31">
        <f>P14*P2</f>
        <v>52581.680266450967</v>
      </c>
      <c r="Q16" s="31" t="s">
        <v>120</v>
      </c>
      <c r="R16" s="31"/>
      <c r="S16" s="31" t="s">
        <v>148</v>
      </c>
      <c r="T16" s="31">
        <f>P10*(P5/100)</f>
        <v>316298.28575500002</v>
      </c>
      <c r="U16" s="8" t="s">
        <v>150</v>
      </c>
      <c r="V16" s="30"/>
      <c r="W16" s="30"/>
      <c r="X16" s="30"/>
    </row>
    <row r="17" spans="2:24" x14ac:dyDescent="0.25">
      <c r="B17" s="23" t="s">
        <v>143</v>
      </c>
      <c r="C17" s="31">
        <f>C15/3.6*C3</f>
        <v>4.8755168884285744</v>
      </c>
      <c r="D17" s="31" t="s">
        <v>120</v>
      </c>
      <c r="E17" s="31"/>
      <c r="F17" s="31" t="s">
        <v>151</v>
      </c>
      <c r="G17" s="31">
        <f>C10-C16-C17</f>
        <v>46.797328491545059</v>
      </c>
      <c r="H17" s="8" t="s">
        <v>150</v>
      </c>
      <c r="J17" s="56" t="s">
        <v>168</v>
      </c>
      <c r="O17" s="23" t="s">
        <v>143</v>
      </c>
      <c r="P17" s="31">
        <f>P15/3.6*P3</f>
        <v>18643.606497098564</v>
      </c>
      <c r="Q17" s="31" t="s">
        <v>120</v>
      </c>
      <c r="R17" s="31"/>
      <c r="S17" s="31" t="s">
        <v>151</v>
      </c>
      <c r="T17" s="31">
        <f>P10-P16-P17</f>
        <v>300890.34353645047</v>
      </c>
      <c r="U17" s="8" t="s">
        <v>150</v>
      </c>
      <c r="V17" s="30"/>
      <c r="W17" s="56" t="s">
        <v>168</v>
      </c>
      <c r="X17" s="30"/>
    </row>
    <row r="18" spans="2:24" ht="15.75" thickBot="1" x14ac:dyDescent="0.3">
      <c r="B18" s="24"/>
      <c r="C18" s="11"/>
      <c r="D18" s="11"/>
      <c r="E18" s="11"/>
      <c r="F18" s="11" t="s">
        <v>149</v>
      </c>
      <c r="G18" s="11">
        <f>G16/(C17+C16+C10)*100</f>
        <v>69.539570462413693</v>
      </c>
      <c r="H18" s="13" t="s">
        <v>126</v>
      </c>
      <c r="J18" s="57">
        <v>51.1496</v>
      </c>
      <c r="O18" s="24"/>
      <c r="P18" s="11"/>
      <c r="Q18" s="11"/>
      <c r="R18" s="11"/>
      <c r="S18" s="11" t="s">
        <v>149</v>
      </c>
      <c r="T18" s="11">
        <f>T16/(P17+P16+P10)*100</f>
        <v>71.34425756368006</v>
      </c>
      <c r="U18" s="13" t="s">
        <v>126</v>
      </c>
      <c r="V18" s="30"/>
      <c r="W18" s="57"/>
    </row>
    <row r="19" spans="2:24" ht="15.75" thickBot="1" x14ac:dyDescent="0.3">
      <c r="O19" s="30"/>
      <c r="P19" s="30"/>
      <c r="Q19" s="30"/>
      <c r="R19" s="30"/>
      <c r="S19" s="30"/>
      <c r="T19" s="30"/>
      <c r="U19" s="30"/>
      <c r="V19" s="30"/>
    </row>
    <row r="20" spans="2:24" x14ac:dyDescent="0.25">
      <c r="B20" s="42" t="s">
        <v>155</v>
      </c>
      <c r="C20" s="43"/>
      <c r="D20" s="43"/>
      <c r="E20" s="21"/>
      <c r="F20" s="21"/>
      <c r="G20" s="21"/>
      <c r="H20" s="22"/>
      <c r="J20" s="20" t="s">
        <v>166</v>
      </c>
      <c r="K20" s="22" t="s">
        <v>167</v>
      </c>
      <c r="O20" s="42" t="s">
        <v>155</v>
      </c>
      <c r="P20" s="43"/>
      <c r="Q20" s="43"/>
      <c r="R20" s="21"/>
      <c r="S20" s="21"/>
      <c r="T20" s="21"/>
      <c r="U20" s="22"/>
      <c r="V20" s="30"/>
      <c r="W20" s="20" t="s">
        <v>166</v>
      </c>
      <c r="X20" s="22" t="s">
        <v>167</v>
      </c>
    </row>
    <row r="21" spans="2:24" ht="15.75" thickBot="1" x14ac:dyDescent="0.3">
      <c r="B21" s="23" t="s">
        <v>158</v>
      </c>
      <c r="C21" s="31">
        <f>C2*C8*(C5/100)*C10</f>
        <v>8.503149771541521</v>
      </c>
      <c r="D21" s="31" t="s">
        <v>157</v>
      </c>
      <c r="E21" s="31"/>
      <c r="F21" s="31" t="s">
        <v>146</v>
      </c>
      <c r="G21" s="31">
        <f>C24+C23+C10</f>
        <v>75.756220589925277</v>
      </c>
      <c r="H21" s="8" t="s">
        <v>150</v>
      </c>
      <c r="J21" s="24">
        <f>(C23+C10)*C8*C2*0.85</f>
        <v>9.9024061025135452</v>
      </c>
      <c r="K21" s="13">
        <f>(C23+C10)*C3*C9/3.6*0.85</f>
        <v>5.6778193358965732</v>
      </c>
      <c r="O21" s="23" t="s">
        <v>158</v>
      </c>
      <c r="P21" s="31">
        <f>P2*P8*(P5/100)*P10</f>
        <v>52581.680266450981</v>
      </c>
      <c r="Q21" s="31" t="s">
        <v>157</v>
      </c>
      <c r="R21" s="31"/>
      <c r="S21" s="31" t="s">
        <v>146</v>
      </c>
      <c r="T21" s="31">
        <f>P24+P23+P10</f>
        <v>455061.56601210113</v>
      </c>
      <c r="U21" s="8" t="s">
        <v>150</v>
      </c>
      <c r="V21" s="30"/>
      <c r="W21" s="24">
        <f>(P23+P10)*P8*P2*0.85</f>
        <v>61234.385555992158</v>
      </c>
      <c r="X21" s="13">
        <f>(P23+P10)*P3*P9/3.6*0.85</f>
        <v>21711.55015610894</v>
      </c>
    </row>
    <row r="22" spans="2:24" x14ac:dyDescent="0.25">
      <c r="B22" s="23" t="s">
        <v>156</v>
      </c>
      <c r="C22" s="31">
        <f>C8*C2*(C7/100)</f>
        <v>0.14130468054797798</v>
      </c>
      <c r="D22" s="31" t="s">
        <v>157</v>
      </c>
      <c r="E22" s="31"/>
      <c r="F22" s="31" t="s">
        <v>147</v>
      </c>
      <c r="G22" s="31">
        <f>C24+(C23*(1-C7/100))+(C10*(1-C5/100))</f>
        <v>16.18957952400088</v>
      </c>
      <c r="H22" s="8" t="s">
        <v>150</v>
      </c>
      <c r="O22" s="23" t="s">
        <v>156</v>
      </c>
      <c r="P22" s="31">
        <f>P8*P2*(P7/100)</f>
        <v>0.14130468054797798</v>
      </c>
      <c r="Q22" s="31" t="s">
        <v>157</v>
      </c>
      <c r="R22" s="31"/>
      <c r="S22" s="31" t="s">
        <v>147</v>
      </c>
      <c r="T22" s="31">
        <f>P24+(P23*(1-P7/100))+(P10*(1-P5/100))</f>
        <v>86714.052534507791</v>
      </c>
      <c r="U22" s="8" t="s">
        <v>150</v>
      </c>
      <c r="V22" s="25"/>
      <c r="W22" s="30"/>
      <c r="X22" s="30"/>
    </row>
    <row r="23" spans="2:24" ht="15.75" thickBot="1" x14ac:dyDescent="0.3">
      <c r="B23" s="23" t="s">
        <v>142</v>
      </c>
      <c r="C23" s="31">
        <f>C21/(1-C22)</f>
        <v>9.9024061025135452</v>
      </c>
      <c r="D23" s="31" t="s">
        <v>120</v>
      </c>
      <c r="E23" s="31"/>
      <c r="F23" s="31" t="s">
        <v>148</v>
      </c>
      <c r="G23" s="46">
        <f>(C10*C5/100)+(C23*C7/100)</f>
        <v>59.566641065924394</v>
      </c>
      <c r="H23" s="8" t="s">
        <v>150</v>
      </c>
      <c r="O23" s="23" t="s">
        <v>142</v>
      </c>
      <c r="P23" s="31">
        <f>P21/(1-P22)</f>
        <v>61234.385555992172</v>
      </c>
      <c r="Q23" s="31" t="s">
        <v>120</v>
      </c>
      <c r="R23" s="31"/>
      <c r="S23" s="31" t="s">
        <v>148</v>
      </c>
      <c r="T23" s="46">
        <f>(P10*P5/100)+(P23*P7/100)</f>
        <v>368347.51347759337</v>
      </c>
      <c r="U23" s="8" t="s">
        <v>150</v>
      </c>
      <c r="V23" s="30"/>
      <c r="W23" s="30"/>
      <c r="X23" s="30"/>
    </row>
    <row r="24" spans="2:24" x14ac:dyDescent="0.25">
      <c r="B24" s="23" t="s">
        <v>143</v>
      </c>
      <c r="C24" s="31">
        <f>C3*C9*((C5/100*C10)+(C7/100*C23))/3.6</f>
        <v>5.6778193358965732</v>
      </c>
      <c r="D24" s="31" t="s">
        <v>120</v>
      </c>
      <c r="E24" s="31"/>
      <c r="F24" s="31" t="s">
        <v>151</v>
      </c>
      <c r="G24" s="31">
        <f>C10-C24-(C23*(100-C7)/100)</f>
        <v>53.012814900241551</v>
      </c>
      <c r="H24" s="8" t="s">
        <v>150</v>
      </c>
      <c r="J24" s="56" t="s">
        <v>168</v>
      </c>
      <c r="O24" s="23" t="s">
        <v>143</v>
      </c>
      <c r="P24" s="31">
        <f>P3*P9*((P5/100*P10)+(P7/100*P23))/3.6</f>
        <v>21711.55015610894</v>
      </c>
      <c r="Q24" s="31" t="s">
        <v>120</v>
      </c>
      <c r="R24" s="31"/>
      <c r="S24" s="31" t="s">
        <v>151</v>
      </c>
      <c r="T24" s="31">
        <f>P10-P24-(P23*(100-P7)/100)</f>
        <v>341218.92231049226</v>
      </c>
      <c r="U24" s="8" t="s">
        <v>150</v>
      </c>
      <c r="V24" s="30"/>
      <c r="W24" s="56" t="s">
        <v>168</v>
      </c>
      <c r="X24" s="30"/>
    </row>
    <row r="25" spans="2:24" ht="15.75" thickBot="1" x14ac:dyDescent="0.3">
      <c r="B25" s="24"/>
      <c r="C25" s="11"/>
      <c r="D25" s="11"/>
      <c r="E25" s="11"/>
      <c r="F25" s="11" t="s">
        <v>149</v>
      </c>
      <c r="G25" s="11">
        <f>G23/(C24+C23+C10)*100</f>
        <v>78.629372745986856</v>
      </c>
      <c r="H25" s="13" t="s">
        <v>126</v>
      </c>
      <c r="J25" s="57">
        <v>59.566645000000001</v>
      </c>
      <c r="O25" s="24"/>
      <c r="P25" s="11"/>
      <c r="Q25" s="11"/>
      <c r="R25" s="11"/>
      <c r="S25" s="11" t="s">
        <v>149</v>
      </c>
      <c r="T25" s="11">
        <f>T23/(P24+P23+P10)*100</f>
        <v>80.944544867979062</v>
      </c>
      <c r="U25" s="13" t="s">
        <v>126</v>
      </c>
      <c r="V25" s="30"/>
      <c r="W25" s="57"/>
    </row>
    <row r="26" spans="2:24" ht="15.75" thickBot="1" x14ac:dyDescent="0.3">
      <c r="O26" s="30"/>
      <c r="P26" s="30"/>
      <c r="Q26" s="30"/>
      <c r="R26" s="30"/>
      <c r="S26" s="30"/>
      <c r="T26" s="30"/>
      <c r="U26" s="30"/>
      <c r="V26" s="30"/>
    </row>
    <row r="27" spans="2:24" x14ac:dyDescent="0.25">
      <c r="B27" s="44" t="s">
        <v>159</v>
      </c>
      <c r="C27" s="45"/>
      <c r="D27" s="45"/>
      <c r="E27" s="21"/>
      <c r="F27" s="21"/>
      <c r="G27" s="21"/>
      <c r="H27" s="22"/>
      <c r="J27" s="20" t="s">
        <v>166</v>
      </c>
      <c r="K27" s="22" t="s">
        <v>167</v>
      </c>
      <c r="O27" s="44" t="s">
        <v>159</v>
      </c>
      <c r="P27" s="45"/>
      <c r="Q27" s="45"/>
      <c r="R27" s="21"/>
      <c r="S27" s="21"/>
      <c r="T27" s="21"/>
      <c r="U27" s="22"/>
      <c r="V27" s="30"/>
      <c r="W27" s="20" t="s">
        <v>166</v>
      </c>
      <c r="X27" s="22" t="s">
        <v>167</v>
      </c>
    </row>
    <row r="28" spans="2:24" ht="15.75" thickBot="1" x14ac:dyDescent="0.3">
      <c r="B28" s="23" t="s">
        <v>158</v>
      </c>
      <c r="C28" s="31">
        <f xml:space="preserve"> C2*C8*(C5/100)*C10</f>
        <v>8.503149771541521</v>
      </c>
      <c r="D28" s="31" t="s">
        <v>157</v>
      </c>
      <c r="E28" s="31"/>
      <c r="F28" s="31" t="s">
        <v>146</v>
      </c>
      <c r="G28" s="31">
        <f>C32+C33+C10</f>
        <v>74.734179915018188</v>
      </c>
      <c r="H28" s="8" t="s">
        <v>150</v>
      </c>
      <c r="J28" s="24">
        <f>(C33+C10)*C8*C2*0.85</f>
        <v>9.2528223172066664</v>
      </c>
      <c r="K28" s="13">
        <f>(C33+C10)*C3*C9/3.6*0.85</f>
        <v>5.3053624462963693</v>
      </c>
      <c r="O28" s="23" t="s">
        <v>158</v>
      </c>
      <c r="P28" s="31">
        <f xml:space="preserve"> P2*P8*(P5/100)*P10</f>
        <v>52581.680266450981</v>
      </c>
      <c r="Q28" s="31" t="s">
        <v>157</v>
      </c>
      <c r="R28" s="31"/>
      <c r="S28" s="31" t="s">
        <v>146</v>
      </c>
      <c r="T28" s="31">
        <f>P32+P33+P10</f>
        <v>447097.63932059321</v>
      </c>
      <c r="U28" s="8" t="s">
        <v>150</v>
      </c>
      <c r="V28" s="30"/>
      <c r="W28" s="24">
        <f>(P33+P10)*P8*P2*0.85</f>
        <v>55355.060024478436</v>
      </c>
      <c r="X28" s="13">
        <f>(P33+P10)*P3*P9/3.6*0.85</f>
        <v>19626.948996114759</v>
      </c>
    </row>
    <row r="29" spans="2:24" x14ac:dyDescent="0.25">
      <c r="B29" s="23" t="s">
        <v>160</v>
      </c>
      <c r="C29" s="31">
        <f>C8*C2*(C6/100)</f>
        <v>0.14130468054797798</v>
      </c>
      <c r="D29" s="31" t="s">
        <v>157</v>
      </c>
      <c r="E29" s="31"/>
      <c r="F29" s="31" t="s">
        <v>147</v>
      </c>
      <c r="G29" s="31">
        <f>C32+(C33*(1-C6/100))+(C10*(1-C5/100))</f>
        <v>19.075025956878399</v>
      </c>
      <c r="H29" s="8" t="s">
        <v>150</v>
      </c>
      <c r="I29" s="25"/>
      <c r="O29" s="23" t="s">
        <v>160</v>
      </c>
      <c r="P29" s="31">
        <f>P8*P2*(P6/100)</f>
        <v>0.14130468054797798</v>
      </c>
      <c r="Q29" s="31" t="s">
        <v>157</v>
      </c>
      <c r="R29" s="31"/>
      <c r="S29" s="31" t="s">
        <v>147</v>
      </c>
      <c r="T29" s="31">
        <f>P32+(P33*(1-P6/100))+(P10*(1-P5/100))</f>
        <v>114116.44691889567</v>
      </c>
      <c r="U29" s="8" t="s">
        <v>150</v>
      </c>
      <c r="V29" s="25"/>
      <c r="W29" s="30"/>
      <c r="X29" s="30"/>
    </row>
    <row r="30" spans="2:24" x14ac:dyDescent="0.25">
      <c r="B30" s="23" t="s">
        <v>161</v>
      </c>
      <c r="C30" s="31">
        <f>C3*C9*C5/100*C10/3.6</f>
        <v>4.8755168884285753</v>
      </c>
      <c r="D30" s="31" t="s">
        <v>157</v>
      </c>
      <c r="E30" s="31"/>
      <c r="F30" s="31" t="s">
        <v>148</v>
      </c>
      <c r="G30" s="31">
        <f>(C10*C5/100)+(C33*C6/100)</f>
        <v>55.65915395813979</v>
      </c>
      <c r="H30" s="8" t="s">
        <v>150</v>
      </c>
      <c r="O30" s="23" t="s">
        <v>161</v>
      </c>
      <c r="P30" s="31">
        <f>P3*P9*P5/100*P10/3.6</f>
        <v>18643.606497098564</v>
      </c>
      <c r="Q30" s="31" t="s">
        <v>157</v>
      </c>
      <c r="R30" s="31"/>
      <c r="S30" s="31" t="s">
        <v>148</v>
      </c>
      <c r="T30" s="31">
        <f>(P10*P5/100)+(P33*P6/100)</f>
        <v>332981.19240169757</v>
      </c>
      <c r="U30" s="8" t="s">
        <v>150</v>
      </c>
      <c r="V30" s="30"/>
      <c r="W30" s="30"/>
      <c r="X30" s="30"/>
    </row>
    <row r="31" spans="2:24" ht="15.75" thickBot="1" x14ac:dyDescent="0.3">
      <c r="B31" s="23" t="s">
        <v>162</v>
      </c>
      <c r="C31" s="31">
        <f>C9*C3*C6/100/3.6</f>
        <v>8.102095987199999E-2</v>
      </c>
      <c r="D31" s="31" t="s">
        <v>157</v>
      </c>
      <c r="E31" s="31"/>
      <c r="F31" s="31" t="s">
        <v>151</v>
      </c>
      <c r="G31" s="31">
        <f>C10-C32-(C33*(100-C6)/100)</f>
        <v>50.127368467364036</v>
      </c>
      <c r="H31" s="8" t="s">
        <v>150</v>
      </c>
      <c r="O31" s="23" t="s">
        <v>162</v>
      </c>
      <c r="P31" s="31">
        <f>P9*P3*P6/100/3.6</f>
        <v>5.0101648463591997E-2</v>
      </c>
      <c r="Q31" s="31" t="s">
        <v>157</v>
      </c>
      <c r="R31" s="31"/>
      <c r="S31" s="31" t="s">
        <v>151</v>
      </c>
      <c r="T31" s="31">
        <f>P10-P32-(P33*(100-P6)/100)</f>
        <v>313816.52792610438</v>
      </c>
      <c r="U31" s="8" t="s">
        <v>150</v>
      </c>
      <c r="V31" s="30"/>
      <c r="W31" s="30"/>
      <c r="X31" s="30"/>
    </row>
    <row r="32" spans="2:24" x14ac:dyDescent="0.25">
      <c r="B32" s="23" t="s">
        <v>142</v>
      </c>
      <c r="C32" s="31">
        <f>C28+(C29*C33)</f>
        <v>9.2528223172066681</v>
      </c>
      <c r="D32" s="25" t="s">
        <v>120</v>
      </c>
      <c r="E32" s="31"/>
      <c r="F32" s="31" t="s">
        <v>149</v>
      </c>
      <c r="G32" s="31">
        <f>G30/(C33+C32+C10)*100</f>
        <v>74.476168764320406</v>
      </c>
      <c r="H32" s="8" t="s">
        <v>126</v>
      </c>
      <c r="J32" s="56" t="s">
        <v>168</v>
      </c>
      <c r="O32" s="23" t="s">
        <v>142</v>
      </c>
      <c r="P32" s="31">
        <f>P28+(P29*P33)</f>
        <v>55355.060024478436</v>
      </c>
      <c r="Q32" s="25" t="s">
        <v>120</v>
      </c>
      <c r="R32" s="31"/>
      <c r="S32" s="31" t="s">
        <v>149</v>
      </c>
      <c r="T32" s="31">
        <f>T30/(P33+P32+P10)*100</f>
        <v>74.476168764320406</v>
      </c>
      <c r="U32" s="8" t="s">
        <v>126</v>
      </c>
      <c r="V32" s="30"/>
      <c r="W32" s="56" t="s">
        <v>168</v>
      </c>
      <c r="X32" s="30"/>
    </row>
    <row r="33" spans="2:24" ht="15.75" thickBot="1" x14ac:dyDescent="0.3">
      <c r="B33" s="24" t="s">
        <v>143</v>
      </c>
      <c r="C33" s="11">
        <f>(C30/(1-C31))</f>
        <v>5.3053624462963693</v>
      </c>
      <c r="D33" s="11" t="s">
        <v>120</v>
      </c>
      <c r="E33" s="11"/>
      <c r="F33" s="11"/>
      <c r="G33" s="11"/>
      <c r="H33" s="13"/>
      <c r="J33" s="57">
        <v>55.659158439999999</v>
      </c>
      <c r="O33" s="24" t="s">
        <v>143</v>
      </c>
      <c r="P33" s="11">
        <f>(P30/(1-P31))</f>
        <v>19626.948996114756</v>
      </c>
      <c r="Q33" s="11" t="s">
        <v>120</v>
      </c>
      <c r="R33" s="11"/>
      <c r="S33" s="11"/>
      <c r="T33" s="11"/>
      <c r="U33" s="13"/>
      <c r="V33" s="30"/>
      <c r="W33" s="57"/>
      <c r="X33" s="30"/>
    </row>
    <row r="34" spans="2:24" ht="15.75" thickBot="1" x14ac:dyDescent="0.3">
      <c r="O34" s="30"/>
      <c r="P34" s="30"/>
      <c r="Q34" s="30"/>
      <c r="R34" s="30"/>
      <c r="S34" s="30"/>
      <c r="T34" s="30"/>
      <c r="U34" s="30"/>
      <c r="V34" s="30"/>
    </row>
    <row r="35" spans="2:24" x14ac:dyDescent="0.25">
      <c r="B35" s="33" t="s">
        <v>163</v>
      </c>
      <c r="C35" s="34"/>
      <c r="D35" s="34"/>
      <c r="E35" s="21"/>
      <c r="F35" s="21"/>
      <c r="G35" s="21"/>
      <c r="H35" s="22"/>
      <c r="J35" s="20" t="s">
        <v>166</v>
      </c>
      <c r="K35" s="22" t="s">
        <v>167</v>
      </c>
      <c r="O35" s="33" t="s">
        <v>163</v>
      </c>
      <c r="P35" s="34"/>
      <c r="Q35" s="34"/>
      <c r="R35" s="21"/>
      <c r="S35" s="21"/>
      <c r="T35" s="21"/>
      <c r="U35" s="22"/>
      <c r="V35" s="30"/>
      <c r="W35" s="20" t="s">
        <v>166</v>
      </c>
      <c r="X35" s="22" t="s">
        <v>167</v>
      </c>
    </row>
    <row r="36" spans="2:24" ht="15.75" thickBot="1" x14ac:dyDescent="0.3">
      <c r="B36" s="23" t="s">
        <v>158</v>
      </c>
      <c r="C36" s="47">
        <f>C2*C8*C5/100*C10</f>
        <v>8.5031497715415192</v>
      </c>
      <c r="D36" s="31" t="s">
        <v>157</v>
      </c>
      <c r="E36" s="31"/>
      <c r="F36" s="31" t="s">
        <v>146</v>
      </c>
      <c r="G36" s="46">
        <f>C10+C42+C43</f>
        <v>77.379425475738714</v>
      </c>
      <c r="H36" s="8" t="s">
        <v>150</v>
      </c>
      <c r="J36" s="24">
        <f>G36*C8*C2*0.85</f>
        <v>10.934074997835326</v>
      </c>
      <c r="K36" s="13">
        <f>G36*C3*C9/3.6*0.85</f>
        <v>6.26935532638824</v>
      </c>
      <c r="O36" s="23" t="s">
        <v>158</v>
      </c>
      <c r="P36" s="47">
        <f>P2*P8*P5/100*P10</f>
        <v>52581.680266450967</v>
      </c>
      <c r="Q36" s="31" t="s">
        <v>157</v>
      </c>
      <c r="R36" s="31"/>
      <c r="S36" s="31" t="s">
        <v>146</v>
      </c>
      <c r="T36" s="46">
        <f>P10+P42+P43</f>
        <v>460201.0177066109</v>
      </c>
      <c r="U36" s="8" t="s">
        <v>150</v>
      </c>
      <c r="V36" s="30"/>
      <c r="W36" s="58">
        <f>T36*P8*P2*0.85</f>
        <v>65028.557794886998</v>
      </c>
      <c r="X36" s="13">
        <f>T36*P3*P9/3.6*0.85</f>
        <v>23056.829611723897</v>
      </c>
    </row>
    <row r="37" spans="2:24" x14ac:dyDescent="0.25">
      <c r="B37" s="23" t="s">
        <v>160</v>
      </c>
      <c r="C37" s="47">
        <f>C2*C8*C7/100</f>
        <v>0.14130468054797796</v>
      </c>
      <c r="D37" s="31" t="s">
        <v>157</v>
      </c>
      <c r="E37" s="31"/>
      <c r="F37" s="31" t="s">
        <v>147</v>
      </c>
      <c r="G37" s="46">
        <f>(C42*(1-C7/100))+(C43*(1-C6/100))+(C10*(1-C5/100))</f>
        <v>11.606913821360811</v>
      </c>
      <c r="H37" s="8" t="s">
        <v>150</v>
      </c>
      <c r="L37" s="25"/>
      <c r="O37" s="23" t="s">
        <v>160</v>
      </c>
      <c r="P37" s="47">
        <f>P2*P8*P7/100</f>
        <v>0.14130468054797796</v>
      </c>
      <c r="Q37" s="31" t="s">
        <v>157</v>
      </c>
      <c r="R37" s="31"/>
      <c r="S37" s="31" t="s">
        <v>147</v>
      </c>
      <c r="T37" s="46">
        <f>(P42*(1-P7/100))+(P43*(1-P6/100))+(P10*(1-P5/100))</f>
        <v>69030.152655991653</v>
      </c>
      <c r="U37" s="8" t="s">
        <v>150</v>
      </c>
      <c r="V37" s="25"/>
      <c r="W37" s="30"/>
      <c r="X37" s="30"/>
    </row>
    <row r="38" spans="2:24" x14ac:dyDescent="0.25">
      <c r="B38" s="23" t="s">
        <v>161</v>
      </c>
      <c r="C38" s="47">
        <f>C2*C8*C6/100</f>
        <v>0.14130468054797796</v>
      </c>
      <c r="D38" s="31" t="s">
        <v>157</v>
      </c>
      <c r="E38" s="31"/>
      <c r="F38" s="31" t="s">
        <v>148</v>
      </c>
      <c r="G38" s="46">
        <f>(C42*(C7/100))+(C43*(C6/100))+(C10*(C5/100))</f>
        <v>65.772511654377908</v>
      </c>
      <c r="H38" s="8" t="s">
        <v>150</v>
      </c>
      <c r="O38" s="23" t="s">
        <v>161</v>
      </c>
      <c r="P38" s="47">
        <f>P2*P8*P6/100</f>
        <v>0.14130468054797796</v>
      </c>
      <c r="Q38" s="31" t="s">
        <v>157</v>
      </c>
      <c r="R38" s="31"/>
      <c r="S38" s="31" t="s">
        <v>148</v>
      </c>
      <c r="T38" s="46">
        <f>(P42*(P7/100))+(P43*(P6/100))+(P10*(P5/100))</f>
        <v>391170.86505061929</v>
      </c>
      <c r="U38" s="8" t="s">
        <v>150</v>
      </c>
      <c r="V38" s="30"/>
      <c r="W38" s="30"/>
      <c r="X38" s="30"/>
    </row>
    <row r="39" spans="2:24" x14ac:dyDescent="0.25">
      <c r="B39" s="23" t="s">
        <v>162</v>
      </c>
      <c r="C39" s="47">
        <f>C9*C3*C5/100*C10/3.6</f>
        <v>4.8755168884285753</v>
      </c>
      <c r="D39" s="31" t="s">
        <v>157</v>
      </c>
      <c r="E39" s="31"/>
      <c r="F39" s="31" t="s">
        <v>151</v>
      </c>
      <c r="G39" s="46">
        <f>C10-(C42*(100-C7)/100)-(C43*(100-C6)/100)</f>
        <v>57.595480602881615</v>
      </c>
      <c r="H39" s="8" t="s">
        <v>150</v>
      </c>
      <c r="O39" s="23" t="s">
        <v>162</v>
      </c>
      <c r="P39" s="47">
        <f>P9*P3*P5/100*P10/3.6</f>
        <v>18643.606497098564</v>
      </c>
      <c r="Q39" s="31" t="s">
        <v>157</v>
      </c>
      <c r="R39" s="31"/>
      <c r="S39" s="31" t="s">
        <v>151</v>
      </c>
      <c r="T39" s="46">
        <f>P10-(P42*(100-P7)/100)-(P43*(100-P6)/100)</f>
        <v>358902.82218900841</v>
      </c>
      <c r="U39" s="8" t="s">
        <v>150</v>
      </c>
      <c r="V39" s="30"/>
      <c r="W39" s="30"/>
      <c r="X39" s="30"/>
    </row>
    <row r="40" spans="2:24" x14ac:dyDescent="0.25">
      <c r="B40" s="23" t="s">
        <v>164</v>
      </c>
      <c r="C40" s="47">
        <f>C3*C9*C7/100/3.6</f>
        <v>8.102095987199999E-2</v>
      </c>
      <c r="D40" s="31" t="s">
        <v>157</v>
      </c>
      <c r="E40" s="31"/>
      <c r="F40" s="31" t="s">
        <v>149</v>
      </c>
      <c r="G40" s="46">
        <f>G38/(C43+C42+C10)*100</f>
        <v>85</v>
      </c>
      <c r="H40" s="8" t="s">
        <v>126</v>
      </c>
      <c r="I40" s="36"/>
      <c r="O40" s="23" t="s">
        <v>164</v>
      </c>
      <c r="P40" s="47">
        <f>P3*P9*P7/100/3.6</f>
        <v>5.0101648463591997E-2</v>
      </c>
      <c r="Q40" s="31" t="s">
        <v>157</v>
      </c>
      <c r="R40" s="31"/>
      <c r="S40" s="31" t="s">
        <v>149</v>
      </c>
      <c r="T40" s="46">
        <f>T38/(P43+P42+P10)*100</f>
        <v>85.000000000000014</v>
      </c>
      <c r="U40" s="8" t="s">
        <v>126</v>
      </c>
      <c r="V40" s="36"/>
      <c r="W40" s="30"/>
      <c r="X40" s="30"/>
    </row>
    <row r="41" spans="2:24" ht="15.75" thickBot="1" x14ac:dyDescent="0.3">
      <c r="B41" s="23" t="s">
        <v>165</v>
      </c>
      <c r="C41" s="47">
        <f>C3*C9*C6/100/3.6</f>
        <v>8.102095987199999E-2</v>
      </c>
      <c r="D41" s="31" t="s">
        <v>157</v>
      </c>
      <c r="E41" s="31"/>
      <c r="F41" s="31"/>
      <c r="G41" s="31"/>
      <c r="H41" s="8"/>
      <c r="O41" s="23" t="s">
        <v>165</v>
      </c>
      <c r="P41" s="47">
        <f>P3*P9*P6/100/3.6</f>
        <v>5.0101648463591997E-2</v>
      </c>
      <c r="Q41" s="31" t="s">
        <v>157</v>
      </c>
      <c r="R41" s="31"/>
      <c r="S41" s="31"/>
      <c r="T41" s="31"/>
      <c r="U41" s="8"/>
      <c r="V41" s="30"/>
      <c r="W41" s="30"/>
      <c r="X41" s="30"/>
    </row>
    <row r="42" spans="2:24" x14ac:dyDescent="0.25">
      <c r="B42" s="23" t="s">
        <v>142</v>
      </c>
      <c r="C42" s="47">
        <f>((C36/(1-C37))+((C38*C39)/((1-C41)*(1-C37))))/(1-((C38*C40)/((1-C41)*(1-C37))))</f>
        <v>10.934074997835328</v>
      </c>
      <c r="D42" s="25" t="s">
        <v>120</v>
      </c>
      <c r="E42" s="31"/>
      <c r="F42" s="31"/>
      <c r="G42" s="31"/>
      <c r="H42" s="8"/>
      <c r="J42" s="54" t="s">
        <v>168</v>
      </c>
      <c r="K42" s="55" t="s">
        <v>168</v>
      </c>
      <c r="O42" s="23" t="s">
        <v>142</v>
      </c>
      <c r="P42" s="47">
        <f>((P36/(1-P37))+((P38*P39)/((1-P41)*(1-P37))))/(1-((P38*P40)/((1-P41)*(1-P37))))</f>
        <v>65028.557794886998</v>
      </c>
      <c r="Q42" s="25" t="s">
        <v>120</v>
      </c>
      <c r="R42" s="31"/>
      <c r="S42" s="31"/>
      <c r="T42" s="31"/>
      <c r="U42" s="8"/>
      <c r="V42" s="30"/>
      <c r="W42" s="54" t="s">
        <v>168</v>
      </c>
      <c r="X42" s="55" t="s">
        <v>168</v>
      </c>
    </row>
    <row r="43" spans="2:24" ht="15.75" thickBot="1" x14ac:dyDescent="0.3">
      <c r="B43" s="24" t="s">
        <v>143</v>
      </c>
      <c r="C43" s="48">
        <f>((C39+(C40*C42))/(1-C41))</f>
        <v>6.26935532638824</v>
      </c>
      <c r="D43" s="11" t="s">
        <v>120</v>
      </c>
      <c r="E43" s="11"/>
      <c r="F43" s="11"/>
      <c r="G43" s="11"/>
      <c r="H43" s="13"/>
      <c r="J43" s="24">
        <v>65.635978598999998</v>
      </c>
      <c r="K43" s="13">
        <v>58.823103879999998</v>
      </c>
      <c r="O43" s="24" t="s">
        <v>143</v>
      </c>
      <c r="P43" s="48">
        <f>((P39+(P40*P42))/(1-P41))</f>
        <v>23056.829611723897</v>
      </c>
      <c r="Q43" s="11" t="s">
        <v>120</v>
      </c>
      <c r="R43" s="11"/>
      <c r="S43" s="11"/>
      <c r="T43" s="11"/>
      <c r="U43" s="13"/>
      <c r="V43" s="30"/>
      <c r="W43" s="24"/>
      <c r="X43" s="13"/>
    </row>
  </sheetData>
  <mergeCells count="1">
    <mergeCell ref="R3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1"/>
  <sheetViews>
    <sheetView topLeftCell="A14" zoomScaleNormal="100" workbookViewId="0">
      <selection activeCell="J30" sqref="J30"/>
    </sheetView>
  </sheetViews>
  <sheetFormatPr defaultRowHeight="15" x14ac:dyDescent="0.25"/>
  <cols>
    <col min="2" max="2" width="15.85546875" bestFit="1" customWidth="1"/>
    <col min="3" max="7" width="18.28515625" customWidth="1"/>
    <col min="12" max="16" width="21.7109375" customWidth="1"/>
    <col min="17" max="17" width="15.42578125" customWidth="1"/>
    <col min="19" max="19" width="23.85546875" customWidth="1"/>
  </cols>
  <sheetData>
    <row r="1" spans="2:25" s="30" customFormat="1" ht="15.75" thickBot="1" x14ac:dyDescent="0.3"/>
    <row r="2" spans="2:25" ht="15.75" thickBot="1" x14ac:dyDescent="0.3">
      <c r="B2" s="33" t="s">
        <v>212</v>
      </c>
      <c r="C2" s="34"/>
      <c r="D2" s="70"/>
      <c r="E2" s="34"/>
      <c r="F2" s="70"/>
      <c r="G2" s="69"/>
      <c r="S2" s="30"/>
      <c r="T2" s="30"/>
      <c r="U2" s="30"/>
      <c r="V2" s="30"/>
      <c r="W2" s="30"/>
      <c r="X2" s="30"/>
      <c r="Y2" s="30"/>
    </row>
    <row r="3" spans="2:25" x14ac:dyDescent="0.25">
      <c r="B3" s="23"/>
      <c r="C3" s="31"/>
      <c r="D3" s="31" t="s">
        <v>207</v>
      </c>
      <c r="E3" s="31" t="s">
        <v>207</v>
      </c>
      <c r="F3" s="31" t="s">
        <v>207</v>
      </c>
      <c r="G3" s="8" t="s">
        <v>207</v>
      </c>
      <c r="S3" s="2"/>
      <c r="T3" s="66" t="s">
        <v>173</v>
      </c>
      <c r="U3" s="66" t="s">
        <v>186</v>
      </c>
      <c r="V3" s="66"/>
      <c r="W3" s="67"/>
      <c r="X3" s="30"/>
      <c r="Y3" s="30"/>
    </row>
    <row r="4" spans="2:25" x14ac:dyDescent="0.25">
      <c r="B4" s="23"/>
      <c r="C4" s="61" t="s">
        <v>117</v>
      </c>
      <c r="D4" s="31" t="s">
        <v>169</v>
      </c>
      <c r="E4" s="31" t="s">
        <v>170</v>
      </c>
      <c r="F4" s="31" t="s">
        <v>171</v>
      </c>
      <c r="G4" s="8" t="s">
        <v>172</v>
      </c>
      <c r="Q4" s="28"/>
      <c r="R4" s="28"/>
      <c r="S4" s="3" t="s">
        <v>174</v>
      </c>
      <c r="T4" s="31">
        <f>G12</f>
        <v>0.31764499999999901</v>
      </c>
      <c r="U4" s="31">
        <f>D12</f>
        <v>0.392942476540876</v>
      </c>
      <c r="V4" s="31"/>
      <c r="W4" s="8"/>
      <c r="X4" s="30"/>
      <c r="Y4" s="30"/>
    </row>
    <row r="5" spans="2:25" x14ac:dyDescent="0.25">
      <c r="B5" s="23" t="s">
        <v>132</v>
      </c>
      <c r="C5" s="31">
        <v>0</v>
      </c>
      <c r="D5" s="31">
        <v>0</v>
      </c>
      <c r="E5" s="31">
        <v>0</v>
      </c>
      <c r="F5" s="31">
        <v>0</v>
      </c>
      <c r="G5" s="8">
        <v>0</v>
      </c>
      <c r="S5" s="3" t="s">
        <v>175</v>
      </c>
      <c r="T5" s="31">
        <v>0.37369999999999998</v>
      </c>
      <c r="U5" s="31">
        <v>0.37369999999999998</v>
      </c>
      <c r="V5" s="31"/>
      <c r="W5" s="8"/>
      <c r="X5" s="30"/>
      <c r="Y5" s="30"/>
    </row>
    <row r="6" spans="2:25" x14ac:dyDescent="0.25">
      <c r="B6" s="23" t="s">
        <v>131</v>
      </c>
      <c r="C6" s="31">
        <v>0</v>
      </c>
      <c r="D6" s="31">
        <v>0</v>
      </c>
      <c r="E6" s="31">
        <v>0</v>
      </c>
      <c r="F6" s="31">
        <v>0</v>
      </c>
      <c r="G6" s="8">
        <v>0</v>
      </c>
      <c r="S6" s="3" t="s">
        <v>220</v>
      </c>
      <c r="T6" s="31">
        <v>1.8804583999999999E-2</v>
      </c>
      <c r="U6" s="31">
        <v>2.3262194611219901E-2</v>
      </c>
      <c r="V6" s="31"/>
      <c r="W6" s="8"/>
      <c r="X6" s="30"/>
      <c r="Y6" s="30"/>
    </row>
    <row r="7" spans="2:25" x14ac:dyDescent="0.25">
      <c r="B7" s="23" t="s">
        <v>133</v>
      </c>
      <c r="C7" s="31">
        <v>1.6000000000000001E-3</v>
      </c>
      <c r="D7" s="31">
        <v>2.3E-3</v>
      </c>
      <c r="E7" s="31">
        <v>2.2000000000000001E-3</v>
      </c>
      <c r="F7" s="31">
        <v>1.9E-3</v>
      </c>
      <c r="G7" s="8">
        <v>1.8E-3</v>
      </c>
      <c r="S7" s="3" t="s">
        <v>176</v>
      </c>
      <c r="T7" s="31">
        <v>5.2805559120779298E-2</v>
      </c>
      <c r="U7" s="31">
        <v>6.5323071907458702E-2</v>
      </c>
      <c r="V7" s="31"/>
      <c r="W7" s="8"/>
      <c r="X7" s="30"/>
      <c r="Y7" s="30"/>
    </row>
    <row r="8" spans="2:25" x14ac:dyDescent="0.25">
      <c r="B8" s="23" t="s">
        <v>134</v>
      </c>
      <c r="C8" s="31">
        <v>0.37369999999999998</v>
      </c>
      <c r="D8" s="31">
        <v>7.2989999999999999E-2</v>
      </c>
      <c r="E8" s="31">
        <v>0.117733</v>
      </c>
      <c r="F8" s="31">
        <v>9.0611999999999998E-2</v>
      </c>
      <c r="G8" s="8">
        <v>0.13061400000000001</v>
      </c>
      <c r="S8" s="3" t="s">
        <v>177</v>
      </c>
      <c r="T8" s="31">
        <f>G13</f>
        <v>65.092976995202093</v>
      </c>
      <c r="U8" s="31">
        <f>D13</f>
        <v>80.523211717209705</v>
      </c>
      <c r="V8" s="31"/>
      <c r="W8" s="8"/>
      <c r="X8" s="30"/>
      <c r="Y8" s="30"/>
    </row>
    <row r="9" spans="2:25" ht="15.75" thickBot="1" x14ac:dyDescent="0.3">
      <c r="B9" s="23" t="s">
        <v>121</v>
      </c>
      <c r="C9" s="31">
        <f>0.0152+0.0034+0.0366</f>
        <v>5.5199999999999999E-2</v>
      </c>
      <c r="D9" s="31">
        <f>0.0202+0.0047+0.0523</f>
        <v>7.7199999999999991E-2</v>
      </c>
      <c r="E9" s="31">
        <f>0.0194+0.0045+0.0488</f>
        <v>7.2700000000000001E-2</v>
      </c>
      <c r="F9" s="31">
        <f>0.0173+0.0039+0.0413</f>
        <v>6.25E-2</v>
      </c>
      <c r="G9" s="8">
        <f>0.017+0.0039+0.041</f>
        <v>6.1900000000000004E-2</v>
      </c>
      <c r="S9" s="10" t="s">
        <v>178</v>
      </c>
      <c r="T9" s="11">
        <f>G14</f>
        <v>0.24325245503106999</v>
      </c>
      <c r="U9" s="11">
        <f>D14</f>
        <v>0.300915242187212</v>
      </c>
      <c r="V9" s="11"/>
      <c r="W9" s="13"/>
      <c r="X9" s="30"/>
      <c r="Y9" s="30"/>
    </row>
    <row r="10" spans="2:25" x14ac:dyDescent="0.25">
      <c r="B10" s="23"/>
      <c r="C10" s="31">
        <f>SUM(C7:C9)</f>
        <v>0.43049999999999999</v>
      </c>
      <c r="D10" s="31">
        <f>SUM(D7:D9)</f>
        <v>0.15248999999999999</v>
      </c>
      <c r="E10" s="31">
        <f>SUM(E7:E9)</f>
        <v>0.192633</v>
      </c>
      <c r="F10" s="31">
        <f>SUM(F7:F9)</f>
        <v>0.15501199999999998</v>
      </c>
      <c r="G10" s="8">
        <f>SUM(G7:G9)</f>
        <v>0.19431400000000001</v>
      </c>
      <c r="S10" s="30"/>
      <c r="T10" s="30"/>
      <c r="U10" s="30"/>
      <c r="V10" s="30"/>
      <c r="W10" s="30"/>
      <c r="X10" s="30"/>
      <c r="Y10" s="30"/>
    </row>
    <row r="11" spans="2:25" x14ac:dyDescent="0.25">
      <c r="B11" s="23"/>
      <c r="C11" s="31"/>
      <c r="D11" s="31"/>
      <c r="E11" s="31"/>
      <c r="F11" s="31"/>
      <c r="G11" s="8"/>
      <c r="M11" s="30"/>
      <c r="N11" s="30"/>
      <c r="S11" s="30"/>
      <c r="T11" s="30"/>
      <c r="U11" s="30"/>
      <c r="V11" s="30"/>
      <c r="W11" s="30"/>
      <c r="X11" s="30"/>
      <c r="Y11" s="30"/>
    </row>
    <row r="12" spans="2:25" x14ac:dyDescent="0.25">
      <c r="B12" s="23" t="s">
        <v>208</v>
      </c>
      <c r="C12" s="31"/>
      <c r="D12" s="31">
        <v>0.392942476540876</v>
      </c>
      <c r="E12" s="31">
        <v>0.334475823435262</v>
      </c>
      <c r="F12" s="31">
        <v>0.369915839525151</v>
      </c>
      <c r="G12" s="8">
        <v>0.31764499999999901</v>
      </c>
      <c r="M12" s="30"/>
      <c r="N12" s="30"/>
      <c r="S12" s="30"/>
      <c r="T12" s="30"/>
      <c r="U12" s="30"/>
      <c r="V12" s="30"/>
      <c r="W12" s="30"/>
      <c r="X12" s="30"/>
      <c r="Y12" s="30"/>
    </row>
    <row r="13" spans="2:25" ht="15.75" thickBot="1" x14ac:dyDescent="0.3">
      <c r="B13" s="23" t="s">
        <v>209</v>
      </c>
      <c r="C13" s="31"/>
      <c r="D13" s="31">
        <v>80.523211717209705</v>
      </c>
      <c r="E13" s="31">
        <v>68.542010988124602</v>
      </c>
      <c r="F13" s="31">
        <v>75.804508910961999</v>
      </c>
      <c r="G13" s="8">
        <v>65.092976995202093</v>
      </c>
      <c r="M13" s="30"/>
      <c r="N13" s="30"/>
      <c r="S13" s="30"/>
      <c r="T13" s="30"/>
      <c r="U13" s="30"/>
      <c r="V13" s="30"/>
      <c r="W13" s="30"/>
      <c r="X13" s="30"/>
      <c r="Y13" s="30"/>
    </row>
    <row r="14" spans="2:25" ht="15.75" thickBot="1" x14ac:dyDescent="0.3">
      <c r="B14" s="24" t="s">
        <v>210</v>
      </c>
      <c r="C14" s="11"/>
      <c r="D14" s="11">
        <v>0.300915242187212</v>
      </c>
      <c r="E14" s="11">
        <v>0.25614149506262102</v>
      </c>
      <c r="F14" s="11">
        <v>0.28328144980026498</v>
      </c>
      <c r="G14" s="13">
        <v>0.24325245503106999</v>
      </c>
      <c r="M14" s="30"/>
      <c r="N14" s="30"/>
      <c r="S14" s="2"/>
      <c r="T14" s="66"/>
      <c r="U14" s="66" t="s">
        <v>181</v>
      </c>
      <c r="V14" s="66" t="s">
        <v>182</v>
      </c>
      <c r="W14" s="66" t="s">
        <v>179</v>
      </c>
      <c r="X14" s="66" t="s">
        <v>183</v>
      </c>
      <c r="Y14" s="67" t="s">
        <v>184</v>
      </c>
    </row>
    <row r="15" spans="2:25" x14ac:dyDescent="0.25">
      <c r="M15" s="30"/>
      <c r="N15" s="30"/>
      <c r="S15" s="3" t="s">
        <v>180</v>
      </c>
      <c r="T15" s="31">
        <f>T5</f>
        <v>0.37369999999999998</v>
      </c>
      <c r="U15" s="31">
        <f>T5</f>
        <v>0.37369999999999998</v>
      </c>
      <c r="V15" s="31"/>
      <c r="W15" s="31"/>
      <c r="X15" s="31"/>
      <c r="Y15" s="8"/>
    </row>
    <row r="16" spans="2:25" ht="15.75" thickBot="1" x14ac:dyDescent="0.3">
      <c r="M16" s="30"/>
      <c r="N16" s="30"/>
      <c r="S16" s="3" t="s">
        <v>192</v>
      </c>
      <c r="T16" s="31">
        <f>-T4</f>
        <v>-0.31764499999999901</v>
      </c>
      <c r="U16" s="31"/>
      <c r="V16" s="31"/>
      <c r="W16" s="31">
        <f>T15-X16</f>
        <v>5.6055000000000965E-2</v>
      </c>
      <c r="X16" s="31">
        <f>-1*T16</f>
        <v>0.31764499999999901</v>
      </c>
      <c r="Y16" s="8"/>
    </row>
    <row r="17" spans="2:25" x14ac:dyDescent="0.25">
      <c r="B17" s="33" t="s">
        <v>223</v>
      </c>
      <c r="C17" s="34"/>
      <c r="D17" s="34"/>
      <c r="E17" s="34"/>
      <c r="F17" s="34"/>
      <c r="G17" s="69"/>
      <c r="M17" s="30"/>
      <c r="N17" s="30"/>
      <c r="S17" s="3" t="s">
        <v>189</v>
      </c>
      <c r="T17" s="31">
        <f>T6</f>
        <v>1.8804583999999999E-2</v>
      </c>
      <c r="U17" s="31"/>
      <c r="V17" s="31"/>
      <c r="W17" s="31">
        <f>T15-X16</f>
        <v>5.6055000000000965E-2</v>
      </c>
      <c r="X17" s="31"/>
      <c r="Y17" s="8">
        <f>T17</f>
        <v>1.8804583999999999E-2</v>
      </c>
    </row>
    <row r="18" spans="2:25" x14ac:dyDescent="0.25">
      <c r="B18" s="23"/>
      <c r="C18" s="31"/>
      <c r="D18" s="31" t="s">
        <v>205</v>
      </c>
      <c r="E18" s="31" t="s">
        <v>205</v>
      </c>
      <c r="F18" s="31">
        <v>0.37</v>
      </c>
      <c r="G18" s="8">
        <v>0.37</v>
      </c>
      <c r="M18" s="30"/>
      <c r="N18" s="30"/>
      <c r="S18" s="3" t="s">
        <v>190</v>
      </c>
      <c r="T18" s="31">
        <f>T7</f>
        <v>5.2805559120779298E-2</v>
      </c>
      <c r="U18" s="31"/>
      <c r="V18" s="31"/>
      <c r="W18" s="31">
        <f>W17+Y17</f>
        <v>7.4859584000000964E-2</v>
      </c>
      <c r="X18" s="31"/>
      <c r="Y18" s="8">
        <f>T18</f>
        <v>5.2805559120779298E-2</v>
      </c>
    </row>
    <row r="19" spans="2:25" ht="15.75" thickBot="1" x14ac:dyDescent="0.3">
      <c r="B19" s="23" t="s">
        <v>110</v>
      </c>
      <c r="C19" s="31"/>
      <c r="D19" s="31" t="s">
        <v>206</v>
      </c>
      <c r="E19" s="31" t="s">
        <v>206</v>
      </c>
      <c r="F19" s="31" t="s">
        <v>205</v>
      </c>
      <c r="G19" s="8" t="s">
        <v>205</v>
      </c>
      <c r="M19" s="30"/>
      <c r="N19" s="30"/>
      <c r="S19" s="10" t="s">
        <v>185</v>
      </c>
      <c r="T19" s="11">
        <f>SUM(T15:T18)</f>
        <v>0.12766514312078026</v>
      </c>
      <c r="U19" s="11"/>
      <c r="V19" s="11">
        <f>T19</f>
        <v>0.12766514312078026</v>
      </c>
      <c r="W19" s="11">
        <f>W18+Y18</f>
        <v>0.12766514312078026</v>
      </c>
      <c r="X19" s="11"/>
      <c r="Y19" s="13"/>
    </row>
    <row r="20" spans="2:25" x14ac:dyDescent="0.25">
      <c r="B20" s="23" t="s">
        <v>194</v>
      </c>
      <c r="C20" s="31"/>
      <c r="D20" s="31"/>
      <c r="E20" s="31"/>
      <c r="F20" s="31" t="s">
        <v>211</v>
      </c>
      <c r="G20" s="8" t="s">
        <v>211</v>
      </c>
      <c r="H20" t="s">
        <v>122</v>
      </c>
      <c r="M20" s="30"/>
      <c r="N20" s="30"/>
      <c r="S20" s="30"/>
      <c r="T20" s="30"/>
      <c r="U20" s="30"/>
      <c r="V20" s="30"/>
      <c r="W20" s="30"/>
      <c r="X20" s="30"/>
      <c r="Y20" s="30"/>
    </row>
    <row r="21" spans="2:25" ht="15.75" thickBot="1" x14ac:dyDescent="0.3">
      <c r="B21" s="23" t="s">
        <v>195</v>
      </c>
      <c r="C21" s="31"/>
      <c r="D21" s="31"/>
      <c r="E21" s="31"/>
      <c r="F21" s="31"/>
      <c r="G21" s="8"/>
      <c r="M21" s="30"/>
      <c r="N21" s="30"/>
      <c r="S21" s="30"/>
      <c r="T21" s="30"/>
      <c r="U21" s="30"/>
      <c r="V21" s="30"/>
      <c r="W21" s="30"/>
      <c r="X21" s="30"/>
      <c r="Y21" s="30"/>
    </row>
    <row r="22" spans="2:25" x14ac:dyDescent="0.25">
      <c r="B22" s="23" t="s">
        <v>118</v>
      </c>
      <c r="C22" s="31"/>
      <c r="D22" s="31"/>
      <c r="E22" s="31"/>
      <c r="F22" s="31"/>
      <c r="G22" s="8"/>
      <c r="M22" s="30"/>
      <c r="N22" s="30"/>
      <c r="S22" s="2"/>
      <c r="T22" s="66"/>
      <c r="U22" s="66" t="s">
        <v>181</v>
      </c>
      <c r="V22" s="66" t="s">
        <v>182</v>
      </c>
      <c r="W22" s="66" t="s">
        <v>179</v>
      </c>
      <c r="X22" s="66" t="s">
        <v>183</v>
      </c>
      <c r="Y22" s="67" t="s">
        <v>184</v>
      </c>
    </row>
    <row r="23" spans="2:25" x14ac:dyDescent="0.25">
      <c r="B23" s="23" t="s">
        <v>196</v>
      </c>
      <c r="C23" s="31"/>
      <c r="D23" s="31"/>
      <c r="E23" s="31"/>
      <c r="F23" s="31"/>
      <c r="G23" s="8"/>
      <c r="M23" s="30"/>
      <c r="N23" s="30"/>
      <c r="S23" s="3" t="s">
        <v>180</v>
      </c>
      <c r="T23" s="31">
        <f>U5</f>
        <v>0.37369999999999998</v>
      </c>
      <c r="U23" s="31">
        <f>T23</f>
        <v>0.37369999999999998</v>
      </c>
      <c r="V23" s="31"/>
      <c r="W23" s="31"/>
      <c r="X23" s="31"/>
      <c r="Y23" s="8"/>
    </row>
    <row r="24" spans="2:25" x14ac:dyDescent="0.25">
      <c r="B24" s="23" t="s">
        <v>197</v>
      </c>
      <c r="C24" s="31"/>
      <c r="D24" s="31"/>
      <c r="E24" s="31"/>
      <c r="F24" s="31"/>
      <c r="G24" s="8"/>
      <c r="M24" s="30"/>
      <c r="N24" s="30"/>
      <c r="S24" s="3" t="s">
        <v>192</v>
      </c>
      <c r="T24" s="31">
        <f>T16</f>
        <v>-0.31764499999999901</v>
      </c>
      <c r="U24" s="31"/>
      <c r="V24" s="31"/>
      <c r="W24" s="31">
        <f>T23-X24</f>
        <v>5.6055000000000965E-2</v>
      </c>
      <c r="X24" s="31">
        <f>-1*T24</f>
        <v>0.31764499999999901</v>
      </c>
      <c r="Y24" s="8"/>
    </row>
    <row r="25" spans="2:25" x14ac:dyDescent="0.25">
      <c r="B25" s="23" t="s">
        <v>198</v>
      </c>
      <c r="C25" s="31"/>
      <c r="D25" s="31"/>
      <c r="E25" s="31"/>
      <c r="F25" s="31"/>
      <c r="G25" s="8"/>
      <c r="M25" s="30"/>
      <c r="N25" s="30"/>
      <c r="S25" s="3" t="s">
        <v>189</v>
      </c>
      <c r="T25" s="31">
        <f>U6</f>
        <v>2.3262194611219901E-2</v>
      </c>
      <c r="U25" s="31"/>
      <c r="V25" s="31"/>
      <c r="W25" s="31">
        <f>T23-X24</f>
        <v>5.6055000000000965E-2</v>
      </c>
      <c r="X25" s="31"/>
      <c r="Y25" s="8">
        <f>T25</f>
        <v>2.3262194611219901E-2</v>
      </c>
    </row>
    <row r="26" spans="2:25" x14ac:dyDescent="0.25">
      <c r="B26" s="23" t="s">
        <v>199</v>
      </c>
      <c r="C26" s="31"/>
      <c r="D26" s="31"/>
      <c r="E26" s="31"/>
      <c r="F26" s="31"/>
      <c r="G26" s="8"/>
      <c r="M26" s="30"/>
      <c r="N26" s="30"/>
      <c r="S26" s="3" t="s">
        <v>190</v>
      </c>
      <c r="T26" s="31">
        <f>U7</f>
        <v>6.5323071907458702E-2</v>
      </c>
      <c r="U26" s="31"/>
      <c r="V26" s="31"/>
      <c r="W26" s="31">
        <f>W25+Y25</f>
        <v>7.9317194611220859E-2</v>
      </c>
      <c r="X26" s="31"/>
      <c r="Y26" s="8">
        <f>T26</f>
        <v>6.5323071907458702E-2</v>
      </c>
    </row>
    <row r="27" spans="2:25" x14ac:dyDescent="0.25">
      <c r="B27" s="23" t="s">
        <v>200</v>
      </c>
      <c r="C27" s="31"/>
      <c r="D27" s="31"/>
      <c r="E27" s="31"/>
      <c r="F27" s="31"/>
      <c r="G27" s="8"/>
      <c r="M27" s="30"/>
      <c r="N27" s="30"/>
      <c r="S27" s="3" t="s">
        <v>188</v>
      </c>
      <c r="T27" s="31">
        <f>-X27</f>
        <v>-1.9772865419536916E-2</v>
      </c>
      <c r="U27" s="31"/>
      <c r="V27" s="31"/>
      <c r="W27" s="31">
        <f>W26+Y26-X27</f>
        <v>0.12486740109914264</v>
      </c>
      <c r="X27" s="31">
        <f>U6*0.85</f>
        <v>1.9772865419536916E-2</v>
      </c>
      <c r="Y27" s="8"/>
    </row>
    <row r="28" spans="2:25" x14ac:dyDescent="0.25">
      <c r="B28" s="23" t="s">
        <v>201</v>
      </c>
      <c r="C28" s="31"/>
      <c r="D28" s="31"/>
      <c r="E28" s="31"/>
      <c r="F28" s="31"/>
      <c r="G28" s="8"/>
      <c r="M28" s="30"/>
      <c r="N28" s="30"/>
      <c r="S28" s="3" t="s">
        <v>191</v>
      </c>
      <c r="T28" s="31">
        <f>-X28</f>
        <v>-5.5524611121339898E-2</v>
      </c>
      <c r="U28" s="31"/>
      <c r="V28" s="31"/>
      <c r="W28" s="31">
        <f>W27-X28</f>
        <v>6.9342789977802743E-2</v>
      </c>
      <c r="X28" s="31">
        <f>U7*0.85</f>
        <v>5.5524611121339898E-2</v>
      </c>
      <c r="Y28" s="8"/>
    </row>
    <row r="29" spans="2:25" ht="15.75" thickBot="1" x14ac:dyDescent="0.3">
      <c r="B29" s="23" t="s">
        <v>202</v>
      </c>
      <c r="C29" s="31"/>
      <c r="D29" s="31"/>
      <c r="E29" s="31"/>
      <c r="F29" s="31"/>
      <c r="G29" s="8"/>
      <c r="M29" s="30"/>
      <c r="N29" s="30"/>
      <c r="S29" s="10" t="s">
        <v>185</v>
      </c>
      <c r="T29" s="11">
        <f>SUM(T23:T28)</f>
        <v>6.9342789977802743E-2</v>
      </c>
      <c r="U29" s="11"/>
      <c r="V29" s="11">
        <f>T29</f>
        <v>6.9342789977802743E-2</v>
      </c>
      <c r="W29" s="11">
        <f>W28-X28</f>
        <v>1.3818178856462845E-2</v>
      </c>
      <c r="X29" s="11"/>
      <c r="Y29" s="13"/>
    </row>
    <row r="30" spans="2:25" x14ac:dyDescent="0.25">
      <c r="B30" s="23" t="s">
        <v>203</v>
      </c>
      <c r="C30" s="31"/>
      <c r="D30" s="31"/>
      <c r="E30" s="31"/>
      <c r="F30" s="31"/>
      <c r="G30" s="8"/>
      <c r="M30" s="30"/>
      <c r="N30" s="30"/>
    </row>
    <row r="31" spans="2:25" ht="15.75" thickBot="1" x14ac:dyDescent="0.3">
      <c r="B31" s="24" t="s">
        <v>204</v>
      </c>
      <c r="C31" s="11"/>
      <c r="D31" s="11"/>
      <c r="E31" s="11"/>
      <c r="F31" s="11"/>
      <c r="G31" s="13"/>
      <c r="M31" s="30"/>
      <c r="N31" s="30"/>
    </row>
    <row r="32" spans="2:25" s="30" customFormat="1" x14ac:dyDescent="0.25">
      <c r="B32" s="31"/>
      <c r="C32" s="31"/>
      <c r="D32" s="31"/>
      <c r="E32" s="31"/>
      <c r="F32" s="31"/>
      <c r="G32" s="31"/>
    </row>
    <row r="33" spans="2:8" s="30" customFormat="1" x14ac:dyDescent="0.25">
      <c r="B33" s="31"/>
      <c r="C33" s="31"/>
      <c r="D33" s="31"/>
      <c r="E33" s="31"/>
      <c r="F33" s="31"/>
      <c r="G33" s="31"/>
    </row>
    <row r="34" spans="2:8" s="30" customFormat="1" x14ac:dyDescent="0.25">
      <c r="B34" s="31"/>
      <c r="C34" s="31"/>
      <c r="D34" s="31"/>
      <c r="E34" s="31"/>
      <c r="F34" s="31"/>
      <c r="G34" s="31"/>
    </row>
    <row r="35" spans="2:8" s="30" customFormat="1" x14ac:dyDescent="0.25">
      <c r="B35" s="31"/>
      <c r="C35" s="31"/>
      <c r="D35" s="31"/>
      <c r="E35" s="31"/>
      <c r="F35" s="31"/>
      <c r="G35" s="31"/>
    </row>
    <row r="36" spans="2:8" s="30" customFormat="1" x14ac:dyDescent="0.25">
      <c r="B36" s="31"/>
      <c r="C36" s="31"/>
      <c r="D36" s="31"/>
      <c r="E36" s="31"/>
      <c r="F36" s="31"/>
      <c r="G36" s="31"/>
    </row>
    <row r="37" spans="2:8" s="30" customFormat="1" x14ac:dyDescent="0.25">
      <c r="B37" s="31"/>
      <c r="C37" s="31"/>
      <c r="D37" s="31"/>
      <c r="E37" s="31"/>
      <c r="F37" s="31"/>
      <c r="G37" s="31"/>
    </row>
    <row r="40" spans="2:8" s="27" customFormat="1" x14ac:dyDescent="0.25"/>
    <row r="41" spans="2:8" ht="15.75" thickBot="1" x14ac:dyDescent="0.3"/>
    <row r="42" spans="2:8" x14ac:dyDescent="0.25">
      <c r="B42" s="33" t="s">
        <v>213</v>
      </c>
      <c r="C42" s="34"/>
      <c r="D42" s="34"/>
      <c r="E42" s="34"/>
      <c r="F42" s="34"/>
      <c r="G42" s="69"/>
      <c r="H42" t="s">
        <v>122</v>
      </c>
    </row>
    <row r="43" spans="2:8" x14ac:dyDescent="0.25">
      <c r="B43" s="23"/>
      <c r="C43" s="31"/>
      <c r="D43" s="31" t="s">
        <v>207</v>
      </c>
      <c r="E43" s="31" t="s">
        <v>207</v>
      </c>
      <c r="F43" s="31" t="s">
        <v>207</v>
      </c>
      <c r="G43" s="8" t="s">
        <v>207</v>
      </c>
    </row>
    <row r="44" spans="2:8" x14ac:dyDescent="0.25">
      <c r="B44" s="23"/>
      <c r="C44" s="61" t="s">
        <v>117</v>
      </c>
      <c r="D44" s="31" t="s">
        <v>169</v>
      </c>
      <c r="E44" s="31" t="s">
        <v>170</v>
      </c>
      <c r="F44" s="31" t="s">
        <v>171</v>
      </c>
      <c r="G44" s="8" t="s">
        <v>172</v>
      </c>
    </row>
    <row r="45" spans="2:8" x14ac:dyDescent="0.25">
      <c r="B45" s="23" t="s">
        <v>132</v>
      </c>
      <c r="C45" s="31">
        <v>0</v>
      </c>
      <c r="D45" s="31">
        <v>0</v>
      </c>
      <c r="E45" s="31">
        <v>0</v>
      </c>
      <c r="F45" s="31">
        <v>0</v>
      </c>
      <c r="G45" s="8">
        <v>0</v>
      </c>
    </row>
    <row r="46" spans="2:8" x14ac:dyDescent="0.25">
      <c r="B46" s="23" t="s">
        <v>131</v>
      </c>
      <c r="C46" s="31">
        <v>0</v>
      </c>
      <c r="D46" s="31">
        <v>0</v>
      </c>
      <c r="E46" s="31">
        <v>0</v>
      </c>
      <c r="F46" s="31">
        <v>0</v>
      </c>
      <c r="G46" s="8">
        <v>0</v>
      </c>
    </row>
    <row r="47" spans="2:8" x14ac:dyDescent="0.25">
      <c r="B47" s="23" t="s">
        <v>133</v>
      </c>
      <c r="C47" s="31">
        <v>1.6000000000000001E-3</v>
      </c>
      <c r="D47" s="31">
        <v>2.3E-3</v>
      </c>
      <c r="E47" s="31">
        <v>2.2000000000000001E-3</v>
      </c>
      <c r="F47" s="31">
        <v>1.9E-3</v>
      </c>
      <c r="G47" s="8">
        <v>1.8E-3</v>
      </c>
    </row>
    <row r="48" spans="2:8" x14ac:dyDescent="0.25">
      <c r="B48" s="23" t="s">
        <v>134</v>
      </c>
      <c r="C48" s="31">
        <v>0.37369999999999998</v>
      </c>
      <c r="D48" s="31">
        <v>7.2989999999999999E-2</v>
      </c>
      <c r="E48" s="31">
        <v>0.117733</v>
      </c>
      <c r="F48" s="31">
        <v>6.8715999999999999E-2</v>
      </c>
      <c r="G48" s="8">
        <v>0.11181199999999999</v>
      </c>
    </row>
    <row r="49" spans="2:8" x14ac:dyDescent="0.25">
      <c r="B49" s="23" t="s">
        <v>121</v>
      </c>
      <c r="C49" s="31">
        <f>0.0152+0.0034+0.0366</f>
        <v>5.5199999999999999E-2</v>
      </c>
      <c r="D49" s="31">
        <f>0.0202+0.0047+0.0523</f>
        <v>7.7199999999999991E-2</v>
      </c>
      <c r="E49" s="31">
        <f>0.0194+0.0045+0.0488</f>
        <v>7.2700000000000001E-2</v>
      </c>
      <c r="F49" s="31">
        <f>0.0173+0.0039+0.0413</f>
        <v>6.25E-2</v>
      </c>
      <c r="G49" s="8">
        <f>0.017+0.0039+0.041</f>
        <v>6.1900000000000004E-2</v>
      </c>
    </row>
    <row r="50" spans="2:8" x14ac:dyDescent="0.25">
      <c r="B50" s="23"/>
      <c r="C50" s="31">
        <f>SUM(C47:C49)</f>
        <v>0.43049999999999999</v>
      </c>
      <c r="D50" s="31">
        <f>SUM(D47:D49)</f>
        <v>0.15248999999999999</v>
      </c>
      <c r="E50" s="31">
        <f>SUM(E47:E49)</f>
        <v>0.192633</v>
      </c>
      <c r="F50" s="31">
        <f>SUM(F47:F49)</f>
        <v>0.13311600000000001</v>
      </c>
      <c r="G50" s="8">
        <f>SUM(G47:G49)</f>
        <v>0.175512</v>
      </c>
    </row>
    <row r="51" spans="2:8" x14ac:dyDescent="0.25">
      <c r="B51" s="23"/>
      <c r="C51" s="31"/>
      <c r="D51" s="31"/>
      <c r="E51" s="31"/>
      <c r="F51" s="31"/>
      <c r="G51" s="8"/>
    </row>
    <row r="52" spans="2:8" x14ac:dyDescent="0.25">
      <c r="B52" s="23" t="s">
        <v>208</v>
      </c>
      <c r="C52" s="31"/>
      <c r="D52" s="31">
        <v>0.392942476540876</v>
      </c>
      <c r="E52" s="31">
        <v>0.334475823435262</v>
      </c>
      <c r="F52" s="31">
        <v>0.369915839525151</v>
      </c>
      <c r="G52" s="8">
        <v>0.31764499999999601</v>
      </c>
    </row>
    <row r="53" spans="2:8" x14ac:dyDescent="0.25">
      <c r="B53" s="23" t="s">
        <v>209</v>
      </c>
      <c r="C53" s="31"/>
      <c r="D53" s="31">
        <v>80.523211717209705</v>
      </c>
      <c r="E53" s="31">
        <v>68.542010988124602</v>
      </c>
      <c r="F53" s="31">
        <v>81.663751215801298</v>
      </c>
      <c r="G53" s="8">
        <v>70.124280937902896</v>
      </c>
    </row>
    <row r="54" spans="2:8" ht="15.75" thickBot="1" x14ac:dyDescent="0.3">
      <c r="B54" s="24" t="s">
        <v>210</v>
      </c>
      <c r="C54" s="11"/>
      <c r="D54" s="11">
        <v>0.300915242187212</v>
      </c>
      <c r="E54" s="11">
        <v>0.25614149506262102</v>
      </c>
      <c r="F54" s="11">
        <v>0.30517743829344901</v>
      </c>
      <c r="G54" s="13">
        <v>0.26205443786494298</v>
      </c>
    </row>
    <row r="55" spans="2:8" x14ac:dyDescent="0.25">
      <c r="B55" s="30"/>
      <c r="C55" s="30"/>
      <c r="D55" s="30"/>
      <c r="E55" s="30"/>
      <c r="F55" s="30"/>
      <c r="G55" s="30"/>
    </row>
    <row r="56" spans="2:8" ht="15.75" thickBot="1" x14ac:dyDescent="0.3">
      <c r="B56" s="30"/>
      <c r="C56" s="30"/>
      <c r="D56" s="30"/>
      <c r="E56" s="30"/>
      <c r="F56" s="30"/>
      <c r="G56" s="30"/>
    </row>
    <row r="57" spans="2:8" x14ac:dyDescent="0.25">
      <c r="B57" s="33" t="s">
        <v>223</v>
      </c>
      <c r="C57" s="34"/>
      <c r="D57" s="34"/>
      <c r="E57" s="34"/>
      <c r="F57" s="34"/>
      <c r="G57" s="69"/>
    </row>
    <row r="58" spans="2:8" x14ac:dyDescent="0.25">
      <c r="B58" s="23"/>
      <c r="C58" s="31"/>
      <c r="D58" s="31" t="s">
        <v>205</v>
      </c>
      <c r="E58" s="31" t="s">
        <v>205</v>
      </c>
      <c r="F58" s="31">
        <f xml:space="preserve"> 0.00001309095+ 0.00000262523+0.0000003414407+ 0.000001838124+ 0.0000003088141+0.000004041733+ 0.00002282625+0.000002134214+0.000001457835+0.00000184951 +0.000000002116366+0.0000006644666</f>
        <v>5.1180683765999992E-5</v>
      </c>
      <c r="G58" s="8">
        <f xml:space="preserve"> 0.00001309095+ 0.00000262523+0.0000003414407+ 0.000001838124+ 0.0000003088141+0.000004041733+ 0.00002282625+0.000002134214+0.000001457835+0.00000184951 +0.000000002116366+0.0000006644666</f>
        <v>5.1180683765999992E-5</v>
      </c>
    </row>
    <row r="59" spans="2:8" x14ac:dyDescent="0.25">
      <c r="B59" s="23" t="s">
        <v>110</v>
      </c>
      <c r="C59" s="31"/>
      <c r="D59" s="31" t="s">
        <v>206</v>
      </c>
      <c r="E59" s="31" t="s">
        <v>206</v>
      </c>
      <c r="F59" s="31" t="s">
        <v>205</v>
      </c>
      <c r="G59" s="8" t="s">
        <v>205</v>
      </c>
    </row>
    <row r="60" spans="2:8" x14ac:dyDescent="0.25">
      <c r="B60" s="23" t="s">
        <v>194</v>
      </c>
      <c r="C60" s="31"/>
      <c r="D60" s="31"/>
      <c r="E60" s="31"/>
      <c r="F60" s="31" t="s">
        <v>211</v>
      </c>
      <c r="G60" s="8" t="s">
        <v>211</v>
      </c>
      <c r="H60" t="s">
        <v>122</v>
      </c>
    </row>
    <row r="61" spans="2:8" x14ac:dyDescent="0.25">
      <c r="B61" s="23" t="s">
        <v>195</v>
      </c>
      <c r="C61" s="31"/>
      <c r="D61" s="31"/>
      <c r="E61" s="31"/>
      <c r="F61" s="31"/>
      <c r="G61" s="8"/>
    </row>
    <row r="62" spans="2:8" x14ac:dyDescent="0.25">
      <c r="B62" s="23" t="s">
        <v>118</v>
      </c>
      <c r="C62" s="31"/>
      <c r="D62" s="31"/>
      <c r="E62" s="31"/>
      <c r="F62" s="31"/>
      <c r="G62" s="8"/>
    </row>
    <row r="63" spans="2:8" x14ac:dyDescent="0.25">
      <c r="B63" s="23" t="s">
        <v>196</v>
      </c>
      <c r="C63" s="31"/>
      <c r="D63" s="31"/>
      <c r="E63" s="31"/>
      <c r="F63" s="65"/>
      <c r="G63" s="8"/>
    </row>
    <row r="64" spans="2:8" x14ac:dyDescent="0.25">
      <c r="B64" s="23" t="s">
        <v>197</v>
      </c>
      <c r="C64" s="31"/>
      <c r="D64" s="31"/>
      <c r="E64" s="31"/>
      <c r="F64" s="31"/>
      <c r="G64" s="8"/>
    </row>
    <row r="65" spans="2:7" x14ac:dyDescent="0.25">
      <c r="B65" s="23" t="s">
        <v>198</v>
      </c>
      <c r="C65" s="31"/>
      <c r="D65" s="31"/>
      <c r="E65" s="31"/>
      <c r="F65" s="31"/>
      <c r="G65" s="8"/>
    </row>
    <row r="66" spans="2:7" x14ac:dyDescent="0.25">
      <c r="B66" s="23" t="s">
        <v>199</v>
      </c>
      <c r="C66" s="31"/>
      <c r="D66" s="31"/>
      <c r="E66" s="31"/>
      <c r="F66" s="31"/>
      <c r="G66" s="8"/>
    </row>
    <row r="67" spans="2:7" x14ac:dyDescent="0.25">
      <c r="B67" s="23" t="s">
        <v>200</v>
      </c>
      <c r="C67" s="31"/>
      <c r="D67" s="31"/>
      <c r="E67" s="31"/>
      <c r="F67" s="31"/>
      <c r="G67" s="8"/>
    </row>
    <row r="68" spans="2:7" x14ac:dyDescent="0.25">
      <c r="B68" s="23" t="s">
        <v>201</v>
      </c>
      <c r="C68" s="31"/>
      <c r="D68" s="31"/>
      <c r="E68" s="31"/>
      <c r="F68" s="31"/>
      <c r="G68" s="8"/>
    </row>
    <row r="69" spans="2:7" x14ac:dyDescent="0.25">
      <c r="B69" s="23" t="s">
        <v>202</v>
      </c>
      <c r="C69" s="31"/>
      <c r="D69" s="31"/>
      <c r="E69" s="31"/>
      <c r="F69" s="31"/>
      <c r="G69" s="8"/>
    </row>
    <row r="70" spans="2:7" x14ac:dyDescent="0.25">
      <c r="B70" s="23" t="s">
        <v>203</v>
      </c>
      <c r="C70" s="31"/>
      <c r="D70" s="31"/>
      <c r="E70" s="31"/>
      <c r="F70" s="31"/>
      <c r="G70" s="8"/>
    </row>
    <row r="71" spans="2:7" ht="15.75" thickBot="1" x14ac:dyDescent="0.3">
      <c r="B71" s="24" t="s">
        <v>204</v>
      </c>
      <c r="C71" s="11"/>
      <c r="D71" s="11"/>
      <c r="E71" s="11"/>
      <c r="F71" s="11"/>
      <c r="G71" s="13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6"/>
  <sheetViews>
    <sheetView tabSelected="1" zoomScaleNormal="100" workbookViewId="0">
      <selection activeCell="J31" sqref="J31"/>
    </sheetView>
  </sheetViews>
  <sheetFormatPr defaultRowHeight="15" x14ac:dyDescent="0.25"/>
  <cols>
    <col min="1" max="1" width="9.140625" style="30"/>
    <col min="2" max="2" width="15.85546875" style="30" bestFit="1" customWidth="1"/>
    <col min="3" max="7" width="18.28515625" style="30" customWidth="1"/>
    <col min="8" max="11" width="9.140625" style="30"/>
    <col min="12" max="16" width="21.7109375" style="30" customWidth="1"/>
    <col min="17" max="17" width="15.42578125" style="30" customWidth="1"/>
    <col min="18" max="18" width="9.140625" style="30"/>
    <col min="19" max="19" width="41.85546875" style="30" customWidth="1"/>
    <col min="20" max="16384" width="9.140625" style="30"/>
  </cols>
  <sheetData>
    <row r="1" spans="2:25" ht="15.75" thickBot="1" x14ac:dyDescent="0.3"/>
    <row r="2" spans="2:25" ht="15.75" thickBot="1" x14ac:dyDescent="0.3">
      <c r="B2" s="72" t="s">
        <v>212</v>
      </c>
      <c r="C2" s="34"/>
      <c r="D2" s="70"/>
      <c r="E2" s="34"/>
      <c r="F2" s="70"/>
      <c r="G2" s="69"/>
    </row>
    <row r="3" spans="2:25" x14ac:dyDescent="0.25">
      <c r="B3" s="23"/>
      <c r="C3" s="31"/>
      <c r="D3" s="31" t="s">
        <v>207</v>
      </c>
      <c r="E3" s="31" t="s">
        <v>207</v>
      </c>
      <c r="F3" s="31" t="s">
        <v>207</v>
      </c>
      <c r="G3" s="8" t="s">
        <v>207</v>
      </c>
      <c r="S3" s="2"/>
      <c r="T3" s="66" t="s">
        <v>173</v>
      </c>
      <c r="U3" s="67" t="s">
        <v>186</v>
      </c>
    </row>
    <row r="4" spans="2:25" x14ac:dyDescent="0.25">
      <c r="B4" s="35"/>
      <c r="C4" s="19" t="s">
        <v>117</v>
      </c>
      <c r="D4" s="1" t="s">
        <v>169</v>
      </c>
      <c r="E4" s="1" t="s">
        <v>170</v>
      </c>
      <c r="F4" s="1" t="s">
        <v>171</v>
      </c>
      <c r="G4" s="62" t="s">
        <v>172</v>
      </c>
      <c r="Q4" s="28"/>
      <c r="R4" s="28"/>
      <c r="S4" s="3" t="s">
        <v>174</v>
      </c>
      <c r="T4" s="31">
        <f>G12</f>
        <v>0.81396000000000002</v>
      </c>
      <c r="U4" s="8">
        <f>D12</f>
        <v>1.25200185735503</v>
      </c>
    </row>
    <row r="5" spans="2:25" x14ac:dyDescent="0.25">
      <c r="B5" s="3" t="s">
        <v>132</v>
      </c>
      <c r="C5" s="31">
        <v>0</v>
      </c>
      <c r="D5" s="31">
        <v>0</v>
      </c>
      <c r="E5" s="31">
        <v>0</v>
      </c>
      <c r="F5" s="31">
        <v>0</v>
      </c>
      <c r="G5" s="8">
        <v>0</v>
      </c>
      <c r="S5" s="3" t="s">
        <v>175</v>
      </c>
      <c r="T5" s="31">
        <v>0.95760000000000001</v>
      </c>
      <c r="U5" s="8">
        <v>0.95760000000000001</v>
      </c>
    </row>
    <row r="6" spans="2:25" x14ac:dyDescent="0.25">
      <c r="B6" s="3" t="s">
        <v>131</v>
      </c>
      <c r="C6" s="31">
        <v>0</v>
      </c>
      <c r="D6" s="31">
        <v>0</v>
      </c>
      <c r="E6" s="31">
        <v>0</v>
      </c>
      <c r="F6" s="31">
        <v>0</v>
      </c>
      <c r="G6" s="8">
        <v>0</v>
      </c>
      <c r="S6" s="3" t="s">
        <v>220</v>
      </c>
      <c r="T6" s="31">
        <v>4.8186432000000001E-2</v>
      </c>
      <c r="U6" s="8">
        <v>0.18990364172361099</v>
      </c>
    </row>
    <row r="7" spans="2:25" x14ac:dyDescent="0.25">
      <c r="B7" s="3" t="s">
        <v>133</v>
      </c>
      <c r="C7" s="31">
        <v>1.2999999999999999E-3</v>
      </c>
      <c r="D7" s="31">
        <v>2.5999999999999999E-3</v>
      </c>
      <c r="E7" s="31">
        <v>2.2000000000000001E-3</v>
      </c>
      <c r="F7" s="31">
        <v>1.6000000000000001E-3</v>
      </c>
      <c r="G7" s="8">
        <v>1.5E-3</v>
      </c>
      <c r="S7" s="3" t="s">
        <v>176</v>
      </c>
      <c r="T7" s="31">
        <v>0.21157709377959</v>
      </c>
      <c r="U7" s="8">
        <v>0.32543971987054199</v>
      </c>
    </row>
    <row r="8" spans="2:25" x14ac:dyDescent="0.25">
      <c r="B8" s="3" t="s">
        <v>134</v>
      </c>
      <c r="C8" s="31">
        <v>0.95760000000000001</v>
      </c>
      <c r="D8" s="31">
        <v>0.23256299999999999</v>
      </c>
      <c r="E8" s="31">
        <v>0.41646699999999998</v>
      </c>
      <c r="F8" s="31">
        <v>0.25592799999999999</v>
      </c>
      <c r="G8" s="8">
        <v>0.41095900000000002</v>
      </c>
      <c r="S8" s="3" t="s">
        <v>177</v>
      </c>
      <c r="T8" s="31">
        <f>G13</f>
        <v>57.1289281557236</v>
      </c>
      <c r="U8" s="8">
        <f>D13</f>
        <v>75.782333234276393</v>
      </c>
    </row>
    <row r="9" spans="2:25" ht="15.75" thickBot="1" x14ac:dyDescent="0.3">
      <c r="B9" s="3" t="s">
        <v>121</v>
      </c>
      <c r="C9" s="31">
        <f>0.007+0.0224</f>
        <v>2.9399999999999999E-2</v>
      </c>
      <c r="D9" s="31">
        <f>0.0143+0.0448</f>
        <v>5.91E-2</v>
      </c>
      <c r="E9" s="31">
        <f>0.0124+0.0392</f>
        <v>5.16E-2</v>
      </c>
      <c r="F9" s="31">
        <f>0.0089+0.028</f>
        <v>3.6900000000000002E-2</v>
      </c>
      <c r="G9" s="8">
        <f>0.0085+0.028</f>
        <v>3.6500000000000005E-2</v>
      </c>
      <c r="S9" s="10" t="s">
        <v>178</v>
      </c>
      <c r="T9" s="11">
        <f>G14</f>
        <v>0.54706661601920903</v>
      </c>
      <c r="U9" s="13">
        <f>D14</f>
        <v>0.72569162305143098</v>
      </c>
    </row>
    <row r="10" spans="2:25" x14ac:dyDescent="0.25">
      <c r="B10" s="3"/>
      <c r="C10" s="31">
        <f>SUM(C7:C9)</f>
        <v>0.98829999999999996</v>
      </c>
      <c r="D10" s="31">
        <f>SUM(D7:D9)</f>
        <v>0.294263</v>
      </c>
      <c r="E10" s="31">
        <f>SUM(E7:E9)</f>
        <v>0.47026699999999994</v>
      </c>
      <c r="F10" s="31">
        <f>SUM(F7:F9)</f>
        <v>0.29442799999999997</v>
      </c>
      <c r="G10" s="8">
        <f>SUM(G7:G9)</f>
        <v>0.448959</v>
      </c>
    </row>
    <row r="11" spans="2:25" x14ac:dyDescent="0.25">
      <c r="B11" s="3"/>
      <c r="C11" s="31"/>
      <c r="D11" s="31"/>
      <c r="E11" s="31"/>
      <c r="F11" s="31"/>
      <c r="G11" s="8"/>
    </row>
    <row r="12" spans="2:25" x14ac:dyDescent="0.25">
      <c r="B12" s="3" t="s">
        <v>208</v>
      </c>
      <c r="C12" s="31"/>
      <c r="D12" s="31">
        <v>1.25200185735503</v>
      </c>
      <c r="E12" s="31">
        <v>0.93443481135887696</v>
      </c>
      <c r="F12" s="31">
        <v>1.0448045086831601</v>
      </c>
      <c r="G12" s="8">
        <v>0.81396000000000002</v>
      </c>
    </row>
    <row r="13" spans="2:25" ht="15.75" thickBot="1" x14ac:dyDescent="0.3">
      <c r="B13" s="3" t="s">
        <v>209</v>
      </c>
      <c r="C13" s="31"/>
      <c r="D13" s="31">
        <v>75.782333234276393</v>
      </c>
      <c r="E13" s="31">
        <v>56.560339622584102</v>
      </c>
      <c r="F13" s="31">
        <v>73.331074884928597</v>
      </c>
      <c r="G13" s="8">
        <v>57.1289281557236</v>
      </c>
    </row>
    <row r="14" spans="2:25" ht="15.75" thickBot="1" x14ac:dyDescent="0.3">
      <c r="B14" s="10" t="s">
        <v>210</v>
      </c>
      <c r="C14" s="11"/>
      <c r="D14" s="11">
        <v>0.72569162305143098</v>
      </c>
      <c r="E14" s="11">
        <v>0.54162181222586503</v>
      </c>
      <c r="F14" s="11">
        <v>0.702218373098076</v>
      </c>
      <c r="G14" s="13">
        <v>0.54706661601920903</v>
      </c>
      <c r="S14" s="2" t="s">
        <v>172</v>
      </c>
      <c r="T14" s="66"/>
      <c r="U14" s="66" t="s">
        <v>181</v>
      </c>
      <c r="V14" s="66" t="s">
        <v>182</v>
      </c>
      <c r="W14" s="66" t="s">
        <v>179</v>
      </c>
      <c r="X14" s="66" t="s">
        <v>183</v>
      </c>
      <c r="Y14" s="67" t="s">
        <v>184</v>
      </c>
    </row>
    <row r="15" spans="2:25" x14ac:dyDescent="0.25">
      <c r="S15" s="3" t="s">
        <v>180</v>
      </c>
      <c r="T15" s="31">
        <f>T5</f>
        <v>0.95760000000000001</v>
      </c>
      <c r="U15" s="31">
        <f>T5</f>
        <v>0.95760000000000001</v>
      </c>
      <c r="V15" s="31"/>
      <c r="W15" s="31"/>
      <c r="X15" s="31"/>
      <c r="Y15" s="8"/>
    </row>
    <row r="16" spans="2:25" ht="15.75" thickBot="1" x14ac:dyDescent="0.3">
      <c r="S16" s="3" t="s">
        <v>192</v>
      </c>
      <c r="T16" s="31">
        <f>-T4</f>
        <v>-0.81396000000000002</v>
      </c>
      <c r="U16" s="31"/>
      <c r="V16" s="31"/>
      <c r="W16" s="31">
        <f>T15-X16</f>
        <v>0.14363999999999999</v>
      </c>
      <c r="X16" s="31">
        <f>-1*T16</f>
        <v>0.81396000000000002</v>
      </c>
      <c r="Y16" s="8"/>
    </row>
    <row r="17" spans="2:25" ht="15.75" x14ac:dyDescent="0.25">
      <c r="B17" s="71" t="s">
        <v>193</v>
      </c>
      <c r="C17" s="34"/>
      <c r="D17" s="34"/>
      <c r="E17" s="34"/>
      <c r="F17" s="34"/>
      <c r="G17" s="69"/>
      <c r="S17" s="3" t="s">
        <v>189</v>
      </c>
      <c r="T17" s="31">
        <f>T6</f>
        <v>4.8186432000000001E-2</v>
      </c>
      <c r="U17" s="31"/>
      <c r="V17" s="31"/>
      <c r="W17" s="31">
        <f>T15-X16</f>
        <v>0.14363999999999999</v>
      </c>
      <c r="X17" s="31"/>
      <c r="Y17" s="8">
        <f>T17</f>
        <v>4.8186432000000001E-2</v>
      </c>
    </row>
    <row r="18" spans="2:25" x14ac:dyDescent="0.25">
      <c r="B18" s="23"/>
      <c r="C18" s="63"/>
      <c r="D18" s="63" t="s">
        <v>205</v>
      </c>
      <c r="E18" s="64" t="s">
        <v>205</v>
      </c>
      <c r="F18" s="63">
        <v>0.37</v>
      </c>
      <c r="G18" s="64">
        <v>0.37</v>
      </c>
      <c r="S18" s="3" t="s">
        <v>190</v>
      </c>
      <c r="T18" s="31">
        <f>T7</f>
        <v>0.21157709377959</v>
      </c>
      <c r="U18" s="31"/>
      <c r="V18" s="31"/>
      <c r="W18" s="31">
        <f>W17+Y17</f>
        <v>0.19182643199999999</v>
      </c>
      <c r="X18" s="31"/>
      <c r="Y18" s="8">
        <f>T18</f>
        <v>0.21157709377959</v>
      </c>
    </row>
    <row r="19" spans="2:25" ht="15.75" thickBot="1" x14ac:dyDescent="0.3">
      <c r="B19" s="3" t="s">
        <v>110</v>
      </c>
      <c r="C19" s="63"/>
      <c r="D19" s="63" t="s">
        <v>206</v>
      </c>
      <c r="E19" s="64" t="s">
        <v>206</v>
      </c>
      <c r="F19" s="63" t="s">
        <v>205</v>
      </c>
      <c r="G19" s="64" t="s">
        <v>205</v>
      </c>
      <c r="S19" s="10" t="s">
        <v>185</v>
      </c>
      <c r="T19" s="11">
        <f>SUM(T15:T18)</f>
        <v>0.40340352577958999</v>
      </c>
      <c r="U19" s="11"/>
      <c r="V19" s="11">
        <f>T19</f>
        <v>0.40340352577958999</v>
      </c>
      <c r="W19" s="11">
        <f>W18+Y18</f>
        <v>0.40340352577958999</v>
      </c>
      <c r="X19" s="11"/>
      <c r="Y19" s="13"/>
    </row>
    <row r="20" spans="2:25" x14ac:dyDescent="0.25">
      <c r="B20" s="3" t="s">
        <v>194</v>
      </c>
      <c r="C20" s="31"/>
      <c r="D20" s="31"/>
      <c r="E20" s="31"/>
      <c r="F20" s="63" t="s">
        <v>211</v>
      </c>
      <c r="G20" s="64" t="s">
        <v>211</v>
      </c>
    </row>
    <row r="21" spans="2:25" ht="15.75" thickBot="1" x14ac:dyDescent="0.3">
      <c r="B21" s="3" t="s">
        <v>195</v>
      </c>
      <c r="C21" s="31"/>
      <c r="D21" s="31"/>
      <c r="E21" s="31"/>
      <c r="F21" s="31"/>
      <c r="G21" s="8"/>
    </row>
    <row r="22" spans="2:25" x14ac:dyDescent="0.25">
      <c r="B22" s="3" t="s">
        <v>214</v>
      </c>
      <c r="C22" s="31"/>
      <c r="D22" s="31"/>
      <c r="E22" s="31"/>
      <c r="F22" s="31"/>
      <c r="G22" s="8"/>
      <c r="S22" s="2" t="s">
        <v>169</v>
      </c>
      <c r="T22" s="66"/>
      <c r="U22" s="66" t="s">
        <v>181</v>
      </c>
      <c r="V22" s="66" t="s">
        <v>182</v>
      </c>
      <c r="W22" s="66" t="s">
        <v>179</v>
      </c>
      <c r="X22" s="66" t="s">
        <v>183</v>
      </c>
      <c r="Y22" s="67" t="s">
        <v>184</v>
      </c>
    </row>
    <row r="23" spans="2:25" x14ac:dyDescent="0.25">
      <c r="B23" s="3" t="s">
        <v>196</v>
      </c>
      <c r="C23" s="31"/>
      <c r="D23" s="31"/>
      <c r="E23" s="31"/>
      <c r="F23" s="31"/>
      <c r="G23" s="8"/>
      <c r="S23" s="3" t="s">
        <v>180</v>
      </c>
      <c r="T23" s="31">
        <f>U5</f>
        <v>0.95760000000000001</v>
      </c>
      <c r="U23" s="31">
        <f>T23</f>
        <v>0.95760000000000001</v>
      </c>
      <c r="V23" s="31"/>
      <c r="W23" s="31"/>
      <c r="X23" s="31"/>
      <c r="Y23" s="8"/>
    </row>
    <row r="24" spans="2:25" x14ac:dyDescent="0.25">
      <c r="B24" s="3" t="s">
        <v>215</v>
      </c>
      <c r="C24" s="31"/>
      <c r="D24" s="31"/>
      <c r="E24" s="31"/>
      <c r="F24" s="31"/>
      <c r="G24" s="8"/>
      <c r="S24" s="3" t="s">
        <v>192</v>
      </c>
      <c r="T24" s="31">
        <f>T16</f>
        <v>-0.81396000000000002</v>
      </c>
      <c r="U24" s="31"/>
      <c r="V24" s="31"/>
      <c r="W24" s="31">
        <f>T23-X24</f>
        <v>0.14363999999999999</v>
      </c>
      <c r="X24" s="31">
        <f>-1*T24</f>
        <v>0.81396000000000002</v>
      </c>
      <c r="Y24" s="8"/>
    </row>
    <row r="25" spans="2:25" x14ac:dyDescent="0.25">
      <c r="B25" s="3" t="s">
        <v>197</v>
      </c>
      <c r="C25" s="31"/>
      <c r="D25" s="31"/>
      <c r="E25" s="31"/>
      <c r="F25" s="31"/>
      <c r="G25" s="8"/>
      <c r="S25" s="3" t="s">
        <v>189</v>
      </c>
      <c r="T25" s="31">
        <f>U6</f>
        <v>0.18990364172361099</v>
      </c>
      <c r="U25" s="31"/>
      <c r="V25" s="31"/>
      <c r="W25" s="31">
        <f>T23-X24</f>
        <v>0.14363999999999999</v>
      </c>
      <c r="X25" s="31"/>
      <c r="Y25" s="8">
        <f>T25</f>
        <v>0.18990364172361099</v>
      </c>
    </row>
    <row r="26" spans="2:25" x14ac:dyDescent="0.25">
      <c r="B26" s="3" t="s">
        <v>119</v>
      </c>
      <c r="C26" s="31"/>
      <c r="D26" s="31"/>
      <c r="E26" s="31"/>
      <c r="F26" s="31"/>
      <c r="G26" s="8"/>
      <c r="S26" s="3" t="s">
        <v>190</v>
      </c>
      <c r="T26" s="31">
        <f>U7</f>
        <v>0.32543971987054199</v>
      </c>
      <c r="U26" s="31"/>
      <c r="V26" s="31"/>
      <c r="W26" s="31">
        <f>W25+Y25</f>
        <v>0.33354364172361095</v>
      </c>
      <c r="X26" s="31"/>
      <c r="Y26" s="8">
        <f>T26</f>
        <v>0.32543971987054199</v>
      </c>
    </row>
    <row r="27" spans="2:25" x14ac:dyDescent="0.25">
      <c r="B27" s="3" t="s">
        <v>216</v>
      </c>
      <c r="C27" s="31"/>
      <c r="D27" s="31"/>
      <c r="E27" s="31"/>
      <c r="F27" s="31"/>
      <c r="G27" s="8"/>
      <c r="S27" s="3" t="s">
        <v>188</v>
      </c>
      <c r="T27" s="31">
        <f>-X27</f>
        <v>-0.16141809546506933</v>
      </c>
      <c r="U27" s="31"/>
      <c r="V27" s="31"/>
      <c r="W27" s="31">
        <f>W26+Y26-X27</f>
        <v>0.49756526612908358</v>
      </c>
      <c r="X27" s="31">
        <f>U6*0.85</f>
        <v>0.16141809546506933</v>
      </c>
      <c r="Y27" s="8"/>
    </row>
    <row r="28" spans="2:25" x14ac:dyDescent="0.25">
      <c r="B28" s="3" t="s">
        <v>215</v>
      </c>
      <c r="C28" s="31"/>
      <c r="D28" s="31"/>
      <c r="E28" s="31"/>
      <c r="F28" s="31"/>
      <c r="G28" s="8"/>
      <c r="S28" s="3" t="s">
        <v>191</v>
      </c>
      <c r="T28" s="31">
        <f>-X28</f>
        <v>-0.27662376188996068</v>
      </c>
      <c r="U28" s="31"/>
      <c r="V28" s="31"/>
      <c r="W28" s="31">
        <f>W27-X28</f>
        <v>0.2209415042391229</v>
      </c>
      <c r="X28" s="31">
        <f>U7*0.85</f>
        <v>0.27662376188996068</v>
      </c>
      <c r="Y28" s="8"/>
    </row>
    <row r="29" spans="2:25" ht="15.75" thickBot="1" x14ac:dyDescent="0.3">
      <c r="B29" s="3" t="s">
        <v>217</v>
      </c>
      <c r="C29" s="31"/>
      <c r="D29" s="31"/>
      <c r="E29" s="31"/>
      <c r="F29" s="31"/>
      <c r="G29" s="8"/>
      <c r="S29" s="10" t="s">
        <v>185</v>
      </c>
      <c r="T29" s="11">
        <f>U5-U9</f>
        <v>0.23190837694856903</v>
      </c>
      <c r="U29" s="11"/>
      <c r="V29" s="11">
        <f>T29</f>
        <v>0.23190837694856903</v>
      </c>
      <c r="W29" s="11">
        <f>W28-X28</f>
        <v>-5.5682257650837785E-2</v>
      </c>
      <c r="X29" s="11"/>
      <c r="Y29" s="13"/>
    </row>
    <row r="30" spans="2:25" x14ac:dyDescent="0.25">
      <c r="B30" s="3" t="s">
        <v>200</v>
      </c>
      <c r="C30" s="31"/>
      <c r="D30" s="31"/>
      <c r="E30" s="31"/>
      <c r="F30" s="31"/>
      <c r="G30" s="8"/>
    </row>
    <row r="31" spans="2:25" x14ac:dyDescent="0.25">
      <c r="B31" s="3" t="s">
        <v>204</v>
      </c>
      <c r="C31" s="31"/>
      <c r="D31" s="31"/>
      <c r="E31" s="31"/>
      <c r="F31" s="31"/>
      <c r="G31" s="8"/>
    </row>
    <row r="32" spans="2:25" x14ac:dyDescent="0.25">
      <c r="B32" s="3" t="s">
        <v>218</v>
      </c>
      <c r="C32" s="31"/>
      <c r="D32" s="31"/>
      <c r="E32" s="31"/>
      <c r="F32" s="31"/>
      <c r="G32" s="8"/>
    </row>
    <row r="33" spans="2:8" x14ac:dyDescent="0.25">
      <c r="B33" s="3" t="s">
        <v>216</v>
      </c>
      <c r="C33" s="31"/>
      <c r="D33" s="31"/>
      <c r="E33" s="31"/>
      <c r="F33" s="31"/>
      <c r="G33" s="8"/>
    </row>
    <row r="34" spans="2:8" ht="15.75" thickBot="1" x14ac:dyDescent="0.3">
      <c r="B34" s="10" t="s">
        <v>219</v>
      </c>
      <c r="C34" s="11"/>
      <c r="D34" s="11"/>
      <c r="E34" s="11"/>
      <c r="F34" s="11"/>
      <c r="G34" s="13"/>
    </row>
    <row r="35" spans="2:8" x14ac:dyDescent="0.25">
      <c r="B35" s="31"/>
      <c r="C35" s="31"/>
      <c r="D35" s="31"/>
      <c r="E35" s="31"/>
      <c r="F35" s="31"/>
      <c r="G35" s="31"/>
    </row>
    <row r="36" spans="2:8" x14ac:dyDescent="0.25">
      <c r="B36" s="31"/>
      <c r="C36" s="31"/>
      <c r="D36" s="31"/>
      <c r="E36" s="31"/>
      <c r="F36" s="31"/>
      <c r="G36" s="31"/>
    </row>
    <row r="37" spans="2:8" x14ac:dyDescent="0.25">
      <c r="B37" s="31"/>
      <c r="C37" s="31"/>
      <c r="D37" s="31"/>
      <c r="E37" s="31"/>
      <c r="F37" s="31"/>
      <c r="G37" s="31"/>
    </row>
    <row r="38" spans="2:8" x14ac:dyDescent="0.25">
      <c r="B38" s="31"/>
      <c r="C38" s="31"/>
      <c r="D38" s="31"/>
      <c r="E38" s="31"/>
      <c r="F38" s="31"/>
      <c r="G38" s="31"/>
    </row>
    <row r="39" spans="2:8" x14ac:dyDescent="0.25">
      <c r="B39" s="31"/>
      <c r="C39" s="31"/>
      <c r="D39" s="31"/>
      <c r="E39" s="31"/>
      <c r="F39" s="31"/>
      <c r="G39" s="31"/>
    </row>
    <row r="40" spans="2:8" x14ac:dyDescent="0.25">
      <c r="B40" s="31"/>
      <c r="C40" s="31"/>
      <c r="D40" s="31"/>
      <c r="E40" s="31"/>
      <c r="F40" s="31"/>
      <c r="G40" s="31"/>
    </row>
    <row r="42" spans="2:8" s="27" customFormat="1" x14ac:dyDescent="0.25"/>
    <row r="43" spans="2:8" ht="15.75" thickBot="1" x14ac:dyDescent="0.3"/>
    <row r="44" spans="2:8" x14ac:dyDescent="0.25">
      <c r="B44" s="33" t="s">
        <v>213</v>
      </c>
      <c r="C44" s="34"/>
      <c r="D44" s="34"/>
      <c r="E44" s="34"/>
      <c r="F44" s="34"/>
      <c r="G44" s="69"/>
      <c r="H44" s="30" t="s">
        <v>122</v>
      </c>
    </row>
    <row r="45" spans="2:8" x14ac:dyDescent="0.25">
      <c r="B45" s="23"/>
      <c r="C45" s="31"/>
      <c r="D45" s="31" t="s">
        <v>207</v>
      </c>
      <c r="E45" s="31" t="s">
        <v>207</v>
      </c>
      <c r="F45" s="31" t="s">
        <v>207</v>
      </c>
      <c r="G45" s="8" t="s">
        <v>207</v>
      </c>
    </row>
    <row r="46" spans="2:8" x14ac:dyDescent="0.25">
      <c r="B46" s="35"/>
      <c r="C46" s="19" t="s">
        <v>117</v>
      </c>
      <c r="D46" s="1" t="s">
        <v>169</v>
      </c>
      <c r="E46" s="1" t="s">
        <v>170</v>
      </c>
      <c r="F46" s="1" t="s">
        <v>171</v>
      </c>
      <c r="G46" s="62" t="s">
        <v>172</v>
      </c>
    </row>
    <row r="47" spans="2:8" x14ac:dyDescent="0.25">
      <c r="B47" s="14" t="s">
        <v>132</v>
      </c>
      <c r="C47" s="31">
        <v>0</v>
      </c>
      <c r="D47" s="31">
        <v>0</v>
      </c>
      <c r="E47" s="31">
        <v>0</v>
      </c>
      <c r="F47" s="31">
        <v>0</v>
      </c>
      <c r="G47" s="8">
        <v>0</v>
      </c>
    </row>
    <row r="48" spans="2:8" x14ac:dyDescent="0.25">
      <c r="B48" s="3" t="s">
        <v>131</v>
      </c>
      <c r="C48" s="31">
        <v>0</v>
      </c>
      <c r="D48" s="31">
        <v>0</v>
      </c>
      <c r="E48" s="31">
        <v>0</v>
      </c>
      <c r="F48" s="31">
        <v>0</v>
      </c>
      <c r="G48" s="8">
        <v>0</v>
      </c>
    </row>
    <row r="49" spans="2:7" x14ac:dyDescent="0.25">
      <c r="B49" s="3" t="s">
        <v>133</v>
      </c>
      <c r="C49" s="31">
        <v>1.2999999999999999E-3</v>
      </c>
      <c r="D49" s="31">
        <v>2.5999999999999999E-3</v>
      </c>
      <c r="E49" s="31">
        <v>2.2000000000000001E-3</v>
      </c>
      <c r="F49" s="31">
        <v>1.6000000000000001E-3</v>
      </c>
      <c r="G49" s="8">
        <v>1.5E-3</v>
      </c>
    </row>
    <row r="50" spans="2:7" x14ac:dyDescent="0.25">
      <c r="B50" s="3" t="s">
        <v>134</v>
      </c>
      <c r="C50" s="31">
        <v>0.95760000000000001</v>
      </c>
      <c r="D50" s="31">
        <v>0.23256299999999999</v>
      </c>
      <c r="E50" s="31">
        <v>0.41646699999999998</v>
      </c>
      <c r="F50" s="31">
        <v>0.19408400000000001</v>
      </c>
      <c r="G50" s="8">
        <v>0.36277900000000002</v>
      </c>
    </row>
    <row r="51" spans="2:7" x14ac:dyDescent="0.25">
      <c r="B51" s="3" t="s">
        <v>121</v>
      </c>
      <c r="C51" s="31">
        <f>0.007+0.0224</f>
        <v>2.9399999999999999E-2</v>
      </c>
      <c r="D51" s="31">
        <f>0.0143+0.0448</f>
        <v>5.91E-2</v>
      </c>
      <c r="E51" s="31">
        <f>0.0124+0.0392</f>
        <v>5.16E-2</v>
      </c>
      <c r="F51" s="31">
        <f>0.0089+0.028</f>
        <v>3.6900000000000002E-2</v>
      </c>
      <c r="G51" s="8">
        <f>0.0085+0.028</f>
        <v>3.6500000000000005E-2</v>
      </c>
    </row>
    <row r="52" spans="2:7" x14ac:dyDescent="0.25">
      <c r="B52" s="3"/>
      <c r="C52" s="31">
        <f>SUM(C49:C51)</f>
        <v>0.98829999999999996</v>
      </c>
      <c r="D52" s="31">
        <f>SUM(D49:D51)</f>
        <v>0.294263</v>
      </c>
      <c r="E52" s="31">
        <f>SUM(E49:E51)</f>
        <v>0.47026699999999994</v>
      </c>
      <c r="F52" s="31">
        <f>SUM(F49:F51)</f>
        <v>0.23258400000000001</v>
      </c>
      <c r="G52" s="8">
        <f>SUM(G49:G51)</f>
        <v>0.400779</v>
      </c>
    </row>
    <row r="53" spans="2:7" x14ac:dyDescent="0.25">
      <c r="B53" s="3"/>
      <c r="C53" s="31"/>
      <c r="D53" s="31"/>
      <c r="E53" s="31"/>
      <c r="F53" s="31"/>
      <c r="G53" s="8"/>
    </row>
    <row r="54" spans="2:7" x14ac:dyDescent="0.25">
      <c r="B54" s="3" t="s">
        <v>208</v>
      </c>
      <c r="C54" s="31"/>
      <c r="D54" s="31">
        <v>1.25200185735503</v>
      </c>
      <c r="E54" s="31">
        <v>0.93443481135887696</v>
      </c>
      <c r="F54" s="31">
        <v>1.0448045086831601</v>
      </c>
      <c r="G54" s="8">
        <v>0.81396000000000002</v>
      </c>
    </row>
    <row r="55" spans="2:7" x14ac:dyDescent="0.25">
      <c r="B55" s="3" t="s">
        <v>209</v>
      </c>
      <c r="C55" s="31"/>
      <c r="D55" s="31">
        <v>75.782333234276393</v>
      </c>
      <c r="E55" s="31">
        <v>56.560339622584102</v>
      </c>
      <c r="F55" s="31">
        <v>79.789290330268898</v>
      </c>
      <c r="G55" s="8">
        <v>62.160232098424402</v>
      </c>
    </row>
    <row r="56" spans="2:7" ht="15.75" thickBot="1" x14ac:dyDescent="0.3">
      <c r="B56" s="10" t="s">
        <v>210</v>
      </c>
      <c r="C56" s="11"/>
      <c r="D56" s="11">
        <v>0.72569162305143098</v>
      </c>
      <c r="E56" s="11">
        <v>0.54162181222586503</v>
      </c>
      <c r="F56" s="11">
        <v>0.76406224420265401</v>
      </c>
      <c r="G56" s="13">
        <v>0.59524638257451201</v>
      </c>
    </row>
    <row r="58" spans="2:7" ht="15.75" thickBot="1" x14ac:dyDescent="0.3"/>
    <row r="59" spans="2:7" x14ac:dyDescent="0.25">
      <c r="B59" s="33" t="s">
        <v>193</v>
      </c>
      <c r="C59" s="34"/>
      <c r="D59" s="34"/>
      <c r="E59" s="34"/>
      <c r="F59" s="34"/>
      <c r="G59" s="69"/>
    </row>
    <row r="60" spans="2:7" x14ac:dyDescent="0.25">
      <c r="B60" s="23"/>
      <c r="C60" s="31"/>
      <c r="D60" s="31" t="s">
        <v>205</v>
      </c>
      <c r="E60" s="31" t="s">
        <v>205</v>
      </c>
      <c r="F60" s="31">
        <f xml:space="preserve"> 0.00001309095+ 0.00000262523+0.0000003414407+ 0.000001838124+ 0.0000003088141+0.000004041733+ 0.00002282625+0.000002134214+0.000001457835+0.00000184951 +0.000000002116366+0.0000006644666</f>
        <v>5.1180683765999992E-5</v>
      </c>
      <c r="G60" s="8">
        <f xml:space="preserve"> 0.00001309095+ 0.00000262523+0.0000003414407+ 0.000001838124+ 0.0000003088141+0.000004041733+ 0.00002282625+0.000002134214+0.000001457835+0.00000184951 +0.000000002116366+0.0000006644666</f>
        <v>5.1180683765999992E-5</v>
      </c>
    </row>
    <row r="61" spans="2:7" x14ac:dyDescent="0.25">
      <c r="B61" s="23" t="s">
        <v>110</v>
      </c>
      <c r="C61" s="31"/>
      <c r="D61" s="31" t="s">
        <v>206</v>
      </c>
      <c r="E61" s="31" t="s">
        <v>206</v>
      </c>
      <c r="F61" s="31" t="s">
        <v>205</v>
      </c>
      <c r="G61" s="8" t="s">
        <v>205</v>
      </c>
    </row>
    <row r="62" spans="2:7" x14ac:dyDescent="0.25">
      <c r="B62" s="23" t="s">
        <v>194</v>
      </c>
      <c r="C62" s="31"/>
      <c r="D62" s="31"/>
      <c r="E62" s="31"/>
      <c r="F62" s="31" t="s">
        <v>211</v>
      </c>
      <c r="G62" s="8" t="s">
        <v>211</v>
      </c>
    </row>
    <row r="63" spans="2:7" x14ac:dyDescent="0.25">
      <c r="B63" s="23" t="s">
        <v>195</v>
      </c>
      <c r="C63" s="31"/>
      <c r="D63" s="31"/>
      <c r="E63" s="31"/>
      <c r="F63" s="31"/>
      <c r="G63" s="8"/>
    </row>
    <row r="64" spans="2:7" x14ac:dyDescent="0.25">
      <c r="B64" s="23" t="s">
        <v>214</v>
      </c>
      <c r="C64" s="31"/>
      <c r="D64" s="31"/>
      <c r="E64" s="31"/>
      <c r="F64" s="31"/>
      <c r="G64" s="8"/>
    </row>
    <row r="65" spans="2:7" x14ac:dyDescent="0.25">
      <c r="B65" s="23" t="s">
        <v>196</v>
      </c>
      <c r="C65" s="31"/>
      <c r="D65" s="31"/>
      <c r="E65" s="31"/>
      <c r="F65" s="65"/>
      <c r="G65" s="8"/>
    </row>
    <row r="66" spans="2:7" x14ac:dyDescent="0.25">
      <c r="B66" s="23" t="s">
        <v>215</v>
      </c>
      <c r="C66" s="31"/>
      <c r="D66" s="31"/>
      <c r="E66" s="31"/>
      <c r="F66" s="31"/>
      <c r="G66" s="8"/>
    </row>
    <row r="67" spans="2:7" x14ac:dyDescent="0.25">
      <c r="B67" s="23" t="s">
        <v>197</v>
      </c>
      <c r="C67" s="31"/>
      <c r="D67" s="31"/>
      <c r="E67" s="31"/>
      <c r="F67" s="31"/>
      <c r="G67" s="8"/>
    </row>
    <row r="68" spans="2:7" x14ac:dyDescent="0.25">
      <c r="B68" s="23" t="s">
        <v>119</v>
      </c>
      <c r="C68" s="31"/>
      <c r="D68" s="31"/>
      <c r="E68" s="31"/>
      <c r="F68" s="31"/>
      <c r="G68" s="8"/>
    </row>
    <row r="69" spans="2:7" x14ac:dyDescent="0.25">
      <c r="B69" s="23" t="s">
        <v>216</v>
      </c>
      <c r="C69" s="31"/>
      <c r="D69" s="31"/>
      <c r="E69" s="31"/>
      <c r="F69" s="31"/>
      <c r="G69" s="8"/>
    </row>
    <row r="70" spans="2:7" x14ac:dyDescent="0.25">
      <c r="B70" s="23" t="s">
        <v>215</v>
      </c>
      <c r="C70" s="31"/>
      <c r="D70" s="31"/>
      <c r="E70" s="31"/>
      <c r="F70" s="31"/>
      <c r="G70" s="8"/>
    </row>
    <row r="71" spans="2:7" x14ac:dyDescent="0.25">
      <c r="B71" s="23" t="s">
        <v>217</v>
      </c>
      <c r="C71" s="31"/>
      <c r="D71" s="31"/>
      <c r="E71" s="31"/>
      <c r="F71" s="31"/>
      <c r="G71" s="8"/>
    </row>
    <row r="72" spans="2:7" x14ac:dyDescent="0.25">
      <c r="B72" s="23" t="s">
        <v>200</v>
      </c>
      <c r="C72" s="31"/>
      <c r="D72" s="31"/>
      <c r="E72" s="31"/>
      <c r="F72" s="31"/>
      <c r="G72" s="8"/>
    </row>
    <row r="73" spans="2:7" x14ac:dyDescent="0.25">
      <c r="B73" s="23" t="s">
        <v>204</v>
      </c>
      <c r="C73" s="31"/>
      <c r="D73" s="31"/>
      <c r="E73" s="31"/>
      <c r="F73" s="31"/>
      <c r="G73" s="8"/>
    </row>
    <row r="74" spans="2:7" x14ac:dyDescent="0.25">
      <c r="B74" s="23" t="s">
        <v>218</v>
      </c>
      <c r="C74" s="31"/>
      <c r="D74" s="31"/>
      <c r="E74" s="31"/>
      <c r="F74" s="31"/>
      <c r="G74" s="8"/>
    </row>
    <row r="75" spans="2:7" x14ac:dyDescent="0.25">
      <c r="B75" s="23" t="s">
        <v>216</v>
      </c>
      <c r="C75" s="31"/>
      <c r="D75" s="31"/>
      <c r="E75" s="31"/>
      <c r="F75" s="31"/>
      <c r="G75" s="8"/>
    </row>
    <row r="76" spans="2:7" ht="15.75" thickBot="1" x14ac:dyDescent="0.3">
      <c r="B76" s="24" t="s">
        <v>219</v>
      </c>
      <c r="C76" s="11"/>
      <c r="D76" s="11"/>
      <c r="E76" s="11"/>
      <c r="F76" s="11"/>
      <c r="G76" s="13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NPC Data</vt:lpstr>
      <vt:lpstr>Checking SESAME</vt:lpstr>
      <vt:lpstr>Nat_gas CC Results</vt:lpstr>
      <vt:lpstr>Coal Results</vt:lpstr>
    </vt:vector>
  </TitlesOfParts>
  <Company>ExxonMobil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Grekin, Rebecca</dc:creator>
  <cp:lastModifiedBy>Grekin, Rebecca</cp:lastModifiedBy>
  <dcterms:created xsi:type="dcterms:W3CDTF">2020-07-29T20:04:23Z</dcterms:created>
  <dcterms:modified xsi:type="dcterms:W3CDTF">2020-09-05T02:54:09Z</dcterms:modified>
</cp:coreProperties>
</file>